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AYERLY FERREIRA\Downloads\"/>
    </mc:Choice>
  </mc:AlternateContent>
  <xr:revisionPtr revIDLastSave="0" documentId="13_ncr:1_{F31AA39F-E56F-459F-985B-883055655984}" xr6:coauthVersionLast="47" xr6:coauthVersionMax="47" xr10:uidLastSave="{00000000-0000-0000-0000-000000000000}"/>
  <bookViews>
    <workbookView xWindow="-120" yWindow="-120" windowWidth="20730" windowHeight="11040" firstSheet="1" activeTab="1" xr2:uid="{00000000-000D-0000-FFFF-FFFF00000000}"/>
  </bookViews>
  <sheets>
    <sheet name="20230212 PA mod FINANZAS" sheetId="1" r:id="rId1"/>
    <sheet name="20230212 PA mod FINANZAS (2)" sheetId="4" r:id="rId2"/>
    <sheet name="Hoja1" sheetId="2" r:id="rId3"/>
    <sheet name="Hoja2" sheetId="3" r:id="rId4"/>
  </sheets>
  <externalReferences>
    <externalReference r:id="rId5"/>
  </externalReferences>
  <definedNames>
    <definedName name="_xlnm._FilterDatabase" localSheetId="0" hidden="1">'20230212 PA mod FINANZAS'!$J$7:$BV$76</definedName>
    <definedName name="_xlnm._FilterDatabase" localSheetId="1" hidden="1">'20230212 PA mod FINANZAS (2)'!$A$6:$DL$8</definedName>
    <definedName name="_xlnm.Print_Area" localSheetId="0">'20230212 PA mod FINANZAS'!$A$6:$BW$87</definedName>
    <definedName name="_xlnm.Print_Area" localSheetId="1">'20230212 PA mod FINANZAS (2)'!$A$6:$DE$98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01" i="4" l="1"/>
  <c r="AL100" i="4"/>
  <c r="BG101" i="4"/>
  <c r="BK87" i="4"/>
  <c r="BK98" i="4" l="1"/>
  <c r="BJ98" i="4"/>
  <c r="BK81" i="4"/>
  <c r="BJ81" i="4"/>
  <c r="AM96" i="4"/>
  <c r="AL96" i="4"/>
  <c r="BK96" i="4"/>
  <c r="BJ96" i="4"/>
  <c r="AL93" i="4"/>
  <c r="AM93" i="4"/>
  <c r="AM94" i="4"/>
  <c r="BK86" i="4"/>
  <c r="BJ86" i="4"/>
  <c r="AM86" i="4"/>
  <c r="AL78" i="4"/>
  <c r="AL86" i="4" s="1"/>
  <c r="AM78" i="4"/>
  <c r="BK77" i="4"/>
  <c r="BL77" i="4" s="1"/>
  <c r="BJ77" i="4"/>
  <c r="AM77" i="4"/>
  <c r="AM74" i="4"/>
  <c r="AM73" i="4"/>
  <c r="AM75" i="4"/>
  <c r="BK72" i="4"/>
  <c r="BL72" i="4" s="1"/>
  <c r="BJ72" i="4"/>
  <c r="AM63" i="4"/>
  <c r="AM72" i="4" s="1"/>
  <c r="AM66" i="4"/>
  <c r="AL66" i="4"/>
  <c r="AM70" i="4"/>
  <c r="BL86" i="4" l="1"/>
  <c r="BL96" i="4"/>
  <c r="BK61" i="4"/>
  <c r="BL61" i="4" s="1"/>
  <c r="BJ61" i="4"/>
  <c r="BJ101" i="4" s="1"/>
  <c r="AM53" i="4"/>
  <c r="AM56" i="4"/>
  <c r="AM59" i="4"/>
  <c r="BK51" i="4"/>
  <c r="BJ51" i="4"/>
  <c r="AM46" i="4"/>
  <c r="AL48" i="4"/>
  <c r="AL51" i="4" s="1"/>
  <c r="BK43" i="4"/>
  <c r="BJ43" i="4"/>
  <c r="AM42" i="4"/>
  <c r="AL42" i="4"/>
  <c r="AM40" i="4"/>
  <c r="AL40" i="4"/>
  <c r="AM34" i="4"/>
  <c r="BK30" i="4"/>
  <c r="BJ30" i="4"/>
  <c r="BK25" i="4"/>
  <c r="BL25" i="4" s="1"/>
  <c r="BJ25" i="4"/>
  <c r="AM25" i="4"/>
  <c r="AL25" i="4"/>
  <c r="BJ14" i="4"/>
  <c r="BG10" i="4"/>
  <c r="BG11" i="4"/>
  <c r="BG12" i="4"/>
  <c r="BG13" i="4"/>
  <c r="BG16" i="4"/>
  <c r="BG17" i="4"/>
  <c r="BG18" i="4"/>
  <c r="BG19" i="4"/>
  <c r="BG20" i="4"/>
  <c r="BG21" i="4"/>
  <c r="BG22" i="4"/>
  <c r="BG23" i="4"/>
  <c r="BG24" i="4"/>
  <c r="BG26" i="4"/>
  <c r="BG27" i="4"/>
  <c r="BG28" i="4"/>
  <c r="BG29" i="4"/>
  <c r="BG31" i="4"/>
  <c r="BG32" i="4"/>
  <c r="BG33" i="4"/>
  <c r="BG34" i="4"/>
  <c r="BG35" i="4"/>
  <c r="BG36" i="4"/>
  <c r="BG37" i="4"/>
  <c r="BG38" i="4"/>
  <c r="BG39" i="4"/>
  <c r="BG40" i="4"/>
  <c r="BG41" i="4"/>
  <c r="BG42" i="4"/>
  <c r="BG44" i="4"/>
  <c r="BG45" i="4"/>
  <c r="BG46" i="4"/>
  <c r="BG47" i="4"/>
  <c r="BG48" i="4"/>
  <c r="BG49" i="4"/>
  <c r="BG50" i="4"/>
  <c r="BG52" i="4"/>
  <c r="BG53" i="4"/>
  <c r="BG54" i="4"/>
  <c r="BG55" i="4"/>
  <c r="BG56" i="4"/>
  <c r="BG57" i="4"/>
  <c r="BG58" i="4"/>
  <c r="BG59" i="4"/>
  <c r="BG60" i="4"/>
  <c r="BG62" i="4"/>
  <c r="BG63" i="4"/>
  <c r="BG64" i="4"/>
  <c r="BG65" i="4"/>
  <c r="BG66" i="4"/>
  <c r="BG67" i="4"/>
  <c r="BG68" i="4"/>
  <c r="BG70" i="4"/>
  <c r="BG71" i="4"/>
  <c r="BG73" i="4"/>
  <c r="BG74" i="4"/>
  <c r="BG75" i="4"/>
  <c r="BG76" i="4"/>
  <c r="BG78" i="4"/>
  <c r="BG79" i="4"/>
  <c r="BG80" i="4"/>
  <c r="BG82" i="4"/>
  <c r="BG83" i="4"/>
  <c r="BG84" i="4"/>
  <c r="BG85" i="4"/>
  <c r="BG87" i="4"/>
  <c r="BG88" i="4"/>
  <c r="BG89" i="4"/>
  <c r="BG90" i="4"/>
  <c r="BG91" i="4"/>
  <c r="BG92" i="4"/>
  <c r="BG93" i="4"/>
  <c r="BG94" i="4"/>
  <c r="BG95" i="4"/>
  <c r="BG97" i="4"/>
  <c r="BG98" i="4" s="1"/>
  <c r="BG9" i="4"/>
  <c r="BK9" i="4"/>
  <c r="BL9" i="4" s="1"/>
  <c r="BL43" i="4" l="1"/>
  <c r="AM61" i="4"/>
  <c r="BL30" i="4"/>
  <c r="BG14" i="4"/>
  <c r="BG43" i="4"/>
  <c r="BG51" i="4"/>
  <c r="BG30" i="4"/>
  <c r="BL51" i="4"/>
  <c r="BG81" i="4"/>
  <c r="BG61" i="4"/>
  <c r="BG25" i="4"/>
  <c r="BG72" i="4"/>
  <c r="BK14" i="4"/>
  <c r="BL14" i="4" s="1"/>
  <c r="BG77" i="4"/>
  <c r="BG86" i="4"/>
  <c r="BG96" i="4"/>
  <c r="BL97" i="4"/>
  <c r="BL98" i="4" s="1"/>
  <c r="BL87" i="4"/>
  <c r="BL82" i="4"/>
  <c r="BL78" i="4"/>
  <c r="BL73" i="4"/>
  <c r="BL62" i="4"/>
  <c r="BL52" i="4"/>
  <c r="BL44" i="4"/>
  <c r="BL31" i="4"/>
  <c r="BL29" i="4"/>
  <c r="BL15" i="4"/>
  <c r="BK101" i="4" l="1"/>
  <c r="BL101" i="4" s="1"/>
  <c r="AI90" i="4"/>
  <c r="AM31" i="4"/>
  <c r="AM43" i="4" s="1"/>
  <c r="CS89" i="4"/>
  <c r="CS87" i="4"/>
  <c r="CS88" i="4"/>
  <c r="CS90" i="4"/>
  <c r="CS91" i="4"/>
  <c r="CS92" i="4"/>
  <c r="CS93" i="4"/>
  <c r="CS94" i="4"/>
  <c r="CS95" i="4"/>
  <c r="AI92" i="4"/>
  <c r="AI91" i="4"/>
  <c r="AI87" i="4"/>
  <c r="AI97" i="4" l="1"/>
  <c r="CS28" i="4" l="1"/>
  <c r="CC31" i="4" l="1"/>
  <c r="CC32" i="4"/>
  <c r="CC33" i="4"/>
  <c r="CC34" i="4"/>
  <c r="CC35" i="4"/>
  <c r="CC36" i="4"/>
  <c r="CC37" i="4"/>
  <c r="CC38" i="4"/>
  <c r="CC39" i="4"/>
  <c r="CC41" i="4"/>
  <c r="CC10" i="4" l="1"/>
  <c r="CC11" i="4"/>
  <c r="CC12" i="4"/>
  <c r="CC13" i="4"/>
  <c r="CC15" i="4"/>
  <c r="CC16" i="4"/>
  <c r="CC17" i="4"/>
  <c r="CC18" i="4"/>
  <c r="CC19" i="4"/>
  <c r="CC20" i="4"/>
  <c r="CC21" i="4"/>
  <c r="CC22" i="4"/>
  <c r="CC23" i="4"/>
  <c r="CC24" i="4"/>
  <c r="CC26" i="4"/>
  <c r="CC27" i="4"/>
  <c r="CC28" i="4"/>
  <c r="CC29" i="4"/>
  <c r="CC42" i="4"/>
  <c r="CC44" i="4"/>
  <c r="CC45" i="4"/>
  <c r="CC47" i="4"/>
  <c r="CC48" i="4"/>
  <c r="CC49" i="4"/>
  <c r="CC50" i="4"/>
  <c r="CC52" i="4"/>
  <c r="CC53" i="4"/>
  <c r="CC54" i="4"/>
  <c r="CC55" i="4"/>
  <c r="CC56" i="4"/>
  <c r="CC57" i="4"/>
  <c r="CC58" i="4"/>
  <c r="CC59" i="4"/>
  <c r="CC60" i="4"/>
  <c r="CC62" i="4"/>
  <c r="CC63" i="4"/>
  <c r="CC64" i="4"/>
  <c r="CC65" i="4"/>
  <c r="CC66" i="4"/>
  <c r="CC67" i="4"/>
  <c r="CC68" i="4"/>
  <c r="CC69" i="4"/>
  <c r="CC70" i="4"/>
  <c r="CC73" i="4"/>
  <c r="CC74" i="4"/>
  <c r="CC75" i="4"/>
  <c r="CC76" i="4"/>
  <c r="CC78" i="4"/>
  <c r="CC79" i="4"/>
  <c r="CC80" i="4"/>
  <c r="CC82" i="4"/>
  <c r="CC83" i="4"/>
  <c r="CC84" i="4"/>
  <c r="CC85" i="4"/>
  <c r="CC87" i="4"/>
  <c r="CC88" i="4"/>
  <c r="CC89" i="4"/>
  <c r="CC90" i="4"/>
  <c r="CC91" i="4"/>
  <c r="CC92" i="4"/>
  <c r="CC93" i="4"/>
  <c r="CC94" i="4"/>
  <c r="CC95" i="4"/>
  <c r="CC97" i="4"/>
  <c r="CC9" i="4"/>
  <c r="CS85" i="4"/>
  <c r="CO85" i="4"/>
  <c r="CK85" i="4"/>
  <c r="CG85" i="4"/>
  <c r="CA85" i="4"/>
  <c r="BX85" i="4"/>
  <c r="CS84" i="4"/>
  <c r="CO84" i="4"/>
  <c r="CK84" i="4"/>
  <c r="CG84" i="4"/>
  <c r="CA84" i="4"/>
  <c r="BX84" i="4"/>
  <c r="CS83" i="4"/>
  <c r="CO83" i="4"/>
  <c r="CK83" i="4"/>
  <c r="CG83" i="4"/>
  <c r="CA83" i="4"/>
  <c r="BX83" i="4"/>
  <c r="CS82" i="4"/>
  <c r="CO82" i="4"/>
  <c r="CK82" i="4"/>
  <c r="CG82" i="4"/>
  <c r="DG82" i="4" s="1"/>
  <c r="CA82" i="4"/>
  <c r="BX82" i="4"/>
  <c r="W82" i="4"/>
  <c r="CS80" i="4"/>
  <c r="CO80" i="4"/>
  <c r="CK80" i="4"/>
  <c r="CG80" i="4"/>
  <c r="CA80" i="4"/>
  <c r="BX80" i="4"/>
  <c r="CS79" i="4"/>
  <c r="CO79" i="4"/>
  <c r="CK79" i="4"/>
  <c r="CG79" i="4"/>
  <c r="DG79" i="4" s="1"/>
  <c r="CA79" i="4"/>
  <c r="BX79" i="4"/>
  <c r="CR78" i="4"/>
  <c r="CS78" i="4" s="1"/>
  <c r="CO78" i="4"/>
  <c r="CK78" i="4"/>
  <c r="CG78" i="4"/>
  <c r="CA78" i="4"/>
  <c r="BX78" i="4"/>
  <c r="AE78" i="4"/>
  <c r="AA78" i="4"/>
  <c r="W78" i="4"/>
  <c r="CR76" i="4"/>
  <c r="CS76" i="4" s="1"/>
  <c r="CO76" i="4"/>
  <c r="CK76" i="4"/>
  <c r="CG76" i="4"/>
  <c r="CA76" i="4"/>
  <c r="BX76" i="4"/>
  <c r="CS75" i="4"/>
  <c r="CK75" i="4"/>
  <c r="CG75" i="4"/>
  <c r="CA75" i="4"/>
  <c r="BX75" i="4"/>
  <c r="CS74" i="4"/>
  <c r="CK74" i="4"/>
  <c r="CG74" i="4"/>
  <c r="CA74" i="4"/>
  <c r="BX74" i="4"/>
  <c r="CS73" i="4"/>
  <c r="CK73" i="4"/>
  <c r="CL73" i="4" s="1"/>
  <c r="CG73" i="4"/>
  <c r="CA73" i="4"/>
  <c r="BX73" i="4"/>
  <c r="CR71" i="4"/>
  <c r="CS71" i="4" s="1"/>
  <c r="CO71" i="4"/>
  <c r="CK71" i="4"/>
  <c r="DG71" i="4" s="1"/>
  <c r="CG71" i="4"/>
  <c r="BV71" i="4"/>
  <c r="CA71" i="4" s="1"/>
  <c r="CS70" i="4"/>
  <c r="CO70" i="4"/>
  <c r="CK70" i="4"/>
  <c r="CG70" i="4"/>
  <c r="CA70" i="4"/>
  <c r="BX70" i="4"/>
  <c r="W70" i="4"/>
  <c r="CS69" i="4"/>
  <c r="CO69" i="4"/>
  <c r="CK69" i="4"/>
  <c r="CG69" i="4"/>
  <c r="CA69" i="4"/>
  <c r="BX69" i="4"/>
  <c r="W69" i="4"/>
  <c r="CS68" i="4"/>
  <c r="CO68" i="4"/>
  <c r="CK68" i="4"/>
  <c r="CG68" i="4"/>
  <c r="CA68" i="4"/>
  <c r="BX68" i="4"/>
  <c r="CS67" i="4"/>
  <c r="CO67" i="4"/>
  <c r="CK67" i="4"/>
  <c r="CG67" i="4"/>
  <c r="DG67" i="4" s="1"/>
  <c r="CA67" i="4"/>
  <c r="BX67" i="4"/>
  <c r="CS66" i="4"/>
  <c r="CO66" i="4"/>
  <c r="CK66" i="4"/>
  <c r="CG66" i="4"/>
  <c r="CA66" i="4"/>
  <c r="BX66" i="4"/>
  <c r="CS65" i="4"/>
  <c r="CO65" i="4"/>
  <c r="CK65" i="4"/>
  <c r="CG65" i="4"/>
  <c r="CA65" i="4"/>
  <c r="BX65" i="4"/>
  <c r="AE65" i="4"/>
  <c r="AA65" i="4"/>
  <c r="W65" i="4"/>
  <c r="CS64" i="4"/>
  <c r="CO64" i="4"/>
  <c r="CK64" i="4"/>
  <c r="CG64" i="4"/>
  <c r="CA64" i="4"/>
  <c r="BX64" i="4"/>
  <c r="CS63" i="4"/>
  <c r="CO63" i="4"/>
  <c r="CK63" i="4"/>
  <c r="CG63" i="4"/>
  <c r="CA63" i="4"/>
  <c r="BX63" i="4"/>
  <c r="CS62" i="4"/>
  <c r="CO62" i="4"/>
  <c r="CK62" i="4"/>
  <c r="CG62" i="4"/>
  <c r="CA62" i="4"/>
  <c r="BX62" i="4"/>
  <c r="AI62" i="4"/>
  <c r="AL63" i="4" s="1"/>
  <c r="AL72" i="4" s="1"/>
  <c r="AE62" i="4"/>
  <c r="AA62" i="4"/>
  <c r="W62" i="4"/>
  <c r="CR60" i="4"/>
  <c r="CS60" i="4" s="1"/>
  <c r="CO60" i="4"/>
  <c r="CK60" i="4"/>
  <c r="CG60" i="4"/>
  <c r="CA60" i="4"/>
  <c r="BX60" i="4"/>
  <c r="CR59" i="4"/>
  <c r="CS59" i="4" s="1"/>
  <c r="CO59" i="4"/>
  <c r="CK59" i="4"/>
  <c r="CG59" i="4"/>
  <c r="CA59" i="4"/>
  <c r="BX59" i="4"/>
  <c r="CS58" i="4"/>
  <c r="CO58" i="4"/>
  <c r="CK58" i="4"/>
  <c r="CG58" i="4"/>
  <c r="CA58" i="4"/>
  <c r="BX58" i="4"/>
  <c r="CS57" i="4"/>
  <c r="CO57" i="4"/>
  <c r="CK57" i="4"/>
  <c r="CG57" i="4"/>
  <c r="CA57" i="4"/>
  <c r="BX57" i="4"/>
  <c r="CS56" i="4"/>
  <c r="CO56" i="4"/>
  <c r="CK56" i="4"/>
  <c r="CG56" i="4"/>
  <c r="DG56" i="4" s="1"/>
  <c r="CA56" i="4"/>
  <c r="BX56" i="4"/>
  <c r="CS55" i="4"/>
  <c r="CO55" i="4"/>
  <c r="CK55" i="4"/>
  <c r="CG55" i="4"/>
  <c r="CA55" i="4"/>
  <c r="BX55" i="4"/>
  <c r="AE55" i="4"/>
  <c r="AI55" i="4" s="1"/>
  <c r="AL56" i="4" s="1"/>
  <c r="AA55" i="4"/>
  <c r="W55" i="4"/>
  <c r="CS54" i="4"/>
  <c r="CO54" i="4"/>
  <c r="CK54" i="4"/>
  <c r="CG54" i="4"/>
  <c r="CA54" i="4"/>
  <c r="BX54" i="4"/>
  <c r="CS53" i="4"/>
  <c r="CO53" i="4"/>
  <c r="CK53" i="4"/>
  <c r="CG53" i="4"/>
  <c r="CA53" i="4"/>
  <c r="BX53" i="4"/>
  <c r="CS52" i="4"/>
  <c r="CO52" i="4"/>
  <c r="CK52" i="4"/>
  <c r="CG52" i="4"/>
  <c r="CA52" i="4"/>
  <c r="BX52" i="4"/>
  <c r="CS50" i="4"/>
  <c r="CO50" i="4"/>
  <c r="CK50" i="4"/>
  <c r="CG50" i="4"/>
  <c r="CA50" i="4"/>
  <c r="BX50" i="4"/>
  <c r="CS49" i="4"/>
  <c r="CO49" i="4"/>
  <c r="CK49" i="4"/>
  <c r="CG49" i="4"/>
  <c r="CA49" i="4"/>
  <c r="BX49" i="4"/>
  <c r="CS48" i="4"/>
  <c r="CO48" i="4"/>
  <c r="CK48" i="4"/>
  <c r="CG48" i="4"/>
  <c r="DG48" i="4" s="1"/>
  <c r="CA48" i="4"/>
  <c r="BX48" i="4"/>
  <c r="AJ48" i="4"/>
  <c r="AE48" i="4"/>
  <c r="AA48" i="4"/>
  <c r="W48" i="4"/>
  <c r="CS47" i="4"/>
  <c r="CO47" i="4"/>
  <c r="CK47" i="4"/>
  <c r="CG47" i="4"/>
  <c r="CA47" i="4"/>
  <c r="BX47" i="4"/>
  <c r="CR46" i="4"/>
  <c r="CS46" i="4" s="1"/>
  <c r="CO46" i="4"/>
  <c r="CK46" i="4"/>
  <c r="CG46" i="4"/>
  <c r="DG46" i="4" s="1"/>
  <c r="BV46" i="4"/>
  <c r="CA46" i="4" s="1"/>
  <c r="CS45" i="4"/>
  <c r="CO45" i="4"/>
  <c r="CK45" i="4"/>
  <c r="CG45" i="4"/>
  <c r="CA45" i="4"/>
  <c r="BX45" i="4"/>
  <c r="CS44" i="4"/>
  <c r="CO44" i="4"/>
  <c r="CK44" i="4"/>
  <c r="CG44" i="4"/>
  <c r="DG44" i="4" s="1"/>
  <c r="CA44" i="4"/>
  <c r="BX44" i="4"/>
  <c r="DG74" i="4" l="1"/>
  <c r="DG85" i="4"/>
  <c r="CC46" i="4"/>
  <c r="DG49" i="4"/>
  <c r="DG54" i="4"/>
  <c r="DG76" i="4"/>
  <c r="DG57" i="4"/>
  <c r="DG64" i="4"/>
  <c r="DG84" i="4"/>
  <c r="S48" i="4"/>
  <c r="AM48" i="4"/>
  <c r="AM51" i="4" s="1"/>
  <c r="DG62" i="4"/>
  <c r="DG53" i="4"/>
  <c r="DG52" i="4"/>
  <c r="DG73" i="4"/>
  <c r="DG78" i="4"/>
  <c r="DG69" i="4"/>
  <c r="DG58" i="4"/>
  <c r="DG45" i="4"/>
  <c r="DG66" i="4"/>
  <c r="DG50" i="4"/>
  <c r="BX46" i="4"/>
  <c r="DG65" i="4"/>
  <c r="DG70" i="4"/>
  <c r="DG80" i="4"/>
  <c r="CC71" i="4"/>
  <c r="DG60" i="4"/>
  <c r="DG63" i="4"/>
  <c r="DG75" i="4"/>
  <c r="BX71" i="4"/>
  <c r="DG47" i="4"/>
  <c r="DG55" i="4"/>
  <c r="DG59" i="4"/>
  <c r="DG68" i="4"/>
  <c r="DG83" i="4"/>
  <c r="CM73" i="4"/>
  <c r="CN73" i="4" s="1"/>
  <c r="CL74" i="4"/>
  <c r="CM74" i="4" s="1"/>
  <c r="CL75" i="4"/>
  <c r="CN74" i="4" l="1"/>
  <c r="CO74" i="4" s="1"/>
  <c r="CO73" i="4"/>
  <c r="CM75" i="4"/>
  <c r="CN75" i="4" s="1"/>
  <c r="CO75" i="4" s="1"/>
  <c r="CS37" i="4" l="1"/>
  <c r="CO37" i="4"/>
  <c r="CK37" i="4"/>
  <c r="CG37" i="4"/>
  <c r="CA37" i="4"/>
  <c r="BX37" i="4"/>
  <c r="CO31" i="4"/>
  <c r="CK31" i="4"/>
  <c r="CG31" i="4"/>
  <c r="CA31" i="4"/>
  <c r="BX31" i="4"/>
  <c r="CS39" i="4"/>
  <c r="CS35" i="4" l="1"/>
  <c r="AI31" i="4"/>
  <c r="CS10" i="4"/>
  <c r="CS12" i="4"/>
  <c r="CS13" i="4"/>
  <c r="CS32" i="4"/>
  <c r="CS33" i="4"/>
  <c r="CS34" i="4"/>
  <c r="CS36" i="4"/>
  <c r="CS38" i="4"/>
  <c r="CS41" i="4"/>
  <c r="CS42" i="4"/>
  <c r="CS97" i="4"/>
  <c r="CS9" i="4" l="1"/>
  <c r="AI9" i="4"/>
  <c r="CO97" i="4" l="1"/>
  <c r="CO95" i="4"/>
  <c r="CO94" i="4"/>
  <c r="CO93" i="4"/>
  <c r="CO92" i="4"/>
  <c r="CO90" i="4"/>
  <c r="CO88" i="4"/>
  <c r="CO87" i="4"/>
  <c r="CO42" i="4"/>
  <c r="CO41" i="4"/>
  <c r="CO40" i="4"/>
  <c r="CO39" i="4"/>
  <c r="CO38" i="4"/>
  <c r="CO36" i="4"/>
  <c r="CO35" i="4"/>
  <c r="CO34" i="4"/>
  <c r="CO33" i="4"/>
  <c r="CO32" i="4"/>
  <c r="CO29" i="4"/>
  <c r="CO28" i="4"/>
  <c r="CO27" i="4"/>
  <c r="CO26" i="4"/>
  <c r="CO13" i="4"/>
  <c r="CO12" i="4"/>
  <c r="CO11" i="4"/>
  <c r="CO10" i="4"/>
  <c r="CO9" i="4"/>
  <c r="DJ95" i="4"/>
  <c r="DJ94" i="4"/>
  <c r="CP26" i="4" l="1"/>
  <c r="CP27" i="4"/>
  <c r="CQ27" i="4" s="1"/>
  <c r="CP29" i="4"/>
  <c r="CQ29" i="4" s="1"/>
  <c r="CR29" i="4" s="1"/>
  <c r="CS29" i="4" s="1"/>
  <c r="AE97" i="4"/>
  <c r="AE93" i="4"/>
  <c r="AE92" i="4"/>
  <c r="AE91" i="4"/>
  <c r="AD90" i="4"/>
  <c r="AC90" i="4"/>
  <c r="AB90" i="4"/>
  <c r="AE87" i="4"/>
  <c r="AE42" i="4"/>
  <c r="AE39" i="4"/>
  <c r="AE31" i="4"/>
  <c r="AE28" i="4"/>
  <c r="AE9" i="4"/>
  <c r="CK97" i="4"/>
  <c r="CG97" i="4"/>
  <c r="CA97" i="4"/>
  <c r="BX97" i="4"/>
  <c r="AA97" i="4"/>
  <c r="W97" i="4"/>
  <c r="DH95" i="4"/>
  <c r="CK95" i="4"/>
  <c r="CG95" i="4"/>
  <c r="CA95" i="4"/>
  <c r="BP95" i="4"/>
  <c r="DH94" i="4"/>
  <c r="CK94" i="4"/>
  <c r="CG94" i="4"/>
  <c r="CA94" i="4"/>
  <c r="BX94" i="4"/>
  <c r="DH93" i="4"/>
  <c r="CK93" i="4"/>
  <c r="CG93" i="4"/>
  <c r="CA93" i="4"/>
  <c r="BX93" i="4"/>
  <c r="AA93" i="4"/>
  <c r="W93" i="4"/>
  <c r="DH92" i="4"/>
  <c r="CK92" i="4"/>
  <c r="CG92" i="4"/>
  <c r="CA92" i="4"/>
  <c r="BX92" i="4"/>
  <c r="AA92" i="4"/>
  <c r="W92" i="4"/>
  <c r="DH91" i="4"/>
  <c r="CG91" i="4"/>
  <c r="DG91" i="4" s="1"/>
  <c r="CA91" i="4"/>
  <c r="BX91" i="4"/>
  <c r="AA91" i="4"/>
  <c r="W91" i="4"/>
  <c r="CK90" i="4"/>
  <c r="CG90" i="4"/>
  <c r="CA90" i="4"/>
  <c r="BX90" i="4"/>
  <c r="Z90" i="4"/>
  <c r="Y90" i="4"/>
  <c r="X90" i="4"/>
  <c r="V90" i="4"/>
  <c r="U90" i="4"/>
  <c r="T90" i="4"/>
  <c r="CG89" i="4"/>
  <c r="DG89" i="4" s="1"/>
  <c r="CA89" i="4"/>
  <c r="BX89" i="4"/>
  <c r="CK88" i="4"/>
  <c r="CG88" i="4"/>
  <c r="CA88" i="4"/>
  <c r="BX88" i="4"/>
  <c r="DH87" i="4"/>
  <c r="CK87" i="4"/>
  <c r="CG87" i="4"/>
  <c r="CA87" i="4"/>
  <c r="BX87" i="4"/>
  <c r="AA87" i="4"/>
  <c r="AM87" i="4" s="1"/>
  <c r="W87" i="4"/>
  <c r="CK42" i="4"/>
  <c r="CG42" i="4"/>
  <c r="CA42" i="4"/>
  <c r="BX42" i="4"/>
  <c r="AA42" i="4"/>
  <c r="W42" i="4"/>
  <c r="CK41" i="4"/>
  <c r="CG41" i="4"/>
  <c r="CA41" i="4"/>
  <c r="BX41" i="4"/>
  <c r="CK40" i="4"/>
  <c r="CG40" i="4"/>
  <c r="BV40" i="4"/>
  <c r="CK39" i="4"/>
  <c r="CG39" i="4"/>
  <c r="CA39" i="4"/>
  <c r="BX39" i="4"/>
  <c r="AA39" i="4"/>
  <c r="W39" i="4"/>
  <c r="CK38" i="4"/>
  <c r="CG38" i="4"/>
  <c r="CA38" i="4"/>
  <c r="BX38" i="4"/>
  <c r="CK36" i="4"/>
  <c r="CG36" i="4"/>
  <c r="CA36" i="4"/>
  <c r="BX36" i="4"/>
  <c r="CK35" i="4"/>
  <c r="CG35" i="4"/>
  <c r="BX35" i="4"/>
  <c r="CK34" i="4"/>
  <c r="CG34" i="4"/>
  <c r="BX34" i="4"/>
  <c r="CK33" i="4"/>
  <c r="CG33" i="4"/>
  <c r="CA33" i="4"/>
  <c r="BX33" i="4"/>
  <c r="CK32" i="4"/>
  <c r="CG32" i="4"/>
  <c r="CA32" i="4"/>
  <c r="BX32" i="4"/>
  <c r="AA31" i="4"/>
  <c r="W31" i="4"/>
  <c r="S31" i="4"/>
  <c r="AL31" i="4" s="1"/>
  <c r="AL43" i="4" s="1"/>
  <c r="CK29" i="4"/>
  <c r="CG29" i="4"/>
  <c r="CA29" i="4"/>
  <c r="BX29" i="4"/>
  <c r="CK28" i="4"/>
  <c r="CG28" i="4"/>
  <c r="CA28" i="4"/>
  <c r="BX28" i="4"/>
  <c r="AA28" i="4"/>
  <c r="W28" i="4"/>
  <c r="CK27" i="4"/>
  <c r="CG27" i="4"/>
  <c r="CA27" i="4"/>
  <c r="BX27" i="4"/>
  <c r="CK26" i="4"/>
  <c r="CG26" i="4"/>
  <c r="CA26" i="4"/>
  <c r="BX26" i="4"/>
  <c r="CK13" i="4"/>
  <c r="CG13" i="4"/>
  <c r="CA13" i="4"/>
  <c r="BX13" i="4"/>
  <c r="CK12" i="4"/>
  <c r="CG12" i="4"/>
  <c r="CA12" i="4"/>
  <c r="BX12" i="4"/>
  <c r="CK11" i="4"/>
  <c r="CG11" i="4"/>
  <c r="CA11" i="4"/>
  <c r="BX11" i="4"/>
  <c r="CK10" i="4"/>
  <c r="CG10" i="4"/>
  <c r="CA10" i="4"/>
  <c r="BX10" i="4"/>
  <c r="CK9" i="4"/>
  <c r="CG9" i="4"/>
  <c r="CA9" i="4"/>
  <c r="BX9" i="4"/>
  <c r="AJ9" i="4"/>
  <c r="AA9" i="4"/>
  <c r="W9" i="4"/>
  <c r="BZ81" i="1"/>
  <c r="BZ82" i="1"/>
  <c r="BZ83" i="1"/>
  <c r="BZ84" i="1"/>
  <c r="BZ85" i="1"/>
  <c r="BZ77" i="1"/>
  <c r="BK80" i="1"/>
  <c r="BG79" i="1"/>
  <c r="AM91" i="4" l="1"/>
  <c r="AL91" i="4"/>
  <c r="AM92" i="4"/>
  <c r="AL92" i="4"/>
  <c r="AL87" i="4"/>
  <c r="AL97" i="4"/>
  <c r="AM97" i="4"/>
  <c r="S9" i="4"/>
  <c r="AL9" i="4" s="1"/>
  <c r="AL14" i="4" s="1"/>
  <c r="AM9" i="4"/>
  <c r="AM14" i="4" s="1"/>
  <c r="CR27" i="4"/>
  <c r="CS27" i="4" s="1"/>
  <c r="CQ26" i="4"/>
  <c r="CR26" i="4" s="1"/>
  <c r="CA40" i="4"/>
  <c r="CC40" i="4"/>
  <c r="DG39" i="4"/>
  <c r="DG88" i="4"/>
  <c r="DG93" i="4"/>
  <c r="AE90" i="4"/>
  <c r="AM90" i="4" s="1"/>
  <c r="DJ93" i="4"/>
  <c r="DG31" i="4"/>
  <c r="DG33" i="4"/>
  <c r="DG35" i="4"/>
  <c r="DG27" i="4"/>
  <c r="DG42" i="4"/>
  <c r="W90" i="4"/>
  <c r="DG90" i="4"/>
  <c r="DJ92" i="4"/>
  <c r="DG29" i="4"/>
  <c r="DG41" i="4"/>
  <c r="DJ87" i="4"/>
  <c r="DJ91" i="4"/>
  <c r="AA90" i="4"/>
  <c r="DG12" i="4"/>
  <c r="DG26" i="4"/>
  <c r="DG32" i="4"/>
  <c r="DG34" i="4"/>
  <c r="DG38" i="4"/>
  <c r="DG13" i="4"/>
  <c r="DG40" i="4"/>
  <c r="DG87" i="4"/>
  <c r="DG95" i="4"/>
  <c r="DG9" i="4"/>
  <c r="DG11" i="4"/>
  <c r="DG36" i="4"/>
  <c r="BX40" i="4"/>
  <c r="DG94" i="4"/>
  <c r="DH90" i="4"/>
  <c r="DG10" i="4"/>
  <c r="DG28" i="4"/>
  <c r="DG92" i="4"/>
  <c r="DG97" i="4"/>
  <c r="Z80" i="1"/>
  <c r="Y80" i="1"/>
  <c r="X80" i="1"/>
  <c r="V80" i="1"/>
  <c r="U80" i="1"/>
  <c r="T80" i="1"/>
  <c r="AL90" i="4" l="1"/>
  <c r="BZ80" i="1"/>
  <c r="CS26" i="4"/>
  <c r="CC100" i="4"/>
  <c r="CC101" i="4" s="1"/>
  <c r="DJ90" i="4"/>
  <c r="W77" i="1"/>
  <c r="BK27" i="1" l="1"/>
  <c r="BK26" i="1"/>
  <c r="BK25" i="1"/>
  <c r="BK24" i="1"/>
  <c r="BK86" i="1" l="1"/>
  <c r="BK85" i="1"/>
  <c r="BK84" i="1"/>
  <c r="BK83" i="1"/>
  <c r="BK82" i="1"/>
  <c r="BK78" i="1"/>
  <c r="BK77" i="1"/>
  <c r="BK76" i="1"/>
  <c r="BK75" i="1"/>
  <c r="BK74" i="1"/>
  <c r="BK73" i="1"/>
  <c r="BK72" i="1"/>
  <c r="BK71" i="1"/>
  <c r="BK70" i="1"/>
  <c r="BK69" i="1"/>
  <c r="BK68" i="1"/>
  <c r="BK67" i="1"/>
  <c r="BK66" i="1"/>
  <c r="BK65" i="1"/>
  <c r="BK64" i="1"/>
  <c r="BK63" i="1"/>
  <c r="BK62" i="1"/>
  <c r="BK61" i="1"/>
  <c r="BK60" i="1"/>
  <c r="BK59" i="1"/>
  <c r="BK58" i="1"/>
  <c r="BK57" i="1"/>
  <c r="BK56" i="1"/>
  <c r="BK55" i="1"/>
  <c r="BK54" i="1"/>
  <c r="BK53" i="1"/>
  <c r="BK52" i="1"/>
  <c r="BK51" i="1"/>
  <c r="BK50" i="1"/>
  <c r="BK49" i="1"/>
  <c r="BK48" i="1"/>
  <c r="BK47" i="1"/>
  <c r="BK46" i="1"/>
  <c r="BK45" i="1"/>
  <c r="BK44" i="1"/>
  <c r="BK43" i="1"/>
  <c r="BK42" i="1"/>
  <c r="BK41" i="1"/>
  <c r="BK40" i="1"/>
  <c r="BK39" i="1"/>
  <c r="BK38" i="1"/>
  <c r="BK37" i="1"/>
  <c r="BK36" i="1"/>
  <c r="BK35" i="1"/>
  <c r="BK34" i="1"/>
  <c r="BK33" i="1"/>
  <c r="BK32" i="1"/>
  <c r="BK31" i="1"/>
  <c r="BK30" i="1"/>
  <c r="BK29" i="1"/>
  <c r="BK28" i="1"/>
  <c r="BK23" i="1"/>
  <c r="BK22" i="1"/>
  <c r="BK21" i="1"/>
  <c r="BK20" i="1"/>
  <c r="BK19" i="1"/>
  <c r="BK18" i="1"/>
  <c r="BK17" i="1"/>
  <c r="BK16" i="1"/>
  <c r="BK15" i="1"/>
  <c r="BK14" i="1"/>
  <c r="BK13" i="1"/>
  <c r="BK12" i="1"/>
  <c r="BK11" i="1"/>
  <c r="BK10" i="1"/>
  <c r="BK9" i="1"/>
  <c r="AA86" i="1"/>
  <c r="AA83" i="1"/>
  <c r="AA82" i="1"/>
  <c r="AA81" i="1"/>
  <c r="AA80" i="1"/>
  <c r="AA77" i="1"/>
  <c r="AA70" i="1"/>
  <c r="AA59" i="1"/>
  <c r="AA56" i="1"/>
  <c r="AA50" i="1"/>
  <c r="AA44" i="1"/>
  <c r="AA39" i="1"/>
  <c r="AA36" i="1"/>
  <c r="AA28" i="1"/>
  <c r="AA26" i="1"/>
  <c r="AA17" i="1"/>
  <c r="AA9" i="1"/>
  <c r="AR85" i="1"/>
  <c r="BB87" i="1"/>
  <c r="BA87" i="1" l="1"/>
  <c r="BG85" i="1" l="1"/>
  <c r="BY85" i="1" s="1"/>
  <c r="BC85" i="1"/>
  <c r="BC10" i="1" l="1"/>
  <c r="BC11" i="1"/>
  <c r="BC12" i="1"/>
  <c r="BC13" i="1"/>
  <c r="BC15" i="1"/>
  <c r="BC16" i="1"/>
  <c r="BC17" i="1"/>
  <c r="BC18" i="1"/>
  <c r="BC19" i="1"/>
  <c r="BC20" i="1"/>
  <c r="BC21" i="1"/>
  <c r="BC22" i="1"/>
  <c r="BC23" i="1"/>
  <c r="BC24" i="1"/>
  <c r="BC25" i="1"/>
  <c r="BC26" i="1"/>
  <c r="BC27" i="1"/>
  <c r="BC28" i="1"/>
  <c r="BC29" i="1"/>
  <c r="BC30" i="1"/>
  <c r="BC31" i="1"/>
  <c r="BC32" i="1"/>
  <c r="BC33" i="1"/>
  <c r="BC34" i="1"/>
  <c r="BC35" i="1"/>
  <c r="BC36" i="1"/>
  <c r="BC38" i="1"/>
  <c r="BC39" i="1"/>
  <c r="BC40" i="1"/>
  <c r="BC41" i="1"/>
  <c r="BC43" i="1"/>
  <c r="BC44" i="1"/>
  <c r="BC45" i="1"/>
  <c r="BC46" i="1"/>
  <c r="BC47" i="1"/>
  <c r="BC48" i="1"/>
  <c r="BC49" i="1"/>
  <c r="BC50" i="1"/>
  <c r="BC51" i="1"/>
  <c r="BC52" i="1"/>
  <c r="BC53" i="1"/>
  <c r="BC54" i="1"/>
  <c r="BC55" i="1"/>
  <c r="BC56" i="1"/>
  <c r="BC57" i="1"/>
  <c r="BC58" i="1"/>
  <c r="BC59" i="1"/>
  <c r="BC60" i="1"/>
  <c r="BC61" i="1"/>
  <c r="BC62" i="1"/>
  <c r="BC63" i="1"/>
  <c r="BC64" i="1"/>
  <c r="BC66" i="1"/>
  <c r="BC67" i="1"/>
  <c r="BC68" i="1"/>
  <c r="BC69" i="1"/>
  <c r="BC70" i="1"/>
  <c r="BC71" i="1"/>
  <c r="BC72" i="1"/>
  <c r="BC73" i="1"/>
  <c r="BC74" i="1"/>
  <c r="BC75" i="1"/>
  <c r="BC76" i="1"/>
  <c r="BC77" i="1"/>
  <c r="BC78" i="1"/>
  <c r="BC79" i="1"/>
  <c r="BC80" i="1"/>
  <c r="BC81" i="1"/>
  <c r="BC82" i="1"/>
  <c r="BC83" i="1"/>
  <c r="BC84" i="1"/>
  <c r="BC86" i="1"/>
  <c r="BC9" i="1"/>
  <c r="O14" i="3" l="1"/>
  <c r="O13" i="3"/>
  <c r="O12" i="3"/>
  <c r="O10" i="3"/>
  <c r="O11" i="3"/>
  <c r="O7" i="3"/>
  <c r="L13" i="3"/>
  <c r="L12" i="3"/>
  <c r="L11" i="3"/>
  <c r="M10" i="3"/>
  <c r="L10" i="3"/>
  <c r="L7" i="3"/>
  <c r="N27" i="2"/>
  <c r="N26" i="2"/>
  <c r="L26" i="2"/>
  <c r="N25" i="2"/>
  <c r="L25" i="2"/>
  <c r="N24" i="2"/>
  <c r="L24" i="2"/>
  <c r="N23" i="2"/>
  <c r="M23" i="2"/>
  <c r="L23" i="2"/>
  <c r="N20" i="2"/>
  <c r="L20" i="2"/>
  <c r="N11" i="2"/>
  <c r="N10" i="2"/>
  <c r="N9" i="2"/>
  <c r="N8" i="2"/>
  <c r="N7" i="2"/>
  <c r="N4" i="2"/>
  <c r="L10" i="2"/>
  <c r="L9" i="2"/>
  <c r="L8" i="2"/>
  <c r="L7" i="2"/>
  <c r="L4" i="2"/>
  <c r="W80" i="1"/>
  <c r="W26" i="1"/>
  <c r="W73" i="1" l="1"/>
  <c r="W70" i="1"/>
  <c r="W86" i="1"/>
  <c r="W83" i="1"/>
  <c r="W82" i="1"/>
  <c r="W81" i="1"/>
  <c r="W64" i="1"/>
  <c r="W63" i="1"/>
  <c r="W59" i="1"/>
  <c r="W56" i="1"/>
  <c r="W50" i="1"/>
  <c r="W44" i="1"/>
  <c r="W39" i="1"/>
  <c r="W36" i="1"/>
  <c r="W28" i="1"/>
  <c r="W17" i="1"/>
  <c r="W9" i="1"/>
  <c r="BG10" i="1"/>
  <c r="BY10" i="1" s="1"/>
  <c r="BG11" i="1"/>
  <c r="BY11" i="1" s="1"/>
  <c r="BG12" i="1"/>
  <c r="BY12" i="1" s="1"/>
  <c r="BG13" i="1"/>
  <c r="BY13" i="1" s="1"/>
  <c r="BG14" i="1"/>
  <c r="BY14" i="1" s="1"/>
  <c r="BG15" i="1"/>
  <c r="BY15" i="1" s="1"/>
  <c r="BG16" i="1"/>
  <c r="BY16" i="1" s="1"/>
  <c r="BG17" i="1"/>
  <c r="BY17" i="1" s="1"/>
  <c r="BG18" i="1"/>
  <c r="BY18" i="1" s="1"/>
  <c r="BG19" i="1"/>
  <c r="BY19" i="1" s="1"/>
  <c r="BG20" i="1"/>
  <c r="BY20" i="1" s="1"/>
  <c r="BG21" i="1"/>
  <c r="BY21" i="1" s="1"/>
  <c r="BG22" i="1"/>
  <c r="BY22" i="1" s="1"/>
  <c r="BG23" i="1"/>
  <c r="BY23" i="1" s="1"/>
  <c r="BG24" i="1"/>
  <c r="BY24" i="1" s="1"/>
  <c r="BG25" i="1"/>
  <c r="BY25" i="1" s="1"/>
  <c r="BG26" i="1"/>
  <c r="BY26" i="1" s="1"/>
  <c r="BG27" i="1"/>
  <c r="BY27" i="1" s="1"/>
  <c r="BG28" i="1"/>
  <c r="BY28" i="1" s="1"/>
  <c r="BG29" i="1"/>
  <c r="BY29" i="1" s="1"/>
  <c r="BG30" i="1"/>
  <c r="BY30" i="1" s="1"/>
  <c r="BG31" i="1"/>
  <c r="BY31" i="1" s="1"/>
  <c r="BG32" i="1"/>
  <c r="BY32" i="1" s="1"/>
  <c r="BG33" i="1"/>
  <c r="BY33" i="1" s="1"/>
  <c r="BG34" i="1"/>
  <c r="BY34" i="1" s="1"/>
  <c r="BG35" i="1"/>
  <c r="BY35" i="1" s="1"/>
  <c r="BG36" i="1"/>
  <c r="BY36" i="1" s="1"/>
  <c r="BG37" i="1"/>
  <c r="BY37" i="1" s="1"/>
  <c r="BG38" i="1"/>
  <c r="BY38" i="1" s="1"/>
  <c r="BG39" i="1"/>
  <c r="BY39" i="1" s="1"/>
  <c r="BG40" i="1"/>
  <c r="BY40" i="1" s="1"/>
  <c r="BG41" i="1"/>
  <c r="BY41" i="1" s="1"/>
  <c r="BG42" i="1"/>
  <c r="BY42" i="1" s="1"/>
  <c r="BG43" i="1"/>
  <c r="BY43" i="1" s="1"/>
  <c r="BG44" i="1"/>
  <c r="BY44" i="1" s="1"/>
  <c r="BG45" i="1"/>
  <c r="BY45" i="1" s="1"/>
  <c r="BG46" i="1"/>
  <c r="BY46" i="1" s="1"/>
  <c r="BG47" i="1"/>
  <c r="BY47" i="1" s="1"/>
  <c r="BG48" i="1"/>
  <c r="BY48" i="1" s="1"/>
  <c r="BG49" i="1"/>
  <c r="BY49" i="1" s="1"/>
  <c r="BG50" i="1"/>
  <c r="BY50" i="1" s="1"/>
  <c r="BG51" i="1"/>
  <c r="BY51" i="1" s="1"/>
  <c r="BG52" i="1"/>
  <c r="BY52" i="1" s="1"/>
  <c r="BG53" i="1"/>
  <c r="BY53" i="1" s="1"/>
  <c r="BG54" i="1"/>
  <c r="BY54" i="1" s="1"/>
  <c r="BG55" i="1"/>
  <c r="BY55" i="1" s="1"/>
  <c r="BG56" i="1"/>
  <c r="BY56" i="1" s="1"/>
  <c r="BG57" i="1"/>
  <c r="BY57" i="1" s="1"/>
  <c r="BG58" i="1"/>
  <c r="BY58" i="1" s="1"/>
  <c r="BG59" i="1"/>
  <c r="BY59" i="1" s="1"/>
  <c r="BG60" i="1"/>
  <c r="BY60" i="1" s="1"/>
  <c r="BG61" i="1"/>
  <c r="BY61" i="1" s="1"/>
  <c r="BG62" i="1"/>
  <c r="BY62" i="1" s="1"/>
  <c r="BG63" i="1"/>
  <c r="BY63" i="1" s="1"/>
  <c r="BG64" i="1"/>
  <c r="BY64" i="1" s="1"/>
  <c r="BG65" i="1"/>
  <c r="BY65" i="1" s="1"/>
  <c r="BG66" i="1"/>
  <c r="BY66" i="1" s="1"/>
  <c r="BG67" i="1"/>
  <c r="BY67" i="1" s="1"/>
  <c r="BG68" i="1"/>
  <c r="BY68" i="1" s="1"/>
  <c r="BG69" i="1"/>
  <c r="BY69" i="1" s="1"/>
  <c r="BG70" i="1"/>
  <c r="BY70" i="1" s="1"/>
  <c r="BG71" i="1"/>
  <c r="BY71" i="1" s="1"/>
  <c r="BG72" i="1"/>
  <c r="BY72" i="1" s="1"/>
  <c r="BG73" i="1"/>
  <c r="BY73" i="1" s="1"/>
  <c r="BG74" i="1"/>
  <c r="BY74" i="1" s="1"/>
  <c r="BG75" i="1"/>
  <c r="BY75" i="1" s="1"/>
  <c r="BG76" i="1"/>
  <c r="BY76" i="1" s="1"/>
  <c r="BG77" i="1"/>
  <c r="BY77" i="1" s="1"/>
  <c r="BG78" i="1"/>
  <c r="BY78" i="1" s="1"/>
  <c r="BG80" i="1"/>
  <c r="BY80" i="1" s="1"/>
  <c r="BG81" i="1"/>
  <c r="BK87" i="1" s="1"/>
  <c r="BG82" i="1"/>
  <c r="BY82" i="1" s="1"/>
  <c r="BG83" i="1"/>
  <c r="BY83" i="1" s="1"/>
  <c r="BG84" i="1"/>
  <c r="BY84" i="1" s="1"/>
  <c r="BG86" i="1"/>
  <c r="BY86" i="1" s="1"/>
  <c r="BG9" i="1"/>
  <c r="BY9" i="1" s="1"/>
  <c r="AY87" i="1"/>
  <c r="AZ86" i="1"/>
  <c r="AZ84" i="1"/>
  <c r="AZ83" i="1"/>
  <c r="AZ82" i="1"/>
  <c r="AZ81" i="1"/>
  <c r="AZ80" i="1"/>
  <c r="AZ79" i="1"/>
  <c r="AZ78" i="1"/>
  <c r="AZ77" i="1"/>
  <c r="AZ76" i="1"/>
  <c r="AZ75" i="1"/>
  <c r="AZ74" i="1"/>
  <c r="AZ73" i="1"/>
  <c r="AZ72" i="1"/>
  <c r="AZ71" i="1"/>
  <c r="AZ70" i="1"/>
  <c r="AZ69" i="1"/>
  <c r="AZ68" i="1"/>
  <c r="AZ67" i="1"/>
  <c r="AZ66" i="1"/>
  <c r="AX65" i="1"/>
  <c r="AZ64" i="1"/>
  <c r="AZ63" i="1"/>
  <c r="AZ62" i="1"/>
  <c r="AZ61" i="1"/>
  <c r="AZ60" i="1"/>
  <c r="AZ59" i="1"/>
  <c r="AZ58" i="1"/>
  <c r="AZ57" i="1"/>
  <c r="AZ56" i="1"/>
  <c r="AZ55" i="1"/>
  <c r="AZ54" i="1"/>
  <c r="AZ53" i="1"/>
  <c r="AZ52" i="1"/>
  <c r="AZ51" i="1"/>
  <c r="AZ50" i="1"/>
  <c r="AZ49" i="1"/>
  <c r="AZ48" i="1"/>
  <c r="AZ47" i="1"/>
  <c r="AZ46" i="1"/>
  <c r="AZ45" i="1"/>
  <c r="AZ44" i="1"/>
  <c r="AB44" i="1"/>
  <c r="S44" i="1" s="1"/>
  <c r="AZ43" i="1"/>
  <c r="AX42" i="1"/>
  <c r="AZ41" i="1"/>
  <c r="AZ40" i="1"/>
  <c r="AZ39" i="1"/>
  <c r="AZ38" i="1"/>
  <c r="AX37" i="1"/>
  <c r="AZ36" i="1"/>
  <c r="AZ35" i="1"/>
  <c r="AZ34" i="1"/>
  <c r="AZ33" i="1"/>
  <c r="AZ32" i="1"/>
  <c r="AZ31" i="1"/>
  <c r="AZ30" i="1"/>
  <c r="AZ29" i="1"/>
  <c r="AZ28" i="1"/>
  <c r="S28" i="1"/>
  <c r="AZ27" i="1"/>
  <c r="AZ26" i="1"/>
  <c r="AZ25" i="1"/>
  <c r="AZ24" i="1"/>
  <c r="AZ23" i="1"/>
  <c r="AZ22" i="1"/>
  <c r="AZ21" i="1"/>
  <c r="AZ20" i="1"/>
  <c r="AZ19" i="1"/>
  <c r="AZ18" i="1"/>
  <c r="AZ17" i="1"/>
  <c r="AZ16" i="1"/>
  <c r="AZ15" i="1"/>
  <c r="AZ13" i="1"/>
  <c r="AZ12" i="1"/>
  <c r="AZ11" i="1"/>
  <c r="AZ10" i="1"/>
  <c r="AZ9" i="1"/>
  <c r="AB9" i="1"/>
  <c r="S9" i="1" s="1"/>
  <c r="BY81" i="1" l="1"/>
  <c r="BY79" i="1"/>
  <c r="AZ65" i="1"/>
  <c r="BC65" i="1"/>
  <c r="AZ42" i="1"/>
  <c r="BC42" i="1"/>
  <c r="AZ37" i="1"/>
  <c r="BC37" i="1"/>
  <c r="BC87" i="1" s="1"/>
  <c r="BG87" i="1"/>
  <c r="AX87" i="1"/>
  <c r="AZ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CA</author>
    <author>Luz Marlene Andrade</author>
    <author>JOHANA VIELLAR</author>
    <author>Sindy Reales Flórez</author>
    <author>Microsoft Office User</author>
    <author>Jose David Torne Lorduy</author>
    <author>tc={C0631CA0-2C9C-4C3D-9664-03CD4918B891}</author>
    <author>Nidia Bolaños Diazgranados</author>
    <author>tc={B13E524B-63DC-4FFB-A3C0-5FF2035F1DFA}</author>
  </authors>
  <commentList>
    <comment ref="O7" authorId="0" shapeId="0" xr:uid="{00000000-0006-0000-0000-000001000000}">
      <text>
        <r>
          <rPr>
            <b/>
            <sz val="9"/>
            <color indexed="81"/>
            <rFont val="Tahoma"/>
            <family val="2"/>
          </rPr>
          <t>USUARIO:
1. BIEN
2. SERVICIO</t>
        </r>
        <r>
          <rPr>
            <sz val="9"/>
            <color indexed="81"/>
            <rFont val="Tahoma"/>
            <family val="2"/>
          </rPr>
          <t xml:space="preserve">
</t>
        </r>
      </text>
    </comment>
    <comment ref="AK7" authorId="0" shapeId="0" xr:uid="{00000000-0006-0000-00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7"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G7" authorId="1" shapeId="0" xr:uid="{00000000-0006-0000-0000-000004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BK7" authorId="1" shapeId="0" xr:uid="{00000000-0006-0000-0000-000005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BL7" authorId="2" shapeId="0" xr:uid="{00000000-0006-0000-0000-000006000000}">
      <text>
        <r>
          <rPr>
            <b/>
            <sz val="9"/>
            <color indexed="81"/>
            <rFont val="Tahoma"/>
            <family val="2"/>
          </rPr>
          <t>Luz Marlene Andrade:</t>
        </r>
        <r>
          <rPr>
            <sz val="9"/>
            <color indexed="81"/>
            <rFont val="Tahoma"/>
            <family val="2"/>
          </rPr>
          <t xml:space="preserve">
1. Recursos Propios - ICLD
2. SGP
3. Donaciones
</t>
        </r>
      </text>
    </comment>
    <comment ref="BQ7" authorId="3" shapeId="0" xr:uid="{00000000-0006-0000-0000-000007000000}">
      <text>
        <r>
          <rPr>
            <sz val="9"/>
            <color indexed="81"/>
            <rFont val="Tahoma"/>
            <family val="2"/>
          </rPr>
          <t xml:space="preserve">VER ANEXO 1
</t>
        </r>
      </text>
    </comment>
    <comment ref="BR7" authorId="3" shapeId="0" xr:uid="{00000000-0006-0000-0000-000008000000}">
      <text>
        <r>
          <rPr>
            <b/>
            <sz val="9"/>
            <color indexed="81"/>
            <rFont val="Tahoma"/>
            <family val="2"/>
          </rPr>
          <t>VER ANEXO 1</t>
        </r>
        <r>
          <rPr>
            <sz val="9"/>
            <color indexed="81"/>
            <rFont val="Tahoma"/>
            <family val="2"/>
          </rPr>
          <t xml:space="preserve">
</t>
        </r>
      </text>
    </comment>
    <comment ref="AO15" authorId="4" shapeId="0" xr:uid="{00000000-0006-0000-0000-000009000000}">
      <text>
        <r>
          <rPr>
            <sz val="9"/>
            <color indexed="81"/>
            <rFont val="Tahoma"/>
            <family val="2"/>
          </rPr>
          <t xml:space="preserve">ACOPI
</t>
        </r>
      </text>
    </comment>
    <comment ref="AO24" authorId="4" shapeId="0" xr:uid="{00000000-0006-0000-0000-00000A000000}">
      <text>
        <r>
          <rPr>
            <b/>
            <sz val="9"/>
            <color indexed="81"/>
            <rFont val="Tahoma"/>
            <family val="2"/>
          </rPr>
          <t>propuesta de centro de servicios empresariales</t>
        </r>
      </text>
    </comment>
    <comment ref="W26" authorId="5" shapeId="0" xr:uid="{00000000-0006-0000-0000-00000B000000}">
      <text>
        <r>
          <rPr>
            <b/>
            <sz val="10"/>
            <color rgb="FF000000"/>
            <rFont val="Tahoma"/>
            <family val="2"/>
          </rPr>
          <t>Microsoft Office User:</t>
        </r>
        <r>
          <rPr>
            <sz val="10"/>
            <color rgb="FF000000"/>
            <rFont val="Tahoma"/>
            <family val="2"/>
          </rPr>
          <t xml:space="preserve">
</t>
        </r>
        <r>
          <rPr>
            <sz val="10"/>
            <color rgb="FF000000"/>
            <rFont val="Tahoma"/>
            <family val="2"/>
          </rPr>
          <t>Para esta meta no se reporta avance, ya que para poder hacerlo, se requiere de un proceso de asistencia tecnica que deberá ser realizado mediante la ejecución de un convenio con un aliado estrategico que permita brindar servicios de asistencia tecnica especializada. Y para verificar si dicho impacto se dió, es necesario que primero se realicen sobre las unidades productivas las actividades pertinentes y realizar un ejercicio de medicón para ver encuanto incrementó la productividad en función al esfuerzo realizado por la alcaldía y por el convenido.</t>
        </r>
      </text>
    </comment>
    <comment ref="BF27" authorId="5" shapeId="0" xr:uid="{00000000-0006-0000-0000-00000C00000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BJ27" authorId="5" shapeId="0" xr:uid="{00000000-0006-0000-0000-00000D00000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S40" authorId="1" shapeId="0" xr:uid="{00000000-0006-0000-0000-00000E000000}">
      <text>
        <r>
          <rPr>
            <b/>
            <sz val="9"/>
            <color indexed="81"/>
            <rFont val="Tahoma"/>
            <family val="2"/>
          </rPr>
          <t>CA:
Programamos 1 o no programamos?</t>
        </r>
      </text>
    </comment>
    <comment ref="AO45" authorId="4" shapeId="0" xr:uid="{00000000-0006-0000-0000-00000F000000}">
      <text>
        <r>
          <rPr>
            <b/>
            <sz val="9"/>
            <color indexed="81"/>
            <rFont val="Tahoma"/>
            <family val="2"/>
          </rPr>
          <t>Pontezuela</t>
        </r>
        <r>
          <rPr>
            <sz val="9"/>
            <color indexed="81"/>
            <rFont val="Tahoma"/>
            <family val="2"/>
          </rPr>
          <t xml:space="preserve">
</t>
        </r>
      </text>
    </comment>
    <comment ref="AO48" authorId="4" shapeId="0" xr:uid="{00000000-0006-0000-0000-000010000000}">
      <text>
        <r>
          <rPr>
            <b/>
            <sz val="9"/>
            <color indexed="81"/>
            <rFont val="Tahoma"/>
            <family val="2"/>
          </rPr>
          <t xml:space="preserve">SOSTENIMIENTO - FUNDACIÓN CORONA </t>
        </r>
        <r>
          <rPr>
            <sz val="9"/>
            <color indexed="81"/>
            <rFont val="Tahoma"/>
            <family val="2"/>
          </rPr>
          <t xml:space="preserve">
</t>
        </r>
      </text>
    </comment>
    <comment ref="AO49" authorId="4" shapeId="0" xr:uid="{00000000-0006-0000-0000-000011000000}">
      <text>
        <r>
          <rPr>
            <b/>
            <sz val="9"/>
            <color indexed="81"/>
            <rFont val="Tahoma"/>
            <family val="2"/>
          </rPr>
          <t>SOSTENIMIENTO</t>
        </r>
      </text>
    </comment>
    <comment ref="AO51" authorId="4" shapeId="0" xr:uid="{00000000-0006-0000-0000-000012000000}">
      <text>
        <r>
          <rPr>
            <b/>
            <sz val="9"/>
            <color indexed="81"/>
            <rFont val="Tahoma"/>
            <family val="2"/>
          </rPr>
          <t>ASISTENCIA TÉCNICA CON MIN TRABAJO 
- MESAS DE TRABAJO CON CLÚSTER  MANTENIMIENTO COMPETITIVO Y PQP</t>
        </r>
      </text>
    </comment>
    <comment ref="AO54" authorId="4" shapeId="0" xr:uid="{00000000-0006-0000-0000-000013000000}">
      <text>
        <r>
          <rPr>
            <b/>
            <sz val="9"/>
            <color indexed="81"/>
            <rFont val="Tahoma"/>
            <family val="2"/>
          </rPr>
          <t>INSTANCIA DE COOPERACIÓN CON EL CUEE</t>
        </r>
      </text>
    </comment>
    <comment ref="AX56" authorId="6" shapeId="0" xr:uid="{00000000-0006-0000-0000-000014000000}">
      <text>
        <r>
          <rPr>
            <b/>
            <sz val="9"/>
            <color indexed="81"/>
            <rFont val="Tahoma"/>
            <family val="2"/>
          </rPr>
          <t>Colocar el valor inicial del proyecto o el valor ajustado de la ultima actualización. En Recursos Propios</t>
        </r>
      </text>
    </comment>
    <comment ref="I63" authorId="7" shapeId="0" xr:uid="{00000000-0006-0000-0000-000015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JUSTIFICAR</t>
      </text>
    </comment>
    <comment ref="P68" authorId="8" shapeId="0" xr:uid="{00000000-0006-0000-0000-000016000000}">
      <text>
        <r>
          <rPr>
            <b/>
            <sz val="9"/>
            <color indexed="81"/>
            <rFont val="Tahoma"/>
            <family val="2"/>
          </rPr>
          <t>Nidia Bolaños Diazgranados:</t>
        </r>
        <r>
          <rPr>
            <sz val="9"/>
            <color indexed="81"/>
            <rFont val="Tahoma"/>
            <family val="2"/>
          </rPr>
          <t xml:space="preserve">
Por favor revisar</t>
        </r>
      </text>
    </comment>
    <comment ref="AO75" authorId="4" shapeId="0" xr:uid="{00000000-0006-0000-0000-000017000000}">
      <text>
        <r>
          <rPr>
            <sz val="9"/>
            <color indexed="81"/>
            <rFont val="Tahoma"/>
            <family val="2"/>
          </rPr>
          <t xml:space="preserve">
En proceso de elaboracion.</t>
        </r>
      </text>
    </comment>
    <comment ref="I77" authorId="9" shapeId="0" xr:uid="{00000000-0006-0000-0000-000018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Acumulado</t>
      </text>
    </comment>
    <comment ref="I79" authorId="4" shapeId="0" xr:uid="{00000000-0006-0000-0000-000019000000}">
      <text>
        <r>
          <rPr>
            <b/>
            <sz val="9"/>
            <color indexed="81"/>
            <rFont val="Tahoma"/>
            <family val="2"/>
          </rPr>
          <t>Sindy Reales Flórez:</t>
        </r>
        <r>
          <rPr>
            <sz val="9"/>
            <color indexed="81"/>
            <rFont val="Tahoma"/>
            <family val="2"/>
          </rPr>
          <t xml:space="preserve">
Acumulado</t>
        </r>
      </text>
    </comment>
    <comment ref="BE79" authorId="1" shapeId="0" xr:uid="{00000000-0006-0000-0000-00001A000000}">
      <text>
        <r>
          <rPr>
            <b/>
            <sz val="9"/>
            <color indexed="81"/>
            <rFont val="Tahoma"/>
            <family val="2"/>
          </rPr>
          <t>CA:</t>
        </r>
        <r>
          <rPr>
            <sz val="9"/>
            <color indexed="81"/>
            <rFont val="Tahoma"/>
            <family val="2"/>
          </rPr>
          <t xml:space="preserve">
OPS GO CATASTRO</t>
        </r>
      </text>
    </comment>
    <comment ref="I80" authorId="4" shapeId="0" xr:uid="{00000000-0006-0000-0000-00001B000000}">
      <text>
        <r>
          <rPr>
            <b/>
            <sz val="9"/>
            <color indexed="81"/>
            <rFont val="Tahoma"/>
            <family val="2"/>
          </rPr>
          <t>Sindy Reales Flórez:</t>
        </r>
        <r>
          <rPr>
            <sz val="9"/>
            <color indexed="81"/>
            <rFont val="Tahoma"/>
            <family val="2"/>
          </rPr>
          <t xml:space="preserve">
Acumulado
</t>
        </r>
      </text>
    </comment>
    <comment ref="I81" authorId="4" shapeId="0" xr:uid="{00000000-0006-0000-0000-00001C000000}">
      <text>
        <r>
          <rPr>
            <b/>
            <sz val="9"/>
            <color indexed="81"/>
            <rFont val="Tahoma"/>
            <family val="2"/>
          </rPr>
          <t>Sindy Reales Flórez:</t>
        </r>
        <r>
          <rPr>
            <sz val="9"/>
            <color indexed="81"/>
            <rFont val="Tahoma"/>
            <family val="2"/>
          </rPr>
          <t xml:space="preserve">
Acumulado</t>
        </r>
      </text>
    </comment>
    <comment ref="I82" authorId="4" shapeId="0" xr:uid="{00000000-0006-0000-0000-00001D000000}">
      <text>
        <r>
          <rPr>
            <b/>
            <sz val="9"/>
            <color indexed="81"/>
            <rFont val="Tahoma"/>
            <family val="2"/>
          </rPr>
          <t>Sindy Reales Flórez:</t>
        </r>
        <r>
          <rPr>
            <sz val="9"/>
            <color indexed="81"/>
            <rFont val="Tahoma"/>
            <family val="2"/>
          </rPr>
          <t xml:space="preserve">
Acumulado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CA</author>
    <author>Luz Marlene Andrade</author>
    <author>JOHANA VIELLAR</author>
    <author>Sindy Reales Flórez</author>
    <author>Microsoft Office User</author>
    <author>Jose David Torne Lorduy</author>
    <author>tc={DD08F4EB-7CC2-43FE-992D-A6E57939DD02}</author>
    <author>Nidia Bolaños Diazgranados</author>
    <author>tc={6DA31F37-DF28-4257-B623-D199B5E4B2D5}</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V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X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CG7" authorId="1" shapeId="0" xr:uid="{00000000-0006-0000-0100-000004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CK7" authorId="1" shapeId="0" xr:uid="{00000000-0006-0000-0100-000005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CO7" authorId="1" shapeId="0" xr:uid="{00000000-0006-0000-0100-000006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CS7" authorId="1" shapeId="0" xr:uid="{00000000-0006-0000-0100-000007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CT7" authorId="2" shapeId="0" xr:uid="{00000000-0006-0000-0100-000008000000}">
      <text>
        <r>
          <rPr>
            <b/>
            <sz val="9"/>
            <color indexed="81"/>
            <rFont val="Tahoma"/>
            <family val="2"/>
          </rPr>
          <t>Luz Marlene Andrade:</t>
        </r>
        <r>
          <rPr>
            <sz val="9"/>
            <color indexed="81"/>
            <rFont val="Tahoma"/>
            <family val="2"/>
          </rPr>
          <t xml:space="preserve">
1. Recursos Propios - ICLD
2. SGP
3. Donaciones
</t>
        </r>
      </text>
    </comment>
    <comment ref="CY7" authorId="3" shapeId="0" xr:uid="{00000000-0006-0000-0100-000009000000}">
      <text>
        <r>
          <rPr>
            <sz val="9"/>
            <color indexed="81"/>
            <rFont val="Tahoma"/>
            <family val="2"/>
          </rPr>
          <t xml:space="preserve">VER ANEXO 1
</t>
        </r>
      </text>
    </comment>
    <comment ref="CZ7" authorId="3" shapeId="0" xr:uid="{00000000-0006-0000-0100-00000A000000}">
      <text>
        <r>
          <rPr>
            <b/>
            <sz val="9"/>
            <color indexed="81"/>
            <rFont val="Tahoma"/>
            <family val="2"/>
          </rPr>
          <t>VER ANEXO 1</t>
        </r>
        <r>
          <rPr>
            <sz val="9"/>
            <color indexed="81"/>
            <rFont val="Tahoma"/>
            <family val="2"/>
          </rPr>
          <t xml:space="preserve">
</t>
        </r>
      </text>
    </comment>
    <comment ref="AZ16" authorId="4" shapeId="0" xr:uid="{00000000-0006-0000-0100-00000B000000}">
      <text>
        <r>
          <rPr>
            <sz val="9"/>
            <color indexed="81"/>
            <rFont val="Tahoma"/>
            <family val="2"/>
          </rPr>
          <t xml:space="preserve">ACOPI
</t>
        </r>
      </text>
    </comment>
    <comment ref="BA16" authorId="4" shapeId="0" xr:uid="{00000000-0006-0000-0100-00000C000000}">
      <text>
        <r>
          <rPr>
            <sz val="9"/>
            <color indexed="81"/>
            <rFont val="Tahoma"/>
            <family val="2"/>
          </rPr>
          <t xml:space="preserve">ACOPI
</t>
        </r>
      </text>
    </comment>
    <comment ref="BB16" authorId="4" shapeId="0" xr:uid="{00000000-0006-0000-0100-00000D000000}">
      <text>
        <r>
          <rPr>
            <sz val="9"/>
            <color indexed="81"/>
            <rFont val="Tahoma"/>
            <family val="2"/>
          </rPr>
          <t xml:space="preserve">ACOPI
</t>
        </r>
      </text>
    </comment>
    <comment ref="AZ26" authorId="4" shapeId="0" xr:uid="{00000000-0006-0000-0100-00000E000000}">
      <text>
        <r>
          <rPr>
            <b/>
            <sz val="9"/>
            <color indexed="81"/>
            <rFont val="Tahoma"/>
            <family val="2"/>
          </rPr>
          <t>propuesta de centro de servicios empresariales</t>
        </r>
      </text>
    </comment>
    <comment ref="BA26" authorId="4" shapeId="0" xr:uid="{00000000-0006-0000-0100-00000F000000}">
      <text>
        <r>
          <rPr>
            <b/>
            <sz val="9"/>
            <color indexed="81"/>
            <rFont val="Tahoma"/>
            <family val="2"/>
          </rPr>
          <t>propuesta de centro de servicios empresariales</t>
        </r>
      </text>
    </comment>
    <comment ref="BB26" authorId="4" shapeId="0" xr:uid="{00000000-0006-0000-0100-000010000000}">
      <text>
        <r>
          <rPr>
            <b/>
            <sz val="9"/>
            <color indexed="81"/>
            <rFont val="Tahoma"/>
            <family val="2"/>
          </rPr>
          <t>propuesta de centro de servicios empresariales</t>
        </r>
      </text>
    </comment>
    <comment ref="W28" authorId="5" shapeId="0" xr:uid="{00000000-0006-0000-0100-000011000000}">
      <text>
        <r>
          <rPr>
            <b/>
            <sz val="10"/>
            <color rgb="FF000000"/>
            <rFont val="Tahoma"/>
            <family val="2"/>
          </rPr>
          <t>Microsoft Office User:</t>
        </r>
        <r>
          <rPr>
            <sz val="10"/>
            <color rgb="FF000000"/>
            <rFont val="Tahoma"/>
            <family val="2"/>
          </rPr>
          <t xml:space="preserve">
</t>
        </r>
        <r>
          <rPr>
            <sz val="10"/>
            <color rgb="FF000000"/>
            <rFont val="Tahoma"/>
            <family val="2"/>
          </rPr>
          <t>Para esta meta no se reporta avance, ya que para poder hacerlo, se requiere de un proceso de asistencia tecnica que deberá ser realizado mediante la ejecución de un convenio con un aliado estrategico que permita brindar servicios de asistencia tecnica especializada. Y para verificar si dicho impacto se dió, es necesario que primero se realicen sobre las unidades productivas las actividades pertinentes y realizar un ejercicio de medicón para ver encuanto incrementó la productividad en función al esfuerzo realizado por la alcaldía y por el convenido.</t>
        </r>
      </text>
    </comment>
    <comment ref="CR28" authorId="1" shapeId="0" xr:uid="{00000000-0006-0000-0100-000012000000}">
      <text>
        <r>
          <rPr>
            <b/>
            <sz val="9"/>
            <color indexed="81"/>
            <rFont val="Tahoma"/>
            <family val="2"/>
          </rPr>
          <t>CA:</t>
        </r>
        <r>
          <rPr>
            <sz val="9"/>
            <color indexed="81"/>
            <rFont val="Tahoma"/>
            <family val="2"/>
          </rPr>
          <t xml:space="preserve">
Se indica el pago total que deberá hacerse a cierrre de diciembre según contratación. </t>
        </r>
      </text>
    </comment>
    <comment ref="CF29" authorId="5" shapeId="0" xr:uid="{00000000-0006-0000-0100-00001300000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CJ29" authorId="5" shapeId="0" xr:uid="{00000000-0006-0000-0100-00001400000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CN29" authorId="5" shapeId="0" xr:uid="{00000000-0006-0000-0100-000015000000}">
      <text>
        <r>
          <rPr>
            <b/>
            <sz val="10"/>
            <color rgb="FF000000"/>
            <rFont val="Tahoma"/>
            <family val="2"/>
          </rPr>
          <t>Microsoft Office User:</t>
        </r>
        <r>
          <rPr>
            <sz val="10"/>
            <color rgb="FF000000"/>
            <rFont val="Tahoma"/>
            <family val="2"/>
          </rPr>
          <t xml:space="preserve">
</t>
        </r>
        <r>
          <rPr>
            <sz val="10"/>
            <color rgb="FF000000"/>
            <rFont val="Tahoma"/>
            <family val="2"/>
          </rPr>
          <t xml:space="preserve">Es clave mencionar que, pese a que no se ha movido la erogación de este presupuesto asignado para este proceso, si se hna venido realizando actividades de gestión administrativa que permitirán al finalizar, firmar un convenio para prestar servicios de asistencia tecnica a empresas priorizadas... Dicho proceso se espero sacar a mediados del mes de abril.
</t>
        </r>
      </text>
    </comment>
    <comment ref="S44" authorId="1" shapeId="0" xr:uid="{00000000-0006-0000-0100-000016000000}">
      <text>
        <r>
          <rPr>
            <b/>
            <sz val="9"/>
            <color indexed="81"/>
            <rFont val="Tahoma"/>
            <family val="2"/>
          </rPr>
          <t>CA:
Programamos 1 o no programamos?</t>
        </r>
      </text>
    </comment>
    <comment ref="AZ49" authorId="4" shapeId="0" xr:uid="{00000000-0006-0000-0100-000017000000}">
      <text>
        <r>
          <rPr>
            <b/>
            <sz val="20"/>
            <color indexed="81"/>
            <rFont val="Tahoma"/>
            <family val="2"/>
          </rPr>
          <t>Pontezuela</t>
        </r>
        <r>
          <rPr>
            <sz val="20"/>
            <color indexed="81"/>
            <rFont val="Tahoma"/>
            <family val="2"/>
          </rPr>
          <t xml:space="preserve">
</t>
        </r>
      </text>
    </comment>
    <comment ref="AZ53" authorId="4" shapeId="0" xr:uid="{00000000-0006-0000-0100-000018000000}">
      <text>
        <r>
          <rPr>
            <b/>
            <sz val="9"/>
            <color indexed="81"/>
            <rFont val="Tahoma"/>
            <family val="2"/>
          </rPr>
          <t xml:space="preserve">SOSTENIMIENTO - FUNDACIÓN CORONA </t>
        </r>
        <r>
          <rPr>
            <sz val="9"/>
            <color indexed="81"/>
            <rFont val="Tahoma"/>
            <family val="2"/>
          </rPr>
          <t xml:space="preserve">
</t>
        </r>
      </text>
    </comment>
    <comment ref="BA53" authorId="4" shapeId="0" xr:uid="{00000000-0006-0000-0100-000019000000}">
      <text>
        <r>
          <rPr>
            <b/>
            <sz val="9"/>
            <color indexed="81"/>
            <rFont val="Tahoma"/>
            <family val="2"/>
          </rPr>
          <t xml:space="preserve">SOSTENIMIENTO - FUNDACIÓN CORONA </t>
        </r>
        <r>
          <rPr>
            <sz val="9"/>
            <color indexed="81"/>
            <rFont val="Tahoma"/>
            <family val="2"/>
          </rPr>
          <t xml:space="preserve">
</t>
        </r>
      </text>
    </comment>
    <comment ref="BB53" authorId="4" shapeId="0" xr:uid="{00000000-0006-0000-0100-00001A000000}">
      <text>
        <r>
          <rPr>
            <b/>
            <sz val="9"/>
            <color indexed="81"/>
            <rFont val="Tahoma"/>
            <family val="2"/>
          </rPr>
          <t xml:space="preserve">SOSTENIMIENTO - FUNDACIÓN CORONA </t>
        </r>
        <r>
          <rPr>
            <sz val="9"/>
            <color indexed="81"/>
            <rFont val="Tahoma"/>
            <family val="2"/>
          </rPr>
          <t xml:space="preserve">
</t>
        </r>
      </text>
    </comment>
    <comment ref="AZ54" authorId="4" shapeId="0" xr:uid="{00000000-0006-0000-0100-00001B000000}">
      <text>
        <r>
          <rPr>
            <b/>
            <sz val="9"/>
            <color indexed="81"/>
            <rFont val="Tahoma"/>
            <family val="2"/>
          </rPr>
          <t>SOSTENIMIENTO</t>
        </r>
      </text>
    </comment>
    <comment ref="BA54" authorId="4" shapeId="0" xr:uid="{00000000-0006-0000-0100-00001C000000}">
      <text>
        <r>
          <rPr>
            <b/>
            <sz val="9"/>
            <color indexed="81"/>
            <rFont val="Tahoma"/>
            <family val="2"/>
          </rPr>
          <t>SOSTENIMIENTO</t>
        </r>
      </text>
    </comment>
    <comment ref="BB54" authorId="4" shapeId="0" xr:uid="{00000000-0006-0000-0100-00001D000000}">
      <text>
        <r>
          <rPr>
            <b/>
            <sz val="9"/>
            <color indexed="81"/>
            <rFont val="Tahoma"/>
            <family val="2"/>
          </rPr>
          <t>SOSTENIMIENTO</t>
        </r>
      </text>
    </comment>
    <comment ref="AZ56" authorId="4" shapeId="0" xr:uid="{00000000-0006-0000-0100-00001E000000}">
      <text>
        <r>
          <rPr>
            <b/>
            <sz val="9"/>
            <color indexed="81"/>
            <rFont val="Tahoma"/>
            <family val="2"/>
          </rPr>
          <t>ASISTENCIA TÉCNICA CON MIN TRABAJO 
- MESAS DE TRABAJO CON CLÚSTER  MANTENIMIENTO COMPETITIVO Y PQP</t>
        </r>
      </text>
    </comment>
    <comment ref="AZ59" authorId="4" shapeId="0" xr:uid="{00000000-0006-0000-0100-00001F000000}">
      <text>
        <r>
          <rPr>
            <b/>
            <sz val="9"/>
            <color indexed="81"/>
            <rFont val="Tahoma"/>
            <family val="2"/>
          </rPr>
          <t>INSTANCIA DE COOPERACIÓN CON EL CUEE</t>
        </r>
      </text>
    </comment>
    <comment ref="BA59" authorId="4" shapeId="0" xr:uid="{00000000-0006-0000-0100-000020000000}">
      <text>
        <r>
          <rPr>
            <b/>
            <sz val="9"/>
            <color indexed="81"/>
            <rFont val="Tahoma"/>
            <family val="2"/>
          </rPr>
          <t>INSTANCIA DE COOPERACIÓN CON EL CUEE</t>
        </r>
      </text>
    </comment>
    <comment ref="BB59" authorId="4" shapeId="0" xr:uid="{00000000-0006-0000-0100-000021000000}">
      <text>
        <r>
          <rPr>
            <b/>
            <sz val="9"/>
            <color indexed="81"/>
            <rFont val="Tahoma"/>
            <family val="2"/>
          </rPr>
          <t>INSTANCIA DE COOPERACIÓN CON EL CUEE</t>
        </r>
      </text>
    </comment>
    <comment ref="BV62" authorId="6" shapeId="0" xr:uid="{00000000-0006-0000-0100-000022000000}">
      <text>
        <r>
          <rPr>
            <b/>
            <sz val="9"/>
            <color indexed="81"/>
            <rFont val="Tahoma"/>
            <family val="2"/>
          </rPr>
          <t>Colocar el valor inicial del proyecto o el valor ajustado de la ultima actualización. En Recursos Propios</t>
        </r>
      </text>
    </comment>
    <comment ref="I69" authorId="7" shapeId="0" xr:uid="{00000000-0006-0000-0100-00002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JUSTIFICAR</t>
      </text>
    </comment>
    <comment ref="P75" authorId="8" shapeId="0" xr:uid="{00000000-0006-0000-0100-000024000000}">
      <text>
        <r>
          <rPr>
            <b/>
            <sz val="9"/>
            <color indexed="81"/>
            <rFont val="Tahoma"/>
            <family val="2"/>
          </rPr>
          <t>Nidia Bolaños Diazgranados:</t>
        </r>
        <r>
          <rPr>
            <sz val="9"/>
            <color indexed="81"/>
            <rFont val="Tahoma"/>
            <family val="2"/>
          </rPr>
          <t xml:space="preserve">
Por favor revisar</t>
        </r>
      </text>
    </comment>
    <comment ref="I87" authorId="9" shapeId="0" xr:uid="{00000000-0006-0000-0100-000025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Acumulado</t>
      </text>
    </comment>
    <comment ref="I89" authorId="4" shapeId="0" xr:uid="{00000000-0006-0000-0100-000026000000}">
      <text>
        <r>
          <rPr>
            <b/>
            <sz val="9"/>
            <color indexed="81"/>
            <rFont val="Tahoma"/>
            <family val="2"/>
          </rPr>
          <t>Sindy Reales Flórez:</t>
        </r>
        <r>
          <rPr>
            <sz val="9"/>
            <color indexed="81"/>
            <rFont val="Tahoma"/>
            <family val="2"/>
          </rPr>
          <t xml:space="preserve">
Acumulado</t>
        </r>
      </text>
    </comment>
    <comment ref="CE89" authorId="1" shapeId="0" xr:uid="{00000000-0006-0000-0100-000027000000}">
      <text>
        <r>
          <rPr>
            <b/>
            <sz val="9"/>
            <color indexed="81"/>
            <rFont val="Tahoma"/>
            <family val="2"/>
          </rPr>
          <t>CA:</t>
        </r>
        <r>
          <rPr>
            <sz val="9"/>
            <color indexed="81"/>
            <rFont val="Tahoma"/>
            <family val="2"/>
          </rPr>
          <t xml:space="preserve">
OPS GO CATASTRO</t>
        </r>
      </text>
    </comment>
    <comment ref="I90" authorId="4" shapeId="0" xr:uid="{00000000-0006-0000-0100-000028000000}">
      <text>
        <r>
          <rPr>
            <b/>
            <sz val="9"/>
            <color indexed="81"/>
            <rFont val="Tahoma"/>
            <family val="2"/>
          </rPr>
          <t>Sindy Reales Flórez:</t>
        </r>
        <r>
          <rPr>
            <sz val="9"/>
            <color indexed="81"/>
            <rFont val="Tahoma"/>
            <family val="2"/>
          </rPr>
          <t xml:space="preserve">
Acumulado
</t>
        </r>
      </text>
    </comment>
    <comment ref="I91" authorId="4" shapeId="0" xr:uid="{00000000-0006-0000-0100-000029000000}">
      <text>
        <r>
          <rPr>
            <b/>
            <sz val="9"/>
            <color indexed="81"/>
            <rFont val="Tahoma"/>
            <family val="2"/>
          </rPr>
          <t>Sindy Reales Flórez:</t>
        </r>
        <r>
          <rPr>
            <sz val="9"/>
            <color indexed="81"/>
            <rFont val="Tahoma"/>
            <family val="2"/>
          </rPr>
          <t xml:space="preserve">
Acumulado</t>
        </r>
      </text>
    </comment>
    <comment ref="I92" authorId="4" shapeId="0" xr:uid="{00000000-0006-0000-0100-00002A000000}">
      <text>
        <r>
          <rPr>
            <b/>
            <sz val="9"/>
            <color indexed="81"/>
            <rFont val="Tahoma"/>
            <family val="2"/>
          </rPr>
          <t>Sindy Reales Flórez:</t>
        </r>
        <r>
          <rPr>
            <sz val="9"/>
            <color indexed="81"/>
            <rFont val="Tahoma"/>
            <family val="2"/>
          </rPr>
          <t xml:space="preserve">
Acumulado</t>
        </r>
      </text>
    </comment>
  </commentList>
</comments>
</file>

<file path=xl/sharedStrings.xml><?xml version="1.0" encoding="utf-8"?>
<sst xmlns="http://schemas.openxmlformats.org/spreadsheetml/2006/main" count="3570" uniqueCount="806">
  <si>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</si>
  <si>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</si>
  <si>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</si>
  <si>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</si>
  <si>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</si>
  <si>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</si>
  <si>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</si>
  <si>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</si>
  <si>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</si>
  <si>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</si>
  <si>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r>
      <t xml:space="preserve">NO ES PERTINENTE COLOCAR ITEM </t>
    </r>
    <r>
      <rPr>
        <b/>
        <i/>
        <u/>
        <sz val="20"/>
        <color rgb="FFFF0000"/>
        <rFont val="Arial"/>
        <family val="2"/>
      </rPr>
      <t>DEPENDENCIA</t>
    </r>
    <r>
      <rPr>
        <b/>
        <sz val="20"/>
        <color rgb="FFFF0000"/>
        <rFont val="Arial"/>
        <family val="2"/>
      </rPr>
      <t xml:space="preserve">, TENIENDO EN CUENTA QUE EXISTEN LAS COLUMNAS </t>
    </r>
    <r>
      <rPr>
        <b/>
        <u/>
        <sz val="20"/>
        <color rgb="FFFF0000"/>
        <rFont val="Arial"/>
        <family val="2"/>
      </rPr>
      <t>AF, AG</t>
    </r>
    <r>
      <rPr>
        <b/>
        <sz val="20"/>
        <color rgb="FFFF0000"/>
        <rFont val="Arial"/>
        <family val="2"/>
      </rPr>
      <t xml:space="preserve"> QUE DEFINE LA DEPENDENCIA Y EL NOMBRE RESPONSABLE.</t>
    </r>
  </si>
  <si>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</si>
  <si>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</si>
  <si>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</si>
  <si>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</si>
  <si>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</si>
  <si>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</si>
  <si>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</si>
  <si>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</si>
  <si>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</si>
  <si>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</si>
  <si>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</si>
  <si>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</si>
  <si>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</si>
  <si>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</si>
  <si>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</si>
  <si>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</si>
  <si>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</si>
  <si>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</si>
  <si>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</si>
  <si>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</si>
  <si>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</si>
  <si>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</si>
  <si>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</si>
  <si>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</si>
  <si>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</si>
  <si>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</si>
  <si>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</si>
  <si>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</si>
  <si>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</si>
  <si>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</si>
  <si>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</si>
  <si>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</si>
  <si>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</si>
  <si>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</si>
  <si>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</si>
  <si>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</si>
  <si>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</si>
  <si>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</si>
  <si>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</si>
  <si>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</si>
  <si>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</si>
  <si>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</si>
  <si>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</si>
  <si>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</si>
  <si>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</si>
  <si>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MODIFICACIÓN POR TRASLADO FINANZAS</t>
  </si>
  <si>
    <t>NUEVA PAPROPIACIÓN POR TRASLADO FINANZAS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</si>
  <si>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</si>
  <si>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</si>
  <si>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</si>
  <si>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</si>
  <si>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</si>
  <si>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</si>
  <si>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</si>
  <si>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</si>
  <si>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</si>
  <si>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</si>
  <si>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</si>
  <si>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</si>
  <si>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</si>
  <si>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</si>
  <si>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</si>
  <si>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</si>
  <si>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</si>
  <si>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</si>
  <si>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</si>
  <si>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</si>
  <si>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</si>
  <si>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500 Iniciativas productivas creadas adaptadas a las condiciones de crisis sanitarias, sociales y ambientales que se presenten.</t>
  </si>
  <si>
    <t>X</t>
  </si>
  <si>
    <t>Servicio de asistencia técnica para fortalecimiento de unidades productivas colectivas para la generación de ingresos</t>
  </si>
  <si>
    <t xml:space="preserve">Gestión con Valores para Resultados
Direccionamiento estratégico y planeación </t>
  </si>
  <si>
    <t>Gestión con Valores - Relación Estado Ciudadano
Política inst y compras</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</si>
  <si>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</si>
  <si>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</si>
  <si>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</si>
  <si>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</si>
  <si>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</si>
  <si>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Desarrollar la estrategia H2O: Iniciativa productiva y social Juvenil Aula Productiva 1</t>
  </si>
  <si>
    <t>245  jóvenes formados en el aula productiva No. 1</t>
  </si>
  <si>
    <t>Secretaría de Hacienda</t>
  </si>
  <si>
    <t>Diana Villalba</t>
  </si>
  <si>
    <t xml:space="preserve">Inversión </t>
  </si>
  <si>
    <t>1.2.1.0.00-001 - ICLD</t>
  </si>
  <si>
    <t>2.3.4103.1500.2021130010280</t>
  </si>
  <si>
    <t>NO</t>
  </si>
  <si>
    <t>N/A</t>
  </si>
  <si>
    <t>Listado de asistencia de 245 jóvenes al aula productiva No. 1
Registros fotográficos</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</si>
  <si>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</si>
  <si>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</si>
  <si>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 xml:space="preserve">Desarrollar la estrategia H2O: Iniciativa productiva y social Juvenil Aula Productiva 2 </t>
  </si>
  <si>
    <t xml:space="preserve">245  jóvenes formados en el aula productiva No. 2 </t>
  </si>
  <si>
    <t>Listado de asistencia de 245 jóvenes al aula productiva No. 2 y 3
Planes de negocios formulados
Registros fotográficos</t>
  </si>
  <si>
    <t>Desarrollar la estrategia H2O: Iniciativa productiva y social Juvenil Aula Productiva 3</t>
  </si>
  <si>
    <t>245  jóvenes formados en el aula productiva No.  3</t>
  </si>
  <si>
    <t>Aportar incentivos para la puesta en marcha de iniciativas productivas creadas.</t>
  </si>
  <si>
    <t>245 unidades productivas creadas con incentivos entregados</t>
  </si>
  <si>
    <t>SI</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</si>
  <si>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JÓVENES, EN EL MARCO DE LA IMPLEMENTACIÓN DE LA ESTRATEGIA H2O: INCLUSIÓN PRODUCTIVA Y SOCIAL JUVENIL DE LA SECRETARÍA DE HACIENDA DISTRITAL.  
 </t>
  </si>
  <si>
    <t>Convenio Competitivo</t>
  </si>
  <si>
    <t>Recursos propios</t>
  </si>
  <si>
    <t>245 planes de negocios y 245 actas de recibido de capital semilla en las unidades productivas
Registros fotográficos</t>
  </si>
  <si>
    <t>Realizar la coordinación y seguimiento a las actividades del proyecto.</t>
  </si>
  <si>
    <t>Cronograma de trabajo y plan de acción del proyecto</t>
  </si>
  <si>
    <t>Matriz de plan de trabajo interno 
Informes trimestrasles de gestión</t>
  </si>
  <si>
    <t>ENCADENAMIENTOS PORDUCTIVOS</t>
  </si>
  <si>
    <t>No. De estudio de identificación de potenciales encadenamientos productivos con énfasis sectorial realizado.</t>
  </si>
  <si>
    <t>Realizar 1 estudio de identificación de potenciales encadenamientos productivos con énfasis sectorial.</t>
  </si>
  <si>
    <t>Documento de investigación</t>
  </si>
  <si>
    <t>NP</t>
  </si>
  <si>
    <t>DESARROLLO DE ESTRATEGIAS PARA EL FORTALECIMIENTO DE LOS ENCADENAMIENTOS PRODUCTIVOS Y REDES DE PROVEEDURÍA EN EL DISTRITO DE CARTAGENA DE INDIAS</t>
  </si>
  <si>
    <t>2020-13001-0324</t>
  </si>
  <si>
    <t>Fortalecimiento de los encadenamientos productivos y redes de proveeduría en la ciudad de Cartagena
de Indias.</t>
  </si>
  <si>
    <t>Realizar actualización y levantamiento de potenciales en los encadenamientos productivos</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</si>
  <si>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</si>
  <si>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</si>
  <si>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</si>
  <si>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Servicio de
emparejamiento para el
fortalecimiento del
mercado nacional</t>
  </si>
  <si>
    <t>Realizar análisis de integración con la estrategia de atracción de inversión.</t>
  </si>
  <si>
    <t>Documento técnico  de analisis de  integracion con la estrategia de atracción de inversión</t>
  </si>
  <si>
    <t>Documento de análisis de integración con la estrategia de atracción de inversión.</t>
  </si>
  <si>
    <t>Evaluar periódicamente los resultados obtenidos de la herramienta informática.</t>
  </si>
  <si>
    <t>Documento técnico  de evaluacion de resultados de la herramienta informática.</t>
  </si>
  <si>
    <t>No. De estrategias de proveedores en los sectores priorizados ejecutadas</t>
  </si>
  <si>
    <t>Ejecutar 4 estrategias de proveedores en los sectores priorizados ejecutadas</t>
  </si>
  <si>
    <t>Servicio de asistencia
técnica a las Mipymes
para el acceso a nuevos
mercados.</t>
  </si>
  <si>
    <t>Diseñar y ejecutar 4 estrategias de proveedores en los sectores priorizados</t>
  </si>
  <si>
    <t>Documento técnico  de estrategias de proveedores</t>
  </si>
  <si>
    <t xml:space="preserve">Prestación de servicios para brindar asistencia técnica especializada y desarrollo de estrategias de proveedores locales para el fortalecimiento de los encadenamientos productivos </t>
  </si>
  <si>
    <t>Convenio</t>
  </si>
  <si>
    <t>Documento con descripción de las 2 estrategias de proveedores diseñadas y ejecutadas -
Listado de beneficiarios</t>
  </si>
  <si>
    <t>Realizar evaluación y monitoreo a la ejecución de las estrategias.</t>
  </si>
  <si>
    <t>Matriz de plan de trabajo interno -
Informes trimestrasles de gestión</t>
  </si>
  <si>
    <t>Implementación de estrategias de relacionamiento diseñadas, entre las empresas vinculadas en la Red de Proveeduría y Fortalecimiento Empresarial.</t>
  </si>
  <si>
    <t>Documento técnico de estrategias de relacionamiento implementadas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</si>
  <si>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</si>
  <si>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Contratación directa</t>
  </si>
  <si>
    <t xml:space="preserve"> Listado de asistencia - Actas de reunion-  presentaciones y  evidencias fotograficas de la  implementacion de las estrategias</t>
  </si>
  <si>
    <t>No de micro y pequeñas empresas de Cartagena vinculadas a redes de proveeduría y/o a encadenamientos
productivos.</t>
  </si>
  <si>
    <t>Vincular a 200 micro y pequeñas empresas de Cartagena a redes de proveeduría y/o a encadenamientos productivos</t>
  </si>
  <si>
    <t>Diseñar y realizar convocatoria a micro y pequeñas empresas de Cartagena.</t>
  </si>
  <si>
    <t>Informe técnico de la Convocatoria</t>
  </si>
  <si>
    <t xml:space="preserve">Listado de micro y pequeñas  empresas vinculadas a traves de la convocatoria </t>
  </si>
  <si>
    <t>Diseñar y ejecutar estrategia de comunicación de la convocatoria.</t>
  </si>
  <si>
    <t>Estrategia de comunicaciones</t>
  </si>
  <si>
    <t>Envidencias de correos enviados, publicación en redes sociales y espacios de socialización de la convocatoria</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</si>
  <si>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</si>
  <si>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</si>
  <si>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Promocion y  Sostenibilidad de la  Red de Proveeduria y Fortalecimiento Empresarial de Cartagena</t>
  </si>
  <si>
    <t>Plan de trabajo de la Red de Proveeduría y Fortalecimiento Empresarial de Cartagena 2023</t>
  </si>
  <si>
    <t>Actas de reunion, evidencias fotograficas y listado de asitencia  de actividaes realizadas para sostenibilidad de la   Red de Proveeduría y Fortalecimiento Empresarial de Cartagena</t>
  </si>
  <si>
    <t>ZONAS DE AGLOMERACIONES PRODUCTIVAS</t>
  </si>
  <si>
    <t>No. De estudios de identificación de sectores a partir del censo empresarial realizados.</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</si>
  <si>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</si>
  <si>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</si>
  <si>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</si>
  <si>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</si>
  <si>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Diseñar estrategias para el fortalecimiento de economías de aglomeración a partir del estudio realizados.</t>
  </si>
  <si>
    <t>Documento técnico de estrategias de fortalecimiento implementadas</t>
  </si>
  <si>
    <t>DESARROLLO DE ESTRATEGIAS
PARA EL APROVECHAMIENTO DE LAS ECONOMÍAS DE AGLOMERACIÓN EN EL DISTRITO DE
CARTAGENA DE INDIAS</t>
  </si>
  <si>
    <t>2.3.3502.0200.2020130010327</t>
  </si>
  <si>
    <t xml:space="preserve">Evidencias fotograficas, listado de beneficarios, documento de formato de planificación </t>
  </si>
  <si>
    <t>Porcentaje de unidades productivas censadas (en los sectores y zonas priorizadas) a los Centros de Servicios Empresariales que participación vinculadas.</t>
  </si>
  <si>
    <t xml:space="preserve">Porcentaje </t>
  </si>
  <si>
    <t xml:space="preserve">Vincular al 30% de las unidades productivas censadas (en los sectores y zonas priorizadas) a los Centros de Serviocs Empresariales </t>
  </si>
  <si>
    <t>Servicio de atención y asesoría a empresas y emprendedores</t>
  </si>
  <si>
    <t>Sostenibilidad de Red de Proveeduría y fortalecimiento empresarial</t>
  </si>
  <si>
    <t>Documento de seguimiento y Plan de trabajo de la Red de Proveeduría y Fortalecimiento Empresarial de Cartagena 2023</t>
  </si>
  <si>
    <t>Porcentaje de productividad de las zonas de aglomeración asociada a Centros de Servicios Empresariales incrementado.</t>
  </si>
  <si>
    <t>Porcentaje</t>
  </si>
  <si>
    <t>Incrementar en 10% la productividad de las zonas de aglomeración asociada a Centros de Servicios Empresariales.</t>
  </si>
  <si>
    <t>Servicio de asistencia técnica para emprendedores y/o empresas en edad temprana</t>
  </si>
  <si>
    <t>Realizar la coordinación del proyecto de inversión "DESARROLLO DE ESTRATEGIAS PARA EL APROVECHAMIENTO DE LAS ECONOMÍAS DE AGLOMERACIÓN EN EL DISTRITO DE CARTAGENA DE INDIAS"</t>
  </si>
  <si>
    <t>Inversión</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</si>
  <si>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</si>
  <si>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PARA LA GENERACIÓN DE CAPACIDADES TERRITORIALES Y FORTALECIMIENTO DEL TEJIDO EMPRESARIAL DE LA CIUDAD DE CARTAGENA.</t>
  </si>
  <si>
    <t>Informe de ejecución de servicio de asistencia técnica a tejido empresarial</t>
  </si>
  <si>
    <t>Matriz de plan de trabajo interno -
Informes trimestrasles de gestión - documento técnico de medición de la productividad en unidades productivas seleccionadas - listado de beneficiarios-registro fotográfico</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</si>
  <si>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</si>
  <si>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</si>
  <si>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</si>
  <si>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</si>
  <si>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Servicio de apoyo al fortalecimiento de políticas públicas para la generación y formalización del empleo en el marco del trabajo decente</t>
  </si>
  <si>
    <t>Gestión con Valores - Relación Estado Ciudadano</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</si>
  <si>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t>
  </si>
  <si>
    <t>IMPLEMENTACIÓN DEL CENTRO DE FOMENTO AL EMPRENDIMIENTO Y A LA EMPLEABILIDAD PARA UNA CARTAGENA DE INDIAS INCLUSIVA Y MÁS COMPETITIVA EN CARTAGENA DE INDIAS</t>
  </si>
  <si>
    <t>2020-13001-0296</t>
  </si>
  <si>
    <t>Implementar las estrategias institucionales con oferta integral de servicios a los emprendimientos locales más vulnerables</t>
  </si>
  <si>
    <t>Desarrollar la implementación y operación de una Plataforma Virtual.</t>
  </si>
  <si>
    <t>Informe técnico trimestral de operación del Centro de Emprendimiento y Empleabilidad</t>
  </si>
  <si>
    <t xml:space="preserve">1/1/2023	</t>
  </si>
  <si>
    <t xml:space="preserve">2.3.3602.1300.2020130010296
</t>
  </si>
  <si>
    <t>Link de acceso a la plataforma y  relación de interacciones en página web</t>
  </si>
  <si>
    <t>No. de Centros de emprendimiento Distrital creados.</t>
  </si>
  <si>
    <t>Crear 1 Centro de emprendimiento Distrital</t>
  </si>
  <si>
    <t>Implementar la oferta de servicios integrales de apoyo y contingencia a emprendimientos vulnerables afectados por la pandemia Covid-19.</t>
  </si>
  <si>
    <t>Listados de personas atendidad en el Centro de emprendimento/ Documentos técnicos generados/ Registros fotográficos</t>
  </si>
  <si>
    <t>Desarrollar jornadas de socialización de la metodologia y la oferta de sercicios.</t>
  </si>
  <si>
    <t>Listados de asistentes a socializaciones, registros fotográficos, publicaciones en redes sociales</t>
  </si>
  <si>
    <t>Realizar la coordinación y seguimiento a las actividades del proyecto</t>
  </si>
  <si>
    <t>si</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</si>
  <si>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</si>
  <si>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Actas de reuniones/ Registros fotográficos/ Documentos técnicos</t>
  </si>
  <si>
    <t>Implementar estrategia de oferta ampliada de servicios del centro de emprendimiento Distrital a traves de la puesta en marcha de metodologia de intervención dirigida a ciudadanía en general y con acciones diferenciadas para población NARP e indigena.</t>
  </si>
  <si>
    <t>ADICIÓN DE RECURSOS FINANCIEROS AL ACUERDO DE FINANCIACIÓN CONV-CI-UAC-2022 ENTRE EL PROGRAMA DE LAS NACIONES UNIDAS- PNUD Y LA ALCALDÍA MAYOR DE CARTAGENA DE INDIAS CUYO OBJETO ES: AUNAR ESFUERZOS PARA EL FORTALECIMIENTO DEL ECOSISTEMA EMPRESARIAL DE LA CIUDAD DE CARTAGENA POR MEDIO DE LA CREACION DEL CENTRO DE EMPRENDIMIENTO Y GESTION PARA LA EMPLEABILIDAD.</t>
  </si>
  <si>
    <t>Convenio de asociación</t>
  </si>
  <si>
    <t>Apoyar la coordinación y seguimiento a las actividades del proyecto</t>
  </si>
  <si>
    <t>Informes de actividades mensualeses del contratista</t>
  </si>
  <si>
    <t>NA</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</si>
  <si>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</si>
  <si>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Implementar mecanismos para el fortalecimiento a emprendimientos a través de convocatorias de apalancamiento</t>
  </si>
  <si>
    <t>Convocatorias socializadas de apalancamiento a emprendimientos</t>
  </si>
  <si>
    <t xml:space="preserve">AUNAR ESFUERZOS TÉCNICOS, ADMINISTRATIVOS Y FINANCIEROS PARA EL FORTALECIMIENTO DEL EMPRENDIMIENTO A TRAVÉS DE FONDO EMPRENDER. </t>
  </si>
  <si>
    <t>Documento técnico que describe el número de convocatorias socializadas y emprendimientos que apliquen a las convocatorias</t>
  </si>
  <si>
    <t>Implementar estrategia de oferta ampliada de servicios del centro de emprendimiento Distrital al resto de la población cartagenera.</t>
  </si>
  <si>
    <t>No. de incubadoras de empresas de alto impacto con recursos publico privados formuladas y en ejecución.</t>
  </si>
  <si>
    <t>Formular y poner en marcha 1 incubadora de empresas de alto impacto con recursos publico privados</t>
  </si>
  <si>
    <t>x</t>
  </si>
  <si>
    <t>Realizar diseño conceptual, metodológico y operativo de la ruta de servicios especializados para empresas de base tecnológica - Incubadora de empresas</t>
  </si>
  <si>
    <t>Documento técnico y metodológico de la incubadora de empresas</t>
  </si>
  <si>
    <t xml:space="preserve">AUNAR ESFUERZOS TÉCNICOS, ADMINISTRATIVOS Y FINANCIEROS PARA LA GESTIÓN DEL EMPRENDIMIENTO Y LA GESTIÓN DE LA INNOVACIÓN A TRAVÉS DE LA IMPLEMENTACIÓN DE UNA INCUBADORA DE SERVICIOS TECNOLÓGICOS. </t>
  </si>
  <si>
    <t>Informe de actividades de la construcción de documento técnico</t>
  </si>
  <si>
    <t>Implementar la ruta de servicios especializados para empresas de alto impacto (Incubadora de empresas)</t>
  </si>
  <si>
    <t>Informe técnico de ejecución de convenio</t>
  </si>
  <si>
    <t xml:space="preserve">Desarrollar e implementar un sitio web para la oferta de servicios de la incubadora de empresas y difusión de estos </t>
  </si>
  <si>
    <t>Link de acceso a la plataforma y  relación de interacciones en página web/ Guía operativa de página web</t>
  </si>
  <si>
    <t>No. De empresas de base tecnológica a la incubadora de empresas vinculadas.</t>
  </si>
  <si>
    <t>Vincular a 40 empresas de base tecnológica a la incubadora de empresas</t>
  </si>
  <si>
    <t>Implementar estrategia de oferta ampliada de servicios de la incubadora de empresas Distrital a traves de la puesta en marcha de metodologia de intervención dirigida a ciudadanía en general</t>
  </si>
  <si>
    <t xml:space="preserve">CIERRE DE BRECHAS DE EMPLEABILIDAD </t>
  </si>
  <si>
    <t>No. de pactos con sectores empresariales y sociedad civil en contra de la discriminación en el mercado laboral para algunas poblaciones vulnerables realizados.</t>
  </si>
  <si>
    <t>Realizar 6 pactos con sectores empresariales y sociedad civil en contra de la discriminación en el mercado laboral para algunas poblaciones vulnerables.</t>
  </si>
  <si>
    <t>Producto 1: Servicio de promoción y divulgación para generación y formalización del empleo</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</si>
  <si>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</si>
  <si>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</si>
  <si>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</si>
  <si>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Implementar estrategia de comunicación para la divulgación de los procesos de promoción y divulgación para generación y formalización del empleo</t>
  </si>
  <si>
    <t>Estrategia de comunicación</t>
  </si>
  <si>
    <t>2.3.3502.0200.2020130010325</t>
  </si>
  <si>
    <t xml:space="preserve">Plan de comunicación/piezas de difusión en redes/línea gráfica </t>
  </si>
  <si>
    <t>Desarrollar ferias de empleabilidad para la inserción laboral, emprendimiento laboral y formación académica</t>
  </si>
  <si>
    <t>Feria realizada</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</si>
  <si>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</si>
  <si>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Documento planeación de la feria/soporte fotográfico/listado de atendidos</t>
  </si>
  <si>
    <t>Producto 2: Servicios de gestión para generación y formalización del empleo</t>
  </si>
  <si>
    <t>ADMINISTRACIÓN Y GESTIÓN DEL PRODUCTO SERVICIO DE ASISTENCIA TÉCNICA PARA LA GENERACIÓN Y FORMALIZACIÓN DEL EMPLEO</t>
  </si>
  <si>
    <t>Plan de acción del programa/informes trimestrales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</si>
  <si>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DE APOYO A LA GESTIÓN COMO BACHILLER ACADÉMICO, EN EL MARCO DEL PROYECTO DE INVERSION "CONSOLIDACIÓN DEL CIERRE DE BRECHAS PARA LA EMPLEABILIDAD Y EMPLEOS INCLUSIVOS A LOS GRUPOS POBLACIONALES VULNERABLES EN EL DISTRITO DE CARTAGENA DE INDIAS"</t>
  </si>
  <si>
    <t>Matriz de plan de trabajo interno/
Informes trimestrasles de gestión</t>
  </si>
  <si>
    <t>Firma de alianzas entre los actores del Ecosistema de Emprendimiento y empleos inclusivos para el desarrollo de trabajo colaborativo</t>
  </si>
  <si>
    <t>Documento acuerdo de pactos firmados</t>
  </si>
  <si>
    <t>Documento acuerdo/soporte fotográfico</t>
  </si>
  <si>
    <t>No. de personas vinculadas anualmente a partir de los pactos para el cierre de brechas de población vulnerable.</t>
  </si>
  <si>
    <t>Vincular laboralmente a por lo menos 200 personas anualmente a partir de los pactos para el cierre de brechas de población vulnerable.</t>
  </si>
  <si>
    <t>Producto 3: Servicio de asistencia técnica para la generación y formalización del empleo</t>
  </si>
  <si>
    <t>Seminario de contextualización y sensibilización sobre el estado actual del mercado laboral y su transformación</t>
  </si>
  <si>
    <t>Planeador del seminario</t>
  </si>
  <si>
    <t>Documento planeador del evento/listado de asistencia/registro fotográfico</t>
  </si>
  <si>
    <t>Fortalecimiento de habilidades a traves de formacion en las brechas identificadas</t>
  </si>
  <si>
    <t>Espacios de formación de competencias identificadas</t>
  </si>
  <si>
    <t>Ficha técnica de los espacios de fortalecimiento de competencias/listado de asistencia/registro fotográfico</t>
  </si>
  <si>
    <t>Fortalecimiento de habilidades blandas: Habilidades de negociación, comunicación y trabajo en equipo, habilidades gerenciales, creatividad e innovación.</t>
  </si>
  <si>
    <t>Espacios de formación de habilidades blandas</t>
  </si>
  <si>
    <t>Ficha técnica de los espacios de formación/listado de asistencia/registro fotográfico</t>
  </si>
  <si>
    <t>CIERRE DE BRECHAS DE CAPITAL HUMANO</t>
  </si>
  <si>
    <t>No. De plataforma de orientación socio-ocupacional para los jóvenes de Cartagena creada</t>
  </si>
  <si>
    <t>Crear 1 plataforma de orientación socio-ocupacional para los jóvenes de Cartagena</t>
  </si>
  <si>
    <t>Documentos de lineamientos técnicos</t>
  </si>
  <si>
    <t xml:space="preserve"> Gestión con Valores - Relación Estado Ciudadano 
</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</si>
  <si>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</si>
  <si>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</si>
  <si>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</si>
  <si>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Realizar en conjunto con  la secretaría de educación un proyecto de orientación socio-ocupacional para el ciclo educativo, en especial en la educación secundaria y media.</t>
  </si>
  <si>
    <t>Documento proyecto de Orientación socio-ocupacional diseñado</t>
  </si>
  <si>
    <t xml:space="preserve">SECRETARIA DE HACIENDA DISTRITAL </t>
  </si>
  <si>
    <t>DIANA MILENA VILLALBA VALLEJO</t>
  </si>
  <si>
    <t>2.3.3502.0200.2020130010331</t>
  </si>
  <si>
    <t>Documento del proyecto diseñado</t>
  </si>
  <si>
    <t>Definir la ruta para el  diseño o adopción de guías metodológicas para el desarrollo de las acciones de orientación socio-ocupacional en las escuelas de la ciudad y capacitar a los profesores en estas herramientas.</t>
  </si>
  <si>
    <t>Documento de seguimiento de la adopción de la metodología de orientación socio-ocupacional en las escuelas</t>
  </si>
  <si>
    <t>Informe técnico de adopción de la metodología de orientación socio-ocupacional en las escuelas/ruta de trabajo con las escuelas</t>
  </si>
  <si>
    <t xml:space="preserve">Crear en una plataforma donde se ponga a disposición de todos los jóvenes los tres componentes clásicos de la orientación socio-ocupacional, a saber: autoconocimiento, conocimiento del mundo de la formación y conocimiento del mundo del trabajo, además de toda la oferta (pública y privada) de la ciudad relacionada con juventud. </t>
  </si>
  <si>
    <t>Documento de seguimiento de la Plataforma de orientación socio- ocupacional implementada</t>
  </si>
  <si>
    <t>Informe de seguimiento a la implementación de la plataforma</t>
  </si>
  <si>
    <t>No. de ejercicios de prospectiva laboral y de identificación de brechas de capital humano realizados</t>
  </si>
  <si>
    <t>Realizar 6 ejercicios de prospectiva laboral y de identificación de brechas de capital humano</t>
  </si>
  <si>
    <t>Servicio de gestión de información de competencias y ocupaciones</t>
  </si>
  <si>
    <t>Definir  de manera concertada los estudios de prospectiva laboral que serán desarrollados.</t>
  </si>
  <si>
    <t>Espacio de socializaicón de los resultados del estudio de prospectiva laboral</t>
  </si>
  <si>
    <t>Ficha técnica del ejercicio de prospectiva laboral/soporte fotográfico/listados de inscripción y asistencia/link de grabación</t>
  </si>
  <si>
    <t>Elaborar estudios de identificación de brechas de capital humano en la ciudad de Cartagena.</t>
  </si>
  <si>
    <t>Documento de identificación y medición de Brechas de capital Humano en Cartagena realizado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</si>
  <si>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</si>
  <si>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</si>
  <si>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Implementar programa de Bilinguismo en sector turistico de la ciudad para el cierre de brechas identificadas.</t>
  </si>
  <si>
    <t>Espacios de formación en inglés</t>
  </si>
  <si>
    <t>PRESTACIÓN DE SERVICIOS PARA EL FORTALECIMIENTO DE COMPETENCIAS LABORALES QUE CONTRIBUYAN AL CIERRE DE BRECHAS DE CAPITAL HUMANO EN POBLACIÓN JOVEN DE LA CIUDAD DE CARTAGENA EN EL MARCO DEL PLAN ESTRATÉGICO DE LA INSTANCIA DE ARTICULACIÓN INTERINSTITUCIONAL PARA LA PLANEACIÓN DE LA OFERTA EDUCATIVA.</t>
  </si>
  <si>
    <t>Listados de personas formadas en inglés/ informes técnicos generados/ Registros fotográficos</t>
  </si>
  <si>
    <t>Diseñar un banco de oferta de necesidades empresariales en materia de capital humano y fortalecer el capital humano de la ciudad.</t>
  </si>
  <si>
    <t>Matriz de banco de oferta de necesidades empresariales con perfiles identificados</t>
  </si>
  <si>
    <t>Matriz de perfiles identificados</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</si>
  <si>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</si>
  <si>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Plan de acción de la instancia e Informe técnico de gestión</t>
  </si>
  <si>
    <t xml:space="preserve">PRESTACIÓN DE SERVICIOS DE APOYO A LA GESTIÓN COMO BACHILLER ACADÉMICO, EN EL MARCO DEL PROYECTO DE INVERSIÓN </t>
  </si>
  <si>
    <t>Plan de accción de la instancia / Informe técnico de gestión/actas de reuniones</t>
  </si>
  <si>
    <t>Coordinar y hacer seguimiento las activades del proyecto de inversión HABILITACIÓN DE LAS ACCIONES PARA IDENTIFICAR Y CERRAR LAS BRECHAS DE CAPITAL HUMANO DE FORMA PERTINENTE SUFICIENTE Y DE CALIDAD EN EL DISTRITO DE CARTAGENA DE INDIAS.</t>
  </si>
  <si>
    <t>Matriz de plan de acción del programa/Informes trimestrales</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</si>
  <si>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t>
  </si>
  <si>
    <t>Objetivo 12. Asegurar patrones de consumo y producción sostenibles</t>
  </si>
  <si>
    <t>COMPETITIVIDAD E INNOVACIÓN</t>
  </si>
  <si>
    <t>Posicionar en 8º puesto Cartagena dentro del índice de competitividad entre ciudades</t>
  </si>
  <si>
    <t>Puesto 12</t>
  </si>
  <si>
    <t>Establecer 1 encuentro anual sobre innovación en Cartagena</t>
  </si>
  <si>
    <t>CARTAGENA CIUDAD INNOVADORA</t>
  </si>
  <si>
    <t>No. encuentros anuales sobre innovación en Cartagena</t>
  </si>
  <si>
    <t>Servicios de apoyo para el fortalecimiento de procesos de intercambio y transferencia del conocimiento</t>
  </si>
  <si>
    <t xml:space="preserve">Gestión del conocimiento y la innovación
Direccionamiento estratégico y planeación </t>
  </si>
  <si>
    <t>IMPLEMENTACIÓN DE ESTRATEGIAS DE ARTICULACIÓN ENTRE ACTORES E INICIATIVAS PARA EL IMPULSO DE UNA CULTURA DE LA INNOVACIÓN EN CARTAGENA DE INDIAS</t>
  </si>
  <si>
    <t>2020-13001-0297</t>
  </si>
  <si>
    <t>IMPLEMENTAR ESTRATEGIAS DE ARTICULACIÓN ENTRE ACTORES E INICIATIVAS PARA EL IMPULSO DE UNA CULTURA DE LA INNOVACIÓN EN CARTAGENA DE INDIAS</t>
  </si>
  <si>
    <t>Desarrollar Jornada Académica con 6 conferencistas en los temas de: Economía Circular, Transformación Digital en las empresas, Inteligencia Artificial aplicada a los negocios, Ciudades Inteligentes, Economía Creativa y Marketing Digital.</t>
  </si>
  <si>
    <t>Informe técnico de la jornada académica</t>
  </si>
  <si>
    <t>2.3.3602.1300.2020130010297</t>
  </si>
  <si>
    <t>AUNAR ESFUERZOS, TÉCNICOS, ADMINISTRATIVOS Y FINANCIEROS PARA FORTALECER Y CONSOLIDAR EL PROGRAMA “CARTAGENA, CIUDAD INNOVADORA” DEL PLAN DE DESARROLLO SALVEMOS JUNTOS A CARTAGENA A TRAVÉS ESTRATEGIAS DE PARTICIPACIÓN E INCENTIVO A LA CULTURA DE LA INNOVACIÓN</t>
  </si>
  <si>
    <t>Documento memoria de la jornada/listado de asistencia/evidencia fotográfica/presentación de ponencias/link de grabación de la jornada</t>
  </si>
  <si>
    <t>Desarrollar Jornada de Taller de Innovación.</t>
  </si>
  <si>
    <t>Informe técnico de la jornada Taller de Innovación</t>
  </si>
  <si>
    <t>Documento técnico de la jornada/Listado de asistencia/evidencia fotográficas/link de grabación de la jornada</t>
  </si>
  <si>
    <t xml:space="preserve"> Realizar cierre del Encuentro de Innovación, premiar y otorgar reconocimientos a 5 de las mejores ideas innovadoras.</t>
  </si>
  <si>
    <t>Informe técnico del Encuentro de innovación</t>
  </si>
  <si>
    <t>Listado de asistencia/Actas de compromiso de los ganadores de la beca de maestría/evidencia fotográfica/Acta de entrega de beca</t>
  </si>
  <si>
    <t>Organizar 1 concurso anual a los mejores resultados de investigación e innovación, pública, privada y académica.</t>
  </si>
  <si>
    <t>No. de concurso anual a los mejores resultados de investigación e innovación, pública, privada y académica</t>
  </si>
  <si>
    <t>Servicios para fortalecer la participación ciudadana en Ciencia, Tecnología e Innovación</t>
  </si>
  <si>
    <t>Realizar convocatoria y proceso de inscripción de iniciativas de innovación e investigación.</t>
  </si>
  <si>
    <t>Plan estratégico de lanzamiento, difusión y desarrollo de la convocatoria</t>
  </si>
  <si>
    <t>Cronograma de difusión de la convocatoria/término de referencia/piezas publicitarias/contenido en redes/lbase de datos de inscritos</t>
  </si>
  <si>
    <t xml:space="preserve"> Realizar proceso de evaluación de propuestas según los parámetros y requisitos establecidos en convocatoria.</t>
  </si>
  <si>
    <t>Informe técnico del comité de la evaluación de las propuestas</t>
  </si>
  <si>
    <t>Propuestas presentadas/matriz de calificación de propuestas/acta de selección/hoja de vida de los evaluadores</t>
  </si>
  <si>
    <t>Premiar las iniciativas más  innovadoras</t>
  </si>
  <si>
    <t>Realizar 1 Hackaton y 1 bootcamp para promover la participación ciudadana con propuestas de Ciencia, Tecnología e Innovación para la resolución de problemas reales ciudadanos</t>
  </si>
  <si>
    <t>Planificador del evento Hackaton y bootcamp</t>
  </si>
  <si>
    <t>Listado de asistencia/evidencia fotográficas</t>
  </si>
  <si>
    <t>Realizar 1 estudio de prefactibilidad de un parque tecnológico en Cartagena.</t>
  </si>
  <si>
    <t>Estudio de prefactibilidad de un parque tecnológico en Cartagena realizado</t>
  </si>
  <si>
    <t>Estudios y diseños para centros de ciencia</t>
  </si>
  <si>
    <t xml:space="preserve"> Realizar contratación de un estudio de pre factibilidad de un Parque Tecnológico en Cartagena.</t>
  </si>
  <si>
    <t>Crear el sistema de innovación del Distrito de Cartagena</t>
  </si>
  <si>
    <t>No. de sistema de innovación del Distrito de Cartagena creado</t>
  </si>
  <si>
    <t>Servicios de apoyo para la gestión del conocimiento en cultura y apropiación social de la Ciencia, Tecnología e Innovación</t>
  </si>
  <si>
    <t>Realizar proceso de gestión de cultura de innovación en población NARP e indígenas</t>
  </si>
  <si>
    <t>Informe de actividades realizadas</t>
  </si>
  <si>
    <t>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t>
  </si>
  <si>
    <t>Contratación Directa</t>
  </si>
  <si>
    <t>Evidencia fotográfica/listado de asistencia/link de grabación de encuentros</t>
  </si>
  <si>
    <t>Realizar apoyo a la implementación para la sostenibilidad del sistema de innovación Distrital a través de la coordinación del proyecto.</t>
  </si>
  <si>
    <t>Informe técnico de la implementación del sistema</t>
  </si>
  <si>
    <t xml:space="preserve">Implementar 1 estrategia de promoción y posicionamiento de la ciudad </t>
  </si>
  <si>
    <t>CARTAGENA DESTINO DE INVERSIÓN</t>
  </si>
  <si>
    <t>No de  estrategia de promoción y posicionamiento de la ciudad implementada</t>
  </si>
  <si>
    <t>Documentos de planeación</t>
  </si>
  <si>
    <t>Servicio al Ciudadano</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</si>
  <si>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</si>
  <si>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</si>
  <si>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</si>
  <si>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</si>
  <si>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2.3.3602.1300.2020130010326</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</si>
  <si>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</si>
  <si>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</si>
  <si>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</si>
  <si>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</si>
  <si>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</si>
  <si>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Documento de seguimiento de la Plataforma Sistema de información para el inversionista</t>
  </si>
  <si>
    <t>Diseñar la ventanilla única empresarial</t>
  </si>
  <si>
    <t>No. De ventanilla única empresarial Diseñada</t>
  </si>
  <si>
    <t>Servicio de racionalización de trámites y normatividad para la competitividad empresarial.</t>
  </si>
  <si>
    <t>Sostenibilidad de la Ventanilla Única Empresarial.</t>
  </si>
  <si>
    <t xml:space="preserve">Documento de seguimiento de la Plataforma Ventanilla única empresarial </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</si>
  <si>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</si>
  <si>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Convenio de Asociación</t>
  </si>
  <si>
    <t>Coordinar las actividades del proyecto.</t>
  </si>
  <si>
    <t>ODS No. 8</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</si>
  <si>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</si>
  <si>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</si>
  <si>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</si>
  <si>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ND</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</si>
  <si>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</si>
  <si>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</si>
  <si>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</si>
  <si>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</si>
  <si>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33 proyectos de generación de ingresos desarrollados en consejos comunitarios.</t>
  </si>
  <si>
    <t>Informe de gestión que de cuenta del servicio de asistencia técnica para fortalecimiento de unidades productivas colectivas para la generación de ingresos</t>
  </si>
  <si>
    <t>FORTALECIMIENTO E INCLUSIÓN PRODUCTIVA PARA POBLACIÓN NEGRA, AFROCOLOMBIANA, RAIZAL Y PALENQUERA EN EL DISTRITO DE CARTAGENA DE INDIAS</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</si>
  <si>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</si>
  <si>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Implementar el MODELO ALTERNATIVO DE ECONOMIA COMUNITARIA  para el fortalecimiento e inclusion productiva de la  poblacion Negra, Afro, Raizal y palenquera.</t>
  </si>
  <si>
    <t>Documento técnico de Modelo Alternativo de economía comuninatia implementado</t>
  </si>
  <si>
    <t xml:space="preserve">“FORTALECIMIENTO DE LAS ESTRATEGIAS DE INCLUSION PRODUCTIVA PARA POBLACION NEGRA, AFROCOLOMBIANA, RAIZAL Y PALENQUERA EN EL DISTRITO DE CARTAGENA”	</t>
  </si>
  <si>
    <t>2.3.4103.1500.2021130010282</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</si>
  <si>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LA POBLACIÓN NEGRA, AFROCOLOMBIANA, RAIZAL Y PALENQUERA EN EL DISTRITO DE CARTAGENA. </t>
  </si>
  <si>
    <t>Documento técnico de la ejecucion de cada fase que el modelo describe, con sus respectivos soportes, registros e informes en la implementacion.</t>
  </si>
  <si>
    <t>Asegurar de manera sistemica, participativa y flexible la sistematizacion del MODELO ALTERNATIVO DE ECONOMIA COMUNITARIA como proceso de fortalecimiento e inclusion productiva para el bienestar economico y social de la poblacion Negra, Afro, Raizal y palenquera.</t>
  </si>
  <si>
    <t>Documento técnico que evidencie un registro memoria en la generacion de conocimiento documental del producto</t>
  </si>
  <si>
    <t>Documento de Sistematización  del Modelo Alternativo con sus respectivos anexos y evidencias</t>
  </si>
  <si>
    <t xml:space="preserve">Priorizacion de encadenamientos productivos con valor social, basado en el enfoque diferencial para población Negra, Afrocolombiana, Raizal y Palenquera </t>
  </si>
  <si>
    <t xml:space="preserve">Estudio de viabildiad economica  para priorizar encadenamientos y productos con valor social para que las unidades productivas conquisten nuevos mercados de generacion de ingreso </t>
  </si>
  <si>
    <t>Documento de estudio de viabilidad económica/ Listado de producto spara nuevos mercados</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</si>
  <si>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</si>
  <si>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</si>
  <si>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 xml:space="preserve">Desarrollar 2 proyectos para la generacion de ingresos </t>
  </si>
  <si>
    <t>DESARROLLO DE PROYECTOS PRODUCTIVOS PARA LA GENERACIÓN DE INGRESOS EN POBLACIÓN INDÍGENA
DEL DISTRITO DE CARTAGENA DE INDIAS</t>
  </si>
  <si>
    <t xml:space="preserve">2021130010281
</t>
  </si>
  <si>
    <t>Garantizar eficiencia en las medidas concertadas de impacto en la inclusión productiva, sostenible y equitativa en la dimensión económica de la indígena en el Distrito de Cartagena</t>
  </si>
  <si>
    <t>Coordinar las actividades  correspondientes a grupos etnicos en el marco del programa fortalecimiento de la poblacion indigena en el Distrito de Cartagena.</t>
  </si>
  <si>
    <t xml:space="preserve">FORTALECIMIENTO DE LAS  ESTRATEGIAS PARA LA GENERACIÓN DE INGRESOS DE LA POBLACIÓN INDÍGENA EN EL DISTRITO DE CARTAGENA.”., 	</t>
  </si>
  <si>
    <t>2.3.4103.1500.2021130010281</t>
  </si>
  <si>
    <t xml:space="preserve">PRESTACIÓN DE SERVICIOS PROFESIONALES EN EL EQUIPO ASESOR DE DESARROLLO ECONÓMICO EN EL MARCO DEL PROGRAMA FORTALECIENDO DE LA POBLACIÓN INDÍGENA EN EL DISTRITO DE CARTAGENA. </t>
  </si>
  <si>
    <t>Asesorar en asistencia tecnica, metodologica y acompañamiento en la generacion de opciones productivas y de ingreso en concordancia al plan de respuesta territorial</t>
  </si>
  <si>
    <t>Informe técnico de asistencia metodológica a opciones productivas</t>
  </si>
  <si>
    <t>AUNAR ESFUERZOS TÉCNICOS, HUMANOS Y FINANCIEROS PARA EL DESARROLLO DE 4 UNIDADES PRODUCTIVAS DE GENERACION DE INGRESO EN LA POBLACION INDIGENA, EN EL MARCO DE LAS MEDIDAS CONCERTADAS DE PROUYECTOS PRODUCTIVOS, SOSTENIBLES Y EQUITATIVOS EN LA DIMENSION DE AUTONOMIA ECONOMICA DE LA POBLACION INDIGENA DEL DISTRTIO DE CARTAGENA DE INDIAS</t>
  </si>
  <si>
    <t>Soportes, registros e informes en la implementacion del PLAN DE RESPUESTA TERRITORIAL.</t>
  </si>
  <si>
    <t>Asegurar de manera sistemica, participativa y flexible la sistematizacion del PLAN DE RESPUESTA TERRITORIAL como proceso de fortalecimiento e inclusion productiva para el bienestar economico y social de la poblacion indigena.</t>
  </si>
  <si>
    <t>Documento de Sistematización  del PLAN DE RESPUESTA TERRITORIAL. con sus respectivos anexos y evidencias</t>
  </si>
  <si>
    <t>Priorizacion de encadenamientos productivos con valor social, basado en el enfoque diferencial para población Indigena</t>
  </si>
  <si>
    <t>Objetivo 17.Fortalecer los medios de aplicación y revitalizar la alianza global para el desarrollo sostenible</t>
  </si>
  <si>
    <t>Cartagena Transparente</t>
  </si>
  <si>
    <t xml:space="preserve">Finanzas públicas para salvar a Cartagena </t>
  </si>
  <si>
    <t>%IPU – Vigencia Actual</t>
  </si>
  <si>
    <t xml:space="preserve">Aumentar en 4,5% El recaudo de Impuesto predial Unificado vigencia actual </t>
  </si>
  <si>
    <t xml:space="preserve">Finanzas Sostenibles para salvar a Cartagena  </t>
  </si>
  <si>
    <t xml:space="preserve">Recaudo de  Impuesto Predial  en un monto de $1.047.261.338.899  </t>
  </si>
  <si>
    <t>Moneda</t>
  </si>
  <si>
    <t>Recaudar $1.047.261.338.899 por concepto de IPU</t>
  </si>
  <si>
    <t>Informe de Getsión</t>
  </si>
  <si>
    <t xml:space="preserve">Gestion con valores por resultados
Direccionamiento estratégico y planeación </t>
  </si>
  <si>
    <t>Gestión presupuestal y eficiencia del gasto público</t>
  </si>
  <si>
    <t>SHD</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</si>
  <si>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</si>
  <si>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</si>
  <si>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</si>
  <si>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</si>
  <si>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Informe de gestión</t>
  </si>
  <si>
    <t>IMPLEMENTACIÓN DE ESTRATEGIAS PARA EL MEJORAMIENTO Y SOSTENIBILIDAD DE LAS FINANZAS EN EL DISTRITO DE CARTAGENA DE INDIAS  CARTAGENA DE INDIAS</t>
  </si>
  <si>
    <t xml:space="preserve">PRESTACIÓN DEL SERVICIO DE MENSAJERÍA EXPRESA Y CORREO ELECTRÓNICO CERTIFICADO A NIVEL LOCAL, DEPARTAMENTAL Y NACIONAL QUE REQUIERAN SER ENVIADOS POR TODAS LAS DEPENDENCIAS DEL DISTRITO TURÍSTICO Y CULTURAL DE CARTAGENA DE INDIAS </t>
  </si>
  <si>
    <t>CONTRATO DE PRESTACION DE SERVICIOS</t>
  </si>
  <si>
    <t>Recursos propios y SGP</t>
  </si>
  <si>
    <t>Conforme al comportamiento de recaudo, se pone en la meta programada el prepuestupesto de cumplimiento de meta, pues se espera superar lo indicado en el plan de desarrollo en el cuatrienio.
Informe de seguimiento a la implementación de la plataforma</t>
  </si>
  <si>
    <t>Factores Externos, (lluvias, inundación, paros, bloqueos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</si>
  <si>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</si>
  <si>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8. Realizar el proceso de imprsión masiva y especializada de documentos con información fija y variable que se generean de la gestión adelantada por la oficina de impuestos</t>
  </si>
  <si>
    <t>PRESTACIÓN DE SERVICIOS DE IMPRESIÓN MASIVA Y ESPECIALIZADA DE DOCUMENTOS CON INFORMAICÓN FIJA Y VARIABLE QUE SE GENERAN DE LA GESTIÓN ADELANTADA POR LA SECRETARÍA DE HACIENDA DE LA ALCALDÍA MAYOR DE CARTAGENA DE INDIAS</t>
  </si>
  <si>
    <t>CONTRATO DE MÍNIMA CUANTÍA</t>
  </si>
  <si>
    <t>%IPU – Vigencias Anteriores</t>
  </si>
  <si>
    <t xml:space="preserve">Aumentar en un 3% el recaudo de Impuesto Predial Unificado Vigencias anteriores </t>
  </si>
  <si>
    <t xml:space="preserve">4. Realización de la gestión catastral en el Dsitrito de Cartagena como estrategia de impacto para la gestión del recaudo </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</si>
  <si>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</si>
  <si>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</si>
  <si>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Se financian con vigencias futuras y se completan con recursos de 2023</t>
  </si>
  <si>
    <t>Posibilidad de perdida reputacional debido a bajo porcentaje de ejecución de los programas</t>
  </si>
  <si>
    <t>%ICA – Vigencia Actual</t>
  </si>
  <si>
    <t>Aumentar en un 4,5% El recaudo de Impuesto de Industria y comercio vigencia actual</t>
  </si>
  <si>
    <t>Recaudo de  Impuesto de Industria y comercio  en un monto de $1.189.376.917.533</t>
  </si>
  <si>
    <t xml:space="preserve">Recaudar $1.189.376.917.533 por concepto de ICA </t>
  </si>
  <si>
    <t xml:space="preserve">5. 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</si>
  <si>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Informe de gestión que de cuenta de las estrategias</t>
  </si>
  <si>
    <t>PRESTACIÓN DE LOS SERVICIOS PROFESIONALES DE CALIFICACIÓN DE CAPACIDAD DE PAGO DE LARGO Y CORTO PLAZO (DENOMINADA TÉCNICAMENTE CALIFICACIÓN NACIONAL DE LARGO Y CORTO PLAZO PARA CON SUS PASIVOS FINANCIEROS) PARA EL DISTRITO DE CARTAGENA. </t>
  </si>
  <si>
    <t>CONTRATO DE PRESTACION DE SERVICIOS}</t>
  </si>
  <si>
    <t>%Delineación Urbana</t>
  </si>
  <si>
    <t>Aumentar en un 5% el recaudo de Delineación Urbana</t>
  </si>
  <si>
    <t xml:space="preserve">Recaudo del  Impuesto de Delineación Urbana  en un monto de         $14.454.734.972 </t>
  </si>
  <si>
    <t>Recaudar $14.454.734.972 por concepto de Delineación Urbana.</t>
  </si>
  <si>
    <t>7, Realizar acciones para la gestión del recaudo desde las acciones persuasivas y coactivas en el Distrito de Cartagena de Indias</t>
  </si>
  <si>
    <t>Informe de getsión que demuestre la ejecución de las estrategias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</si>
  <si>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</si>
  <si>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</si>
  <si>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</si>
  <si>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</si>
  <si>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</si>
  <si>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2. Realizar acciones para fortalecer los procesos de cobro coactivo y persuasivo, así como los de fiscalización.</t>
  </si>
  <si>
    <t>Acciones para fortalecer los procesos de cobro coactivo y persuasivo, así como los de fiscalización.</t>
  </si>
  <si>
    <t xml:space="preserve">PRESTACIÓN DE LOS SERVICIOS DE CALIFICACIÓN DE CAPACIDAD DE PAGO DE LARGO Y CORTO PLAZO (DENOMINADA TÉCNICAMENTE CALIFICACIÓN NACIONAL DE LARGO Y CORTO PLAZO PARA CON SUS PASIVOS FINANCIEROS) PARA EL DISTRITO DE CARTAGENA. </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</si>
  <si>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</si>
  <si>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 del Déficit fiscal presupuestal y de tesorería disminuido</t>
  </si>
  <si>
    <t>Disminuir el déficit presupuestal en un 100 %</t>
  </si>
  <si>
    <t>Software Tecnológico implementado</t>
  </si>
  <si>
    <t>Implementar (1) software para la modernización tecnológica de la secretaría de Hacienda.</t>
  </si>
  <si>
    <t>Informe de Gestión</t>
  </si>
  <si>
    <t>6. Realizar proceso de modernización tecnológica de la Secretaría de Hacienda a traves de la implementación de software integrado de gestión</t>
  </si>
  <si>
    <t>Software desarrollado</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</si>
  <si>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</si>
  <si>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</si>
  <si>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Se financian con vigencias futuras (TIENE 3 DISPONIBILIDADES PRESUPUESTALES 90 91 Y 92 DE SEPTIEMBRE DE 2022) 2105998222</t>
  </si>
  <si>
    <t xml:space="preserve">Número de Estrategias implementadas </t>
  </si>
  <si>
    <t>Implementar  (3) estrategias de impacto que propendan por fortalecer las acciones de recaudo de los  tributos para incrementar los ingresos.</t>
  </si>
  <si>
    <t>Informe de Gestión que demuestre la ejecución de la estrategia</t>
  </si>
  <si>
    <t>3. Desarrollar acciones de conceptualización, diseño, producción, desarrollo y ejecución de las diferentes campañas publicitarias en medios de comunicación relacionados con los impuestos distritales.</t>
  </si>
  <si>
    <t>PRESTACIÓN DE SERVICIOS DE DIFUSIÓN DE MENSAJES Y CONTENIDOS INSTITUCIONALES EN MEDIOS DE COMUNICACIÓN MASIVOS PARA DAR A CONOCER A LA CIUDADANÍA INFORMACIÓN DE LA SECRETARÍA DE HACIENDA DE LA ALCALDÍA DE CARTAGENA INDIAS</t>
  </si>
  <si>
    <t>Saneamiento Fiscal y Financiero</t>
  </si>
  <si>
    <t xml:space="preserve">Valor de $396.000.000.000 para cubrimiento en el cuatrienio de obligaciones del Plan de Saneamiento Fiscal y Financiero del Distrito de Cartagena de Indias  </t>
  </si>
  <si>
    <t>Valor de $396.000.000.000 para cubrimiento en el cuatrienio de obligaciones del Plan de Saneamiento Fiscal y Financiero del Distrito de Cartagena de Indias</t>
  </si>
  <si>
    <t xml:space="preserve">Acuerdo del concejo distrital </t>
  </si>
  <si>
    <t>IMPLEMENTACIÓN DEL PLAN DE SANEAMIENTO FISCAL Y FINANCIERO DEL DISTRITO DE CARTAGENA DE INDIAS.</t>
  </si>
  <si>
    <t>2021-13001-0274</t>
  </si>
  <si>
    <t>Aumentar en el recaudo de Impuesto predial unificado a través del Plan de Saneamiento Fiscal y Financiero del Distrito de Cartagena.</t>
  </si>
  <si>
    <t>Realizar acciones correspondientes a los compromisos adquiridos por la administración para continuar las acciones del programa saneamiento fiscal y financiero en la vigencia 2023.</t>
  </si>
  <si>
    <t>1. Recursos Propios - ICLD</t>
  </si>
  <si>
    <t>IMPLEMENTACIÓN DEL PLAN DE SANEAMIENTO FISCAL Y FINANCIERO DEL DISTRITO DE CARTAGENA DE INDIAS</t>
  </si>
  <si>
    <t>2.3.4599.1000.2021130010274</t>
  </si>
  <si>
    <t xml:space="preserve">PROCEDE BAJO ACUERDO DEL CONCEJO DISTRITAL.
La meta propuesta en septiembre del 2022, para la fecha entre 01 de octubre al 31 de diciembre de 2022, era aumentar el indicador y se realizo, expidiendo los registros presupuestales del acuerdo 099 del 2022 por un total de $ 28.900.950.282
Para el 2023 la meta se estipula conforme a los recursos asignados por Planeación Distrital a este proyecto de inversión. </t>
  </si>
  <si>
    <t>ENERO</t>
  </si>
  <si>
    <t>FEBRERO</t>
  </si>
  <si>
    <t>MARZO</t>
  </si>
  <si>
    <t>AVANCE CUMPLIMIENTO META 1ER TRIMESTRE</t>
  </si>
  <si>
    <t>AVANCE CUMPLIMIENTO META feb</t>
  </si>
  <si>
    <t>AVANCE CUMPLIMIENTO META mar</t>
  </si>
  <si>
    <t>AVANCE CUMPLIMIENTO META ene</t>
  </si>
  <si>
    <t>CUMPLIDA</t>
  </si>
  <si>
    <t>Se espera que en el segudo o tercer trimestre se pueda elaborar el Proyecto de acuerdo de saneamiento fiscal para la vigencia 2023 para que sea presentado ante el Honorable Concejo Distrital</t>
  </si>
  <si>
    <t>En cuanto al proceso de entrega de incentivos tipo capital semilla, se remitió a la oficina de contratación, la información correspondiente a justificaciones técnicas del proceso.</t>
  </si>
  <si>
    <t>Para el desarrollo de esta aula productiva, ya se realizaron los acercamientos con los conferencistas invitados y se realizó la planeación estratégica del evento, el cual se llevará a cabo en la segunda semana del mes de abril</t>
  </si>
  <si>
    <t>Se iniciaron las aulas productivas en el marco del desarrollo de la estrategia H2O.
Evidencia:Informe trimestral de ejecución del programa primer trimestre 2023</t>
  </si>
  <si>
    <t>Desde el 23 de febrero de 2023, se recibió por parte de la Innpulsa Colombia, la propuesta de trabajo para poder cumplir con la obligación de aumenta el nivel de productividad de las empresas asistidas técnicamente (ver imagen 3.). En el marco de esta propuesta, se procedió a desarrollar sesiones de trabajo con las que se apunta a aterrizar la estrategia nacional a las particularidades y contexto local. Esta alianza con Innpulsa, permite aunar esfuerzos técnicos, administrativos y financieros con el fin de poner en marcha el centro de reindustrialización zasca textil para Cartagena, que permita incrementar la productividad y competitividad de mypimes y/o unidades productivas formales e informales del territorio, para fortalecer procesos de sostenibilidad a través de actividades de asistencia técnica, diseño y diferenciación de producto, gestión de proveeduría, gestión comercial, gestión empresarial, social y ambiental, y gestión de la innovación. De hecho, se ha plantado como alcance de esta alianza: 
•	Generar capacidades territoriales y fortalecer el tejido empresarial de la Ciudad de Cartagena a través del desarrollo de ventajas competitivas y la inclusión productiva de mínimo veinte (20) empresas seleccionadas de la Red de Proveeduría y Fortalecimiento Empresarial de la alcaldía de Cartagena de Indias.
•	Realizar asistencia técnica a 120 empresas entre micro, pequeñas y medianas para mejorar las competencias del sector textil y actividades asociadas.</t>
  </si>
  <si>
    <t>Con respecto a esta meta, el año 2022 se realizó la creación de una Red de Proveeduría y Fortalecimiento Empresarial con la que se que pretendió realizar un proceso de caracterización empresarial y al mismo tiempo, vinculación de estas a los grupos poblaciones de interés de la Alcaldía. Dicha estrategia permitió que de las 127 empresas que equivalen “al 30% de las unidades productivas censadas (en los sectores y zonas priorizadas) a los Centros de Servicios Empresariales” se lograran caracterizar y vincular 209 a cierre de año 2022. Es clave mencionar que, pese a que se cumplió la meta, las actividades de sostenimiento administrativo de la estrategia, han permitido que dicho porcentaje de cumplimento siga aumentando hasta 57% que equivalen a 240 empresas, de las 422 que representan el 100%.</t>
  </si>
  <si>
    <t>Participación en el desarrollo de ferias de empleabilidad: Feria de Empleo Distrito E el día 16 de marzo en el Coliseo de Combate, la I Macro Feria Regional para la Empleabilidad y la Justicia Inclusiva el día 21 de marzo en Mega Colegio Institución Educativa Jesús Maestro del barrio Nelson Mandela, II Feria de bancarización, realizada por Gerencia de Espacio público y Movilidad socializando la oferta de Distrito E para la ciudadanía desde los programas de Cartagena Facilita el emprendimiento y Cierre de brechas de empleabilidad 24 de marzo de 2023.</t>
  </si>
  <si>
    <t>Se desarrollaron reuniones de seguimiento con cada uno de los actores de los pactos firmados a la fecha para el Cierre de Brechas de Empleabilidad en cumplimiento de las líneas de acción y actividades pactadas en cada uno de sus Planes de Acción.
Reunión el día 07 de marzo integrantes de la Secretaría de Participación para seguimiento de los planes de acción de los pactos en que articulamos en conjunto. Reunión el día 15 de marzo con miembros del Ministerio del Trabajo para socializar y hacer seguimiento al plan de acción del pacto “Cerrando Brechas con Gestores de Empleo y Generando Condiciones Dignas para el Empleo” y empalme con Yenny Sandoval Murillo del Grupo de Asistencia Técnica Territorial Dirección de Generación y Protección del empleo y Subsidio Familiar.
Reunión de seguimiento del pacto ACUERDO TERRITORIAL PARA EL CIERRE DE BRECHA DE EMPLEABILIDAD.
“PACTOS QUE CIERRAN BRECHAS DE EMPLEABILIDAD: MOVILIZANDO EL EMPLEO CON TRANSCARIBE” el día 28 de febrero de 2023.
Reunión de seguimiento del pacto ACUERDO TERRITORIAL PARA EL CIERRE DE BRECHA DE EMPLEABILIDAD
PACTO “SENSIBILIZANDO LA FORMALIDAD LABORAL EN CARTAGENA DE INDIAS “el día 28 de febrero de 2023.</t>
  </si>
  <si>
    <t>En proceso de contratación</t>
  </si>
  <si>
    <t xml:space="preserve">En este periodo se adelantó el diseño e implementación del taller Fortalecimiento de la cultura de la innovación con población indígena. (Anexo Informe), y Taller de Fortalecimiento de Cultura de la Innovación con población indígena.
Igualmente, se adelantó la gestión de censos de los consejos comunitarios de Cartagena, con la oficina de asuntos étnicos de la secretaría del Interior, a fin de fortalecer la toma de decisiones para implementación del programa de inclusión productiva de la población Negra, Afrocolombiana y Raizal de Cartagena. </t>
  </si>
  <si>
    <t xml:space="preserve">Cifra corresponde al corte de febrero. Conforme al estatuto tributario los responsables de Delineación Urbana declaran y pagan al mes siguiente de causado el impuesto y tienen los primeros 15 días del mes siguiente para declarar y pagar. </t>
  </si>
  <si>
    <t>En el marco de la reunión del punto anterior, se concretó consenso, frente a la entrega documental de perfil del proyecto productivo ya sea en su idea y/o en marcha, determinando como paso a seguir es la entrega de información por parte de los representantes de los consejos comunitarios, de al menos 3 proyectos que respondan a la vocación productiva de sus territorios para revisión de nivel de madurez y necesidades de inversión.</t>
  </si>
  <si>
    <t>Se encuentra en estructuración el proceso precontractual.</t>
  </si>
  <si>
    <t>Desde el mes de enero se ha trabajado en la proyección del documento estudios previos en articulación entre la Unidad Interna de Contratación y el Programa Cartagena Facilita el Emprendimiento y el Programa Cartagena Ciudad Innovadora del Pilar Contingente del Plan de Desarrollo Distrital Salvemos Juntos a Cartagena 2020 - 2023, esto con el fin de unificar los procesos contractuales una vez identificada la línea de trabajo conjunta y la pertinencia de hacer un solo proceso contractual en vez de dos. Por parte de la Unidad interna de Contratación se ha reportado a la Unidad de Desarrollo Económico que el proceso ya está en conocimiento y estudios por parte de la Unidad Asesora de Contratación.</t>
  </si>
  <si>
    <t>A partir de la gestión realizada, los apartados conceptuales, metodológicos, diseños y soportes se da cumplimiento a la meta de implementación del Centro de Emprendimiento y Gestión de la empleabilidad – Distrito E el cual se encuentra ubicado en las instalaciones del Centro Conecta de la Fundación Conviventia en el Barrio Villa Estrella.
Inicio de Rutas de Distrito E y acompañamiento en sitio</t>
  </si>
  <si>
    <t>1.	Apalancamiento a través del Componente de Microfinanciación del Centro de Emprendimiento y Empleabilidad, Distrito E: El Centro de Emprendimiento y la generación de alianzas estratégicas que se consolidan a partir de él, lo convierte en una fuente canalización de las alternativas de financiación existentes para los emprendedores y Mipymes de la ciudad.
Es por ello que en el marco del Acuerdo de Financiamiento establecido con el Programa de las Naciones Unidas para el Desarrollo  (PNUD) para la implementación del Centro de Emprendimiento y Empleabilidad Distrito E, se determinó de manera inicial la realización de 2000 operaciones financieras, de las cuales 700, serían a partir de recursos destinados por el Distrito en forma de capital semilla no reembolsable para los emprendedores y empresarios beneficiarios de las distintas rutas de Emprendimiento y Desarrollo Empresarial del Centro. 
En el mes de febrero de 2023 se aprobó el manual de microfinanciación del Centro para la colocación de capital semilla. Dicho insumo marca el lineamiento técnico para la selección de los beneficiarios de los recursos e incita a un ejercicio participativo para la población.
Por otra parte, desde el mes de enero de 2023 se ha trabajado en firme en la gestión de nueva enmienda de recursos y tiempo (llevar el proyecto hasta 31 de diciembre de 2023) al Acuerdo de Financiación. Esto con el fin de poder adicionar DOS MIL DOSCIENTOS NUEVE MIL MILLONES QUINIENTOS SESENTA Y CUATRO MIL QUINIENTOS PESOS M/CTE (2.209.564.500) a la bolsa de recursos de capital semilla del Componente de microfinanciación del Centro traducidas en 870 nuevas capitalizaciones. Dicha gestión ha implicado un trabajo de estructuración de estudios previos, solicitudes a la entidad cooperante y la orientación de la Unidad Interna de Contratación.
En este sentido, desde la Secretaría de Hacienda Distrital bajo el liderazgo del Equipo Asesor de Desarrollo Económico, se han realizado los procesos correspondientes para dar vida a los recursos asignados al proyecto mediante el Acuerdo de Vigencias futuras aprobado por el Concejo Distrital en noviembre de 2022, a la espera de los trámites correspondientes desde la Unidad Jurídica.
Por otra parte, se han gestionado de alianzas para la microfinanciación: 
Desde el programa Cartagena Facilita el Emprendimiento se desarrolló la iniciativa de la realización de la Feria de Financiación que tiene como objetivo acercar a las pequeñas y microempresas y emprendedores a las fuentes de financiación que ofrecen los bancos en el territorio cartagenero. Para su ejecución se ha realizado a la fecha contactos con los bancos que se podían vincular a dicho espacio en los cuales se encuentran los siguientes: 
●	Banco Popular
Contacto: Janet Bobadilla.
●	Banco Bogotá
Contacto: Marcela meza
●	Banco Occidente
Contacto: Luis Álvarez
 Por otra parte, se está gestionando el lugar que les brindará a los participantes de dicha feria espacio y comodidad a la hora de dicho evento. En primera instancia se estableció el coliseo de Combate ubicado en el Barrio Chiquinquirá en la Zona de Complejo Deportivo. Por último, se proyecta como fecha tentativa para este evento la última semana de abril del 2023, 
Bajo la gestión de los Programas del Plan de Desarrollo Encadenamientos Productivos y Zonas de Aglomeraciones Productivas se apoyó la iniciativa de Bancoldex para la promoción del evento “Socialización neocrédito Cartagena”. En dicho evento fue posible participar a los diferentes beneficiarios de los programas mencionados y los de Cartagena Facilita el Emprendimiento para que pudieran acceder a un producto de la Banca.</t>
  </si>
  <si>
    <t>Durante el primer trimestre de la vigencia 2023, desde el programa empleo inclusivo para los jóvenes, se trabajó en el plan de acción del programa (el cual se encuentra en el informe anexo) . Coordinador del programa contratado y ejecutando el plan deacción del proyecto</t>
  </si>
  <si>
    <t xml:space="preserve"> Coordinador del programa contratado y ejecutando el plan deacción del proyecto</t>
  </si>
  <si>
    <t>Equipo coordinador del programa contratado y ejecutando el plan deacción del proyecto</t>
  </si>
  <si>
    <t xml:space="preserve"> Coordinador del programa contratado y ejecutando el plan deacción del proyecto. Establecimos agenda de tres (3) reuniones con los capitanes/coordinadores de cabildos, para socializar el plan de respuesta territorial, conforme a los datos de contacto de representantes de cabildos indígenas recibido de la Secretaría del Interior: Carlos Zurita, Álvaro Bula y Anacely. Concretamos trabajo colaborativo con los proyectos productivos de mujeres, apoyados por la UMATA, para realizar un acompañamiento de fortalecimiento desde el alcance del plan respuesta territorial</t>
  </si>
  <si>
    <t xml:space="preserve">Esta herramienta web fue creada por el proveedor Creativos de Colombia SAS en el 2022 con el acompañamiento técnico de la Oficina Asesora de Informática (OAI) y bajo la supervisión de la Oficina de Desarrollo Económico de la Secretaría de Hacienda y entró en producción en el servidor de la Alcaldía, disponible en la URL https://tuyyoconstruimos.cartagena.gov.co/  
Para la vigencia 2023 se ha desarrollado una estrategia de socialización para que esta plataforma sea posicionada como una herramienta importante de consulta, acompañamiento y orientación para los jóvenes, por lo cual, ha ido surtiendo un proceso de difusión y socialización en diferentes espacios. Entre las socializaciones realizadas encontramos:
1.	En el marco de la construcción de la ruta de trabajo para la adopción e implementación de la metodología de Orientación Socio Ocupacional (OSO) que se viene ejecutando con las escuelas oficiales del Distrito de Cartagena, en donde la plataforma se convierte en una herramienta de apoyo para el fortalecimiento de la orientación socio ocupacional, se han realizado 12 socializaciones.
2.	Consecuentemente, también se organizaron mesas de trabajo con los equipos de las instituciones educativas, conformado por docentes, psicoorientadores, coordinador y rector para hacer el proceso de transferencia de la metodología OSO, en la cual se realizaron cinco (5) socializaciones al equipo de representantes de las instituciones designado para que usaran la plataforma como herramienta para completar la formación en orientación socio ocupacional con los estudiantes.
3.	Así mismo, se ha generado cinco (5) espacios de socialización con diferentes actores del sector público, privado, academia y sociedad civil.
La plataforma está constantemente actualizándose con nueva información en cada una de las secciones. Para esto, se continua con el proceso de articulación con las agencias de empleo, empresas y universidades, para contar con la información actualizada para los jóvenes. 
</t>
  </si>
  <si>
    <t>Como parte de las actividades que impactan el cumplimiento de esta meta y como mecanismo de fortalecimiento de la orientación Socio Ocupacional en las escuelas del Distrito, se concretó alianza y articulación entre la Fundación Corona, Secretaría de Hacienda y Secretaria de Educación Distrital para la adopción e implementación de la metodología de Orientación Socio Ocupacional (OSO) en las instituciones educativas oficiales de Cartagena diseñada por Fundación Corona y Enseña por Colombia e implementada en otros territorios de manera exitosa, con el objetivo de acompañar y apoyar a los jóvenes de educación secundaria y media a la construcción de su proyecto de vida tanto educativo como laboral, de acuerdo a sus habilidades, intereses y oportunidades que tienen en el territorio, que les permita la toma de decisiones informadas de la ruta que quieren elegir después de que culminen su etapa escolar, facilitándole el tránsito desde la educación media, la educación terciaria, las etapas intermedias y la etapa de empleo laboral formal. 
Esta alianza fue formalizada mediante la firma del Convenio de Colaboración 053 de 2022 entre Fundación Corona y la Alcaldía Mayor de Cartagena de Indias (bajo el liderazgo de la Secretaría de Hacienda y Secretaría de Educación), cuyo objeto es “aunar esfuerzos institucionales para la implementación de acciones e iniciativas conjuntas, para la promoción de educación pertinente y el empleo inclusivo en Colombia”.
En el marco de la implementación de este convenio, en el primer trimestre de 2023, se han desarrollado las siguientes actividades:
1.	Desarrollo del primer comité técnico con Fundación Corona para la adopción e implementación de la metodología de Orientación Socio Ocupacional, en el que se abordaron los principales retos e impactos proyectados al finalizar el 2023 con la metodología OSO.
2.	Caracterización de las Instituciones Educativas: Se realizó la caracterización y definición de las instituciones educativas que se apropiarán de la metodología.
3.	Gestión de llamadas para la organización de las mesas de trabajo que permitieran la socialización, definición de compromisos y construcción de la ruta de trabajo para la implementación de la metodología de Orientación Socio Ocupacional.
4.	Desarrollo de la mesa de capacitación de la metodología de Orientación Socio Ocupacional dictada por la asesora de alianza de Fundación Corona Carolina Amaya, donde identificamos estrategias importantes para hacer la transferencia de conocimiento a las escuelas dentro del proceso de Orientación Socio Ocupacional.
5.	Realización de mesas de trabajo para la construcción de la ruta de trabajo para la implementación de la metodología OSO con cada escuela. Fueron realizada 12 mesas de trabajos con las  instituciones.
6.	Realización de las jornadas de capacitación y transferencia de la metodología de Orientación Socio Ocupacional a los equipos designados por las instituciones educativas, conformado por docentes, psico-orientadores, coordinador y rector. En este trimestre se realizaron cinco (5) transferencia de conocimiento en las  instituciones educativas mencionadas en el informe anexo.</t>
  </si>
  <si>
    <t>Para esta vigencia 2023 con el objetivo de consolidar y fortalecer la Red, se diseñó una estrategia para seguir vinculando empresas. A la fecha hemos vinculado 31 empresas, teniendo un total de 240 empresas vinculadas a la Red de proveeduría y Fortalecimiento Empresarial de Cartagena.
Entre las acciones puntuales desarrolladas se destaca:
•	La articulación con la Red de inclusión Productiva para el diseño del plan de trabajo de la Red de Proveeduría y Fortalecimiento Empresarial Cartagena, en la cual se contempla todas las acciones y actividades que se ejecutarán desde el programa para lograr generar capacidades y el fortalecimiento del tejido empresarial local en la actual vigencia.   
•	El diseño de una estrategia de vinculación a la Red de Proveeduría y Fortalecimiento Empresarial de Cartagena, con el objetivo de lograr vincular el mayor número de empresas de la ciudad a la Red y construir un directorio de proveedores robusto que dé cuenta de toda la oferta de bienes y servicios disponibles desde el tejido empresarial local. (ANEXO INFORME)</t>
  </si>
  <si>
    <r>
      <t xml:space="preserve">El día 03 de marzo de 2023 el WEBINAR: </t>
    </r>
    <r>
      <rPr>
        <u/>
        <sz val="11"/>
        <color theme="1"/>
        <rFont val="Arial"/>
        <family val="2"/>
      </rPr>
      <t>"Recomendaciones para una participación exitosa en ruedas en de Relacionamiento".</t>
    </r>
    <r>
      <rPr>
        <sz val="11"/>
        <color theme="1"/>
        <rFont val="Arial"/>
        <family val="2"/>
      </rPr>
      <t xml:space="preserve"> En este espacio los empresarios participantes recibieron una serie de recomendaciones para participar de forma activa en estos espacios y lograr obtener contactos y concretar oportunidades de negocios. Igualmente se realizó la planeación y organización del Taller de sensibilización "Aspectos a tener en cuenta a la hora de exportar".  El taller se llevó a cabo el día 09 de marzo de 2023. En este espacio las empresas participantes recibieron información sobre la oferta de servicios disponibles desde Procolombia, INNpulsa y Bancóldex, para las micro, pequeñas y medianas empresas.  El día 15 de marzo de 2023, se desarrolló la actividad; Agendamientos Comerciales: "Un espacio para conectar proveedores y clientes". De este espacio participaron empresarios de la Red de proveeduría y Fortalecimiento Empresarial de Cartagena, de los sectores de Construcción y empresas de servicios transversales, los cuales lograron conocerse, relacionarse y tomar los contactos de posibles empresas con las cuales realizar alianzas estratégicas.  </t>
    </r>
  </si>
  <si>
    <r>
      <t>Se logró desarrollar la primera mesa de socialización del Modelo Alternativo de Economía Comunitaria de esta vigencia, con los representantes de los consejos comunitarios elegidos</t>
    </r>
    <r>
      <rPr>
        <b/>
        <sz val="11"/>
        <color theme="1"/>
        <rFont val="Arial"/>
        <family val="2"/>
      </rPr>
      <t xml:space="preserve"> </t>
    </r>
    <r>
      <rPr>
        <sz val="11"/>
        <color theme="1"/>
        <rFont val="Arial"/>
        <family val="2"/>
      </rPr>
      <t>, cuya información recibimos de manera oficial de parte de la Secretaría del Interior, en el marco de esta sesión se estableció la hoja de ruta para lograr el fortalecimiento de 33 proyectos de generación de ingresos desarrollados en consejos comunitarios (SOPORTES INFORME)</t>
    </r>
  </si>
  <si>
    <t xml:space="preserve">Se continuó con el proceso de contratación conforme al cronograma establecido y en curso según lo reportado a cierre de 2022. En el marco del normal proceso, fue declarado desierto. </t>
  </si>
  <si>
    <t>META</t>
  </si>
  <si>
    <t>AVANCE CUMPLIMIENTO META ABRIL</t>
  </si>
  <si>
    <t xml:space="preserve">10 DE MAYO ALBERT </t>
  </si>
  <si>
    <t>AVANCE CUMPLIMIENTO META MAY0</t>
  </si>
  <si>
    <t>INCORPORACIÓN SEGÚN DECRETO 0726 DEL 24 DE MAYO DE 2023</t>
  </si>
  <si>
    <t>EJECUCIÓN FINANCIERA PRIMER TRIMESTRE</t>
  </si>
  <si>
    <t xml:space="preserve">NUEVA APROPIACIÓN POR TRASLADO FINANZAS, INCORPORACIÓN Y NUEVO TRASLADO </t>
  </si>
  <si>
    <t>1.2.1.0.00-001 - ICLD
1.3.3.11.03-95-138 RB DIVIDENDOS SOCIEDAD PORTUARIA</t>
  </si>
  <si>
    <t>1.2.1.0.00-001 - ICLD
1.3.1.1.03-138 - DIVIDENDOS SOCIEDAD PORTUARIA
1.3.3.11.03-95-138 RB DIVIDENDOS SOCIEDAD PORTUARIA</t>
  </si>
  <si>
    <t>2. Garantizar  el envío de facturación masiva y actos administrativos necesarios para la gestión de cobro persuasivo y coactivo para el cumplimiento voluntario y forzado.</t>
  </si>
  <si>
    <t>5 , Realizar acciones para la ejecución de la estrategia de Cultura tributaria en el Distrito de Cartagena</t>
  </si>
  <si>
    <t xml:space="preserve">ACTIVIDAD NUEVA POR INCORPORACIÓN DE RECURSOS </t>
  </si>
  <si>
    <t>1.2.1.0.00-001 - ICLD
1.2.4.3.03-070 - SGP LIBRE INVERSION
1.3.2.3.11-160 - RF DIVIDENDOS
1.2.3.2.09-177 -  PLUSVALIA
1.3.3.8.03-95-070 RB SGP PROPOSITO GENERAL LIBRE INVERSION
1.3.3.8.03-95-075  RB RF SGP PROPOSITO GENERAL LIBRE INVERSION
1.3.3.4.16-95-108 RB RF CONTRAPRESTACION PORTUARIA
1.3.3.3.17-95-124 RB IMPUESTO  TRANSPORTE POR OLEODUCTO Y GASODUCTO
1.3.3.11.03-95-138 RB DIVIDENDOS SOCIEDAD PORTUARIA
1.3.3.11.03-95-139 RB DIVIDENDOS TERMINAL DE TRANSPORTE
1.3.3.1.00-93-001 RB ICLD</t>
  </si>
  <si>
    <t>2.3.4599.1000.2022130010001
2.3.3502.0200.2020130010324 traslado inicial ENCADENAMIENTOS
2.3.3502.0200.2020130010331 traslado inicial CAPITAL HUMANO
2.3.3602.1300.2020130010296 traslado inicial EMPRENDIMIENTO
2.3.3602.1300.2020130010326 traslado inicial PROM INV</t>
  </si>
  <si>
    <t>IMPLEMENTACION DE ESTRATEGIAS DE INCLUSION PRODUCTIVAS EN POBLACION JOVEN DEL DISTRITO DE CARTAGENA 
IDENTIFICACION Y CREACION DE INICIATIVAS PRODUCTIVAS ADAPTADAS A LAS CONDICIONES DE CRISIS SANITARIAS SOCIALES Y AMBIENTALES EN POBLACION JOVEN DEL DISTRITO DE CARTAGENA DE INDIAS</t>
  </si>
  <si>
    <t>TRASLADO DECRETO 0748 DE 30 DE MAYO DE 2023</t>
  </si>
  <si>
    <t>AVANCE CUMPLIMIENTO META abr</t>
  </si>
  <si>
    <t>AVANCE CUMPLIMIENTO META may</t>
  </si>
  <si>
    <t>AVANCE CUMPLIMIENTO META jun</t>
  </si>
  <si>
    <t>AVANCE CUMPLIMIENTO META 2do TRIMESTRE</t>
  </si>
  <si>
    <t>ABRIL</t>
  </si>
  <si>
    <t>MAYO</t>
  </si>
  <si>
    <t>JUNIO</t>
  </si>
  <si>
    <t>EJECUCIÓN FINANCIERA 2DO TRIMESTRE</t>
  </si>
  <si>
    <t>OBSERVACIONES 2do trimestre</t>
  </si>
  <si>
    <t>OBSERVACIONES 1er trimestre</t>
  </si>
  <si>
    <t>CUMPLIDA (76%)</t>
  </si>
  <si>
    <t>A la fecha se reportan 158 unidades productivas identificadas para la vigencia 2023, las cuales diligenciaron el formulario de creación de unidades productivas. De estas, 28 jóvenes han logrado crear sus planes de negocio de manera exitosa con la participación en las aulas productivas de la estrategia H2O. 
*Para mayor detalle, remitirse al informe de gestión anexo a esta matriz
Esta meta se desarrolla en conjunto con la Secretaría de participación y desarrollo social desde la cual se adelantan acciones articuladas para el cumplimiento de la meta en el total de las unidades programadas para esta vigencia y el cuatrienio.</t>
  </si>
  <si>
    <t>*Para mayor detalle, remitirse al informe de gestión anexo a esta matriz</t>
  </si>
  <si>
    <t>El proceso de contratación para la entrega de insumos tipo capital semilla fue publicado en el mes de mayo sin lograr adjudicarse debido a la nula presentación de oferentes. A cierre del periodo el proceso se encuentra publicado nuevamente en espera de ser adjudicado a una entidad que cumple con los requisitos planteados. 
*Para mayor detalle, remitirse al informe de gestión anexo a esta matriz</t>
  </si>
  <si>
    <t>En el segundo Trimestre ejecutamos la Estrategia denominada "Fortalecimiento empresarial en MiPymes identificadas en los sectores priorizados: "Hacia una Cartagena competitiva", con la realización de las actividades planificadas para esta y que se detallan en el informe presentado soporte del cumplimiento de esta meta y las acciones del programa en el periodo Abril-Junio. 
*Para mayor detalle, remitirse al informe de gestión anexo a esta matriz</t>
  </si>
  <si>
    <t xml:space="preserve"> Coordinador del programa contratado y ejecutando el plan de acción del proyecto.
*Para mayor detalle, remitirse al informe de gestión anexo a esta matriz
</t>
  </si>
  <si>
    <t>Para esta vigencia 2023 con el objetivo de consolidar y fortalecer la Red, se diseñó una estrategia para seguir vinculando empresas. A la fecha hemos vinculado a corte de 2do Trim 105 empresas, teniendo un total de 314 empresas vinculadas a la Red de proveeduría y Fortalecimiento Empresarial de Cartagena, lo que representa un mayor cumplimiento de la meta correspondiente al 157% de lo planificado para el cuatrienio.
Para mayor detalle de las acciones ver anexo - Informe del Programa Encadenamientos productivos.</t>
  </si>
  <si>
    <t>Desde el programa en este 2do Trimestre se da continuidad a la ejecución de las estrategias diseñadas y que se han venido dinamizando con aliados estratégicos como INNPULSA con el objetivo de potenciar el impacto y que los servicios empresariales continúen en oferta para el tejido empresarial de la Ciudad.
*Para mayor detalle, remitirse al informe de gestión anexo a esta matriz</t>
  </si>
  <si>
    <t xml:space="preserve">Con respecto a estas metas, aunque ya fueron cumplidas, es pertinente resaltar que los resultados hallados han sido tenidos en cuenta durante el segundo trimestre para seguir impartiendo actividades de fortalecimiento empresarial sobre nuestro grupo de interés que en este caso es la Red de Proveeduría y Fortalecimiento Empresarial. 
El ejercicio de caracterización de las zonas de aglomeraciones de la ciudad requiere de la realización de un censo empresarial, empero, teniendo en cuenta la validación del censo de comercios elaborado por la Cámara de Comercio en 2019, así como la actualización de la base de datos de contribuyentes del Impuesto de Industria y Comercio, ambos generadores de datos confiables para los fines señalados, adicional a esto debido a las limitaciones tanto financieras como logísticas se optó por aplicar el criterio de muestra representativa de las mismas mediante muestreo simple. 
La estimación de la muestra dio 422 empresas (100%), a junio de 2023, este número de empresas, luego de depurar la base de datos que tenemos de las empresas censadas, encontramos que las empresas que están afiliadas al centro de servicios empresariales, que en este caso es el Distrito a través de la oferta de la SHD de 322 unidades empresariales, las cuales en términos porcentuales equivale al 76% (332/422).
*Para mayor detalle, remitirse al informe de gestión anexo a esta matriz
</t>
  </si>
  <si>
    <t>Se debe tener en cuenta que esta es una meta de medición de impacto que para su definición de resultados necesita ser contrastada con otro periodo, en un sondeo efectuado por el equipo obtuvimos un resultado de un 14% de nivel de productividad, ahora bien, para el segundo semestre del presente año, se realizará una segunda medición de nivel de productividad de las empresas con las que la Secretaría de Hacienda ha venido trabajando desde el año pasado. Con este se logrará verificar cuál ha sido el impacto de estas actividades de fortalecimiento empresarial nuestros grupos de trabajo y mover la meta pendiente del mismo programa.
Nota: Si bien en el primer trimestre se informó de un proceso contractual que se realizaría, se manifiesta que dicha intención no fue posible concretar debido a demoras en la entrega de información por parte del aliado a las solicitudes tanto de información como de correcciones realizadas por el equipo de responsable de dicho proceso dentro de la Secretaría de Hacienda Distrital, lo que se constituyó en un riesgo por el tiempo de ejecución. Sin embargo, es clave mencionar que, pese a que no se realizará un aporte en términos económicos a este proceso, el aliado estratégico solicitó la participación de la alcaldía con o sin presencia económica. Por ello luego de la ley de garantías del año 2023, desde la coordinación de este programa se seguirá apoyando la consolidación de esta iniciativa que busca mejorar las capacidades productivas de la ciudad de Cartagena. Este apoyo será:
1- Apoyando en temas de divulgación de convocatorias y de la misma iniciativa
2- Proporcionando empresas que formen parte de nuestras poblaciones objetivo y que estén relacionados con los sectores a impulsar por la iniciativa 
3- Apoyo en procesos de gestión que requiere dicha iniciativa.
*Para mayor detalle, remitirse al informe de gestión anexo a esta matriz</t>
  </si>
  <si>
    <t>*A corte del segundo trimestre se desarrolló revisión y evaluación de modelos de negocio y planes de expansión de los emprendedores que finalizaron con éxito las rutas de travesía emprendedora y habilidades empresariales como prerrequisito para el acceso a operaciones financieras - tipo capital semilla. Es importante señalar que en la planeación de esta meta se programó su cumplimiento para el segundo semestre se realizará la entrega material de los recursos con la que se movilizará la meta.
Adicional a esto lograremos esta meta con el conjunto de las acciones de dependencias con las trabajamos en articulación como son el PES y la Secretaria de Participación y Desarrollo Social.
*Para mayor detalle, remitirse al informe de gestión anexo a esta matriz</t>
  </si>
  <si>
    <t xml:space="preserve">La meta asociada a la creación e implementación del Centro para el Emprendimiento y gestión de la Empleabilidad Distrito E se encuentra cumplida, hemos continuado con su puesta en marcha y la ejecución de sus distintos componentes a través de los cuales atendemos a la población de la ciudad interesada en la oferta presentada y seguiremos trabajando para continuar la cobertura de un mayor número de emprendedores. 
*Para mayor detalle, remitirse al informe de gestión anexo a esta matriz
</t>
  </si>
  <si>
    <t>La meta asociada a la creación e implementación del Centro para el Emprendimiento y gestión de la Empleabilidad Distrito E se encuentra cumplida, hemos continuado con su puesta en marcha y la ejecución de sus distintos componentes a través de los cuales atendemos a la población de la ciudad interesada en la oferta presentada y seguiremos trabajando para continuar la cobertura de un mayor número de emprendedores.
*Para mayor detalle, remitirse al informe de gestión anexo a esta matriz</t>
  </si>
  <si>
    <t>La meta asociada a la creación e implementación del Centro para el Emprendimiento y gestión de la Empleabilidad Distrito E se encuentra cumplida, hemos continuado con su puesta en marcha y la ejecución de sus distintos componentes a través de los cuales atendemos a la población de la ciudad interesada en la oferta presentada y seguiremos trabajando para continuar la cobertura de un mayor número de emprendedores. 
*Para mayor detalle, remitirse al informe de gestión anexo a esta matriz</t>
  </si>
  <si>
    <t>En los próximos trimestres trabajaremos en la operación de la incubadora y en la asociación de esta meta con la vinculación de empresas a la misma.
En lo relacionado con la vinculación de empresas se han recopilado bases de datos para la identificación, depuración y consolidación de aquellas a las cuales se aplicara el modelo de incubación definido.
*Para mayor detalle, remitirse al informe de gestión anexo a esta matriz</t>
  </si>
  <si>
    <t>En el trimestre reportado y en los próximos continuaremos en la ejecución y seguimiento a las acciones determinadas en los planes de acción de los pactos suscritos, de igual manera la evaluación de resultados para corroborar el impacto de esta importante estrategia.
*Para mayor detalle, remitirse al informe de gestión anexo a esta matriz</t>
  </si>
  <si>
    <t xml:space="preserve">* El reporte del movimiento de la meta se hace en el mes de Junio, toda vez que en el marco de los pactos el acuerdo consiste en seguimientos trimestrales. 
*Para mayor detalle, remitirse al informe de gestión anexo a esta matriz
</t>
  </si>
  <si>
    <t>Con la ejecución de los pactos y el seguimiento a los resultados de las metas trazadas a este corte del periodo Abril-Junio de 2023 se reporta un cumplimiento superior al 100% de la meta de la vigencia y de igual manera la meta del cuatrienio.
Continuaremos en el segundo semestre trabajando por superar aún más las vinculaciones e impactar en mayor grado en la generación de oportunidades laborales y el cierre de brechas de empleabilidad en la población.
*Para mayor detalle, remitirse al informe de gestión anexo a esta matriz</t>
  </si>
  <si>
    <t xml:space="preserve">Diseñamos la estrategia “Conoce el sector productivo de tu ciudad” que tiene como objetivo brindar herramientas e información oportuna a los estudiantes de undécimo grado de las instituciones educativas oficiales del Distrito sobre las rutas empleabilidad que existen en Cartagena, que los oriente a la toma de decisiones consiente e informada en relación con su proyecto de vida, en especial en todo lo relacionado con acceso al mercado de trabajo. Mediante esta estrategia se le facilitará a los alumnos de undécimo grado información que permita revelar sus intereses profesionales a través del contacto con los sectores productivos dinamizador de la economía de su territorio, siendo esta una oportunidad para conocer de cerca una ocupación dentro de su propia dinámica laboral, funcional y contextual, es decir, las labores que se realiza en el sector, así como también la cualificación que requiere para desempeñarse en un área, de manera que, los jóvenes cuente con elementos para la toma de decisiones en cuanto a la capacitación o formación más conveniente de acuerdo a sus intereses y a la realidad laboral.
*Para mayor detalle, remitirse al Anexo 10. ESTRATEGIA CONOCE EL SECTOR PRODUCTIVO DE TU CIUDAD.
</t>
  </si>
  <si>
    <t>Como parte de las actividades que impactan el cumplimiento de esta meta y como mecanismo de fortalecimiento de la orientación Socio Ocupacional en las escuelas del Distrito, se viene ejecutando el convenio 053 de 2022 con Fundación Corona, Secretaría de Hacienda y Secretaria de Educación Distrital para la adopción e implementación de la metodología de Orientación Socio Ocupacional (OSO) en las instituciones educativas oficiales de Cartagena.
*Para mayor detalle, remitirse al informe de gestión anexo a esta matriz.</t>
  </si>
  <si>
    <t>La plataforma "Cartagena, Tú y Yo Construimos" está en funcionamiento en la URL https://tuyyoconstruimos.cartagena.gov.co/ . Para el II trimestre de 2023, en el marco de la socialización y posicionamiento de la misma, se han desarrollado distintos espacios con diferentes actores identificados como beneficiarios de esta estrategia. Es así como, en esta etapa de presentación y socialización de esta herramienta, se consideraron a las instituciones educativas del Distrito de Cartagena como sus actores principales, en este segundo Semestre del año continuaremos la difusión para lograr un mayor conocimiento de este valioso insumo, así como seguiremos trabajando en actualización de contenidos y generación de estadísticas para medición de impacto.
*Para mayor detalle, remitirse al informe de gestión anexo a esta matriz</t>
  </si>
  <si>
    <t xml:space="preserve">Para la vigencia 2023, se solicitó al Ministerio de Trabajo asistencia técnica para la transferencia de la metodología para la elaboración de un estudio de brechas de capital humano sobre el sector petroquímico plástico y el clúster de mantenimiento competitivo en alianza con esto dos clúster de la Cámara de Comercio de Cartagena.
En el marco del avance para la elaboración de los estudios de brechas de capital humano para el distrito de Cartagena y conociendo el interés de distintos actores en la realización de estos, se inicia encuentros con el clúster petroquímico plástico y de mantenimiento competitivo en este segundo trimestre del presente año.
*Para mayor detalle, remitirse al informe de gestión anexo a esta matriz
</t>
  </si>
  <si>
    <t>Se firmó el convenio de asociación 021 de 2023, en el cual se reporta como uno de sus productos, realizar 1 encuentro de innovación en Cartagena lo que permitirá superar la meta del cuatrienio con un total de 5 encuentros.
*Para mayor detalle, remitirse al informe de gestión anexo a esta matriz</t>
  </si>
  <si>
    <t>En el marco del convenio de asociación 021 de 2023, se crearon los términos de referencia para los concursos:
1. “Innovus 2023” el cual busca otorgar 35 becas del 100% a la red de Proveeduría y Fortalecimiento empresarial para cursar el diplomado en Gestión de la Innovación en la UTB. El día 30 de junio se cerró el concurso Innovus 2023, y fueron seleccionados 38 empresas y emprendimientos ganadores de este concurso y cuyo incentivo es una beca en el diplomado en Gestión de la Innovación en la Universidad Tecnológica de Bolívar. 
Próximos concursos:
2.“Idearium” el cual busca  otorgar 35 becas del 100% a la ciudadanía en general. Se desarrollará en tercer trimestre de 2023.
3.“Cartagena ciudad innovadora” el cual busca otorgar 6 becas del 100%  para estudios de maestría en la UTB se desarrollará en cuarto trimestre de 2023.
*Para mayor detalle, remitirse al informe de gestión anexo a esta matriz</t>
  </si>
  <si>
    <t>El Sistema de innovación fue diseñado desde su concepción metodológica y mapeo de ecosistema de actores y en esta vigencia continuaremos con la generación de espacios para el encuentro de estos actores y la promoción de iniciativas articuladas que permitan una Cartagena más competitiva e innovadora.
*Para mayor detalle, remitirse al informe de gestión anexo a esta matriz</t>
  </si>
  <si>
    <t>Luego de conversaciones con la comunidad, y de reuniones institucionales para la toma de decisiones, durante el segundo semestre del año 2023 se estará aperturando el proceso contractual que permita dar cumplimiento a la meta establecida con este grupo poblacional 
*Para mayor detalle, remitirse al informe de gestión anexo a esta matriz</t>
  </si>
  <si>
    <t>En la vigencia 2022 se logro la meta del cuatrienio, en esta vigencia y el semestre reportado continuamos con la ejecución del proyecto de inclusión productiva para este grupo poblacional.
*Para mayor detalle, remitirse al informe de gestión anexo a esta matriz</t>
  </si>
  <si>
    <t xml:space="preserve">  Cifra corresponde al corte de mayo. Conforme al estatuto tributario los responsables de Delineación Urbana declaran y pagan al mes siguiente de causado el impuesto y tienen los primeros 15 días del mes siguiente para declarar y pagar. 
*Para mayor detalle, remitirse al informe de gestión anexo a esta matriz</t>
  </si>
  <si>
    <t>Cifra corresponde al corte de mayo. Conforme al estatuto tributario los responsables de sobretasa a la gasolina declaran y pagan al mes siguiente de causado el impuesto y tienen los primeros 15 días del mes siguiente para declarar y pagar.
*Para mayor detalle, remitirse al informe de gestión anexo a esta matriz</t>
  </si>
  <si>
    <t xml:space="preserve">En el segundo trimestre del año, se presentó el día 30 de Junio de 2023 el proyecto de acuerdo de saneamiento fiscal de la vigencia 2023 ante el concejo Distrital. Se espera que para el tercer trimestre del año se apruebe ante dicha entidad y luego se hagan las operaciones pertinentes para que se lleve un buen proceso.
</t>
  </si>
  <si>
    <t>$</t>
  </si>
  <si>
    <t>REPORTE DE LA ACTIVIDAD DEL PROYECTO EJECUTADA DE 01 DE ENERO A 30 DE MARZO</t>
  </si>
  <si>
    <t>REPORTE DE LA ACTIVIDAD DEL PROYECTO EJECUTADA DE 01 DE ABRIL A 30 DE JUNIO</t>
  </si>
  <si>
    <t>0.25</t>
  </si>
  <si>
    <t>0.50</t>
  </si>
  <si>
    <t>Esta plataforma se desarrolló en modalidad Landing page en el portal de PNUD para inscripción e información de potenciales participantes del centro.</t>
  </si>
  <si>
    <t>Se surtieron todos los procesos requeridos para efectuar y ejecutar el proceso contractual asociados a esta actividad, sin embargo, pese a que no fue posible la realización del mismo, el programa continuará vinculado a la estrategia de fortalecimiento empresarial que tendrá como objetivo impulsar el desarrollo y fortalecimiento de empresas que giran en torno a actividades manufactureras.</t>
  </si>
  <si>
    <t>Se realizó el proceso de contratación directa para la vinculación del personal necesario para la coordinación y ejecución de actividades enmarcadas en el presente programa y proyecto de inversión para la vigencia 2023</t>
  </si>
  <si>
    <t xml:space="preserve">Se ha seguido promocionando en distintos espacios y encuentro empresariales la Red como una alternativa para mejorar el relacionamiento empresarial, en se mismo sentido, producto de esta actividad de sostenimiento, el número de empresas afiliadas a esta estrategia, ha aumentado. </t>
  </si>
  <si>
    <t>Se diseñó estrategia que busca la creación de un centro de servicios empresariales para atender las necesidades del tejido empresarial de la ciudad y de este modo, poder aumentar sus niveles de productividad. Este proyecto tiene tres rutas de atención:
1.	línea de financiación 
2.	Línea de formalización 
3.	Línea de Innovación</t>
  </si>
  <si>
    <t>Diseñamos la estrategia “Conoce el sector productivo de tu ciudad” que tiene como objetivo brindar herramientas e información oportuna a los estudiantes de undécimo grado de las instituciones educativas oficiales del Distrito, sobre las rutas empleabilidad que existen en Cartagena, que los oriente a la toma de decisiones consiente e informada en relación con su proyecto de vida, en especial en todo lo relacionado con acceso al mercado de trabajo. 
Mediante esta estrategia se le facilitará a los alumnos de undécimo grado información que permita revelar sus intereses profesionales a través del contacto con los sectores productivos dinamizador de la economía de su territorio, siendo esta una oportunidad para conocer de cerca una ocupación dentro de su propia dinámica laboral, funcional y contextual, es decir, las labores que se realiza en el sector, así como también la cualificación que requiere para desempeñarse en un área, de manera que, los jóvenes cuente con elementos para la toma de decisiones en cuanto a la capacitación o formación más conveniente de acuerdo a sus intereses y a la realidad laboral.</t>
  </si>
  <si>
    <t>Para el fortalecimiento de la orientación Socio Ocupacional en las escuelas del Distrito, se viene ejecutando el convenio 053 de 2022 con Fundación Corona, Secretaría de Hacienda y Secretaria de Educación Distrital para la adopción e implementación de la metodología de Orientación Socio Ocupacional (OSO) en las instituciones educativas oficiales de Cartagena. Esta estrategia continuará ejecutándose durante toda la vigencia 2023.</t>
  </si>
  <si>
    <t>La plataforma "Cartagena, Tú y Yo Construimos" está en funcionamiento en la URL https://tuyyoconstruimos.cartagena.gov.co/ . Para el II trimestre de 2023, en el marco de la socialización y posicionamiento de la misma, se han desarrollado distintos espacios con diferentes actores identificados como beneficiarios de esta estrategia. Es así como, en esta etapa de presentación y socialización de esta herramienta, se consideraron a las instituciones educativas del Distrito de Cartagena como sus actores principales, en este segundo Semestre del año continuaremos la difusión para lograr un mayor conocimiento de este valioso insumo, así como seguiremos trabajando en actualización de contenidos y generación de estadísticas para medición de impacto. Esta estrategia continuará ejecutándose durante toda la vigencia 2023.</t>
  </si>
  <si>
    <t xml:space="preserve">Para la vigencia 2023, se solicitó al Ministerio de Trabajo asistencia técnica para la transferencia de la metodología para la elaboración de un estudio de brechas de capital humano sobre el sector petroquímico plástico y el clúster de mantenimiento competitivo en alianza con esto dos clúster de la Cámara de Comercio de Cartagena. Luego de realizados los estudios se espera desarrollar espacios de socialización de los resultados de las brechas identificadas. </t>
  </si>
  <si>
    <t>Para la vigencia 2023, se solicitó al Ministerio de Trabajo asistencia técnica para la transferencia de la metodología para la elaboración de un estudio de brechas de capital humano sobre el sector petroquímico plástico y el clúster de mantenimiento competitivo en alianza con esto dos clúster de la Cámara de Comercio de Cartagena.</t>
  </si>
  <si>
    <t xml:space="preserve">Pendiente de realizar. </t>
  </si>
  <si>
    <t xml:space="preserve">Esta meta fue cumplida con la creación de este espacio en el año 2022 en alianza con la Mesa de Capital Humano del Comité Universidad Empresa Estado (CUEE) y formalizado mediante la firma del Convenio de Cooperación Interinstitucional 065 de 2022 con la Universidad Tecnológica de Bolívar, quien ejerce la mesa técnica del CUEE Bolívar y la Alcaldía Mayor de Cartagena de Indias
Para la actual vigencia se sigue implementando y dando sostenibilidad a la instancia mediante la ejecución de acciones de manera conjunta con los diferentes actores que hacen parte de la mesa de Capital Humano del CUEE. En el segundo trimestre del 2023, en la sesión 19 de la mesa, se realizó presentación de los avances del programa y se hizo énfasis en dar a conocer a los actores la estrategia “Conoce el sector productivo de tu ciudad”, 
Por otro lado, en la sesión 20 de la mesa de capital humano del CUEE, se presenta el proyecto “The Biz Nation”, lleva por objetivo crear un programa que le brinde a los participantes las herramientas necesarias para desarrollar habilidades que le permita generar ingresos, para ello se surten 3 etapas, una de ellas es el desarrollo del ser y de las habilidades del siglo XXI, habilidades de marketing digital y emprendimiento. Este proyecto se encuentra liderado por 3 empresarias con trayectoria en el emprendimiento. </t>
  </si>
  <si>
    <t xml:space="preserve">Desde esta actividad se lideraron los esfuerzos para el cumplimiento de las acciones planeadas y la implementación del plan de acompañamiento social a los jóvenes emprendedores. </t>
  </si>
  <si>
    <t xml:space="preserve">En el mes de junio el proceso contractual para entrega de capital semilla a los jóvenes de la estrategia H2O fue publicado en la plataforma SECOP II y luego de cumplir con los días estipulados no contó con entidades interesadas en presentarse, motivo por el cual el proceso fue declarado desierto. Éste se publicó nuevamente en el mes de julio cerrando el día de hoy, 17 de julio con 2 propuestas recibidas, las cuales se someterán a evaluación y se espera poder encontrar la entidad idónea para proceder con el proceso de entrega del capital semilla. </t>
  </si>
  <si>
    <t>El aula productiva 3 se desarrolló en un 100% satisfactoriamente, atendiendo a xxx jóvenes.
A la fecha se reportan 158 unidades productivas identificadas para la vigencia 2023, las cuales diligenciaron el formulario de creación de unidades productivas. De estas, 28 jóvenes han logrado crear sus planes de negocio de manera exitosa con la participación en las aulas productivas de la estrategia H2O.</t>
  </si>
  <si>
    <t>El aula productiva 2 se desarrolló en un 100% satisfactoriamente, atendiendo a xxx jóvenes.</t>
  </si>
  <si>
    <t xml:space="preserve">Es una actividad que se desarrolla de manera permanente, siempre y cuando se programen actividades que le apunten a la generación y formalización del empleo. Aquí se incluye el apoyo a aliados en el diseño de piezas y divulgación de estas.
Esta actividad continuará desarrollándose en lo que resta de la vigencia. </t>
  </si>
  <si>
    <t xml:space="preserve">Actualmente se está gestionando la etapa precontractual de un proceso de contratación de mínima cuantía con la que se pretenden disponer de los servicios de un operador logístico para la realización de 2 ferias que se esperan desarrollar en el segundo del año. 
Esta actividad continuará desarrollándose de manera directa (con la contratación en curso) y de manera indirecta (en compañía de aliados) en lo que resta de la vigencia. </t>
  </si>
  <si>
    <t xml:space="preserve">En esta actividad se ejecuta la contratación de 3 personas vinculadas mediante OPS actualmente contratadas hasta el mes de septiembre, las cuales coordinan las acciones para el cierre de brechas de empleabilidad y su énfasis en población joven. </t>
  </si>
  <si>
    <t>Si bien, este año no se han firmado nuevos pactos, con el seguimiento y control de los existentes, a corte de Junio de 2023 se reporta un cumplimiento superior al 100% de la meta de la vigencia y de igual manera la meta del cuatrienio.
Continuaremos en el segundo semestre trabajando por superar aún más las vinculaciones e impactar en mayor grado en la generación de oportunidades laborales y el cierre de brechas de empleabilidad en la población.</t>
  </si>
  <si>
    <t>Por realizar.</t>
  </si>
  <si>
    <t xml:space="preserve">A través de Distrito E, en el marco de la ruta de empleabilidad, se están desarrollando procesos de fortalecimiento de habilidades. A la fecha se realizó 1 actividad en Pontezuela y otra en Zaragocilla, con lo que se evidencia movimiento de esta actividad en el tercer trimestre.
Se continuarán desarrollando acciones en esta línea en lo que queda del año. </t>
  </si>
  <si>
    <t>N/A.
NO APARECE EN SPI</t>
  </si>
  <si>
    <t>NO APARECE EN SPI</t>
  </si>
  <si>
    <t xml:space="preserve">Se continuará realizando en el tercer y cuarto trimestre del año 2023 alcanzando la ejecución del 100% de la actividad. </t>
  </si>
  <si>
    <t xml:space="preserve">Este año se programó la realización de 2 estrategias, de las cuales se realizó 1 en el segundo trimestre, y se espera realizar la segunda en el segundo semestre del año. </t>
  </si>
  <si>
    <t xml:space="preserve">Esta actividad se viene desarrollando en el marco de las obligaciones del coordinar del programa. </t>
  </si>
  <si>
    <t xml:space="preserve">Se están desarrollando acciones de relacionamiento. Para lo anterior, se adelantó la contratación de un facilitador para estos procesos, el cual continuará desarrollando estas acciones. </t>
  </si>
  <si>
    <t xml:space="preserve">Esta acción se hace en el marco de los espacios de socialización de la Secretaría (2da Feria de Transparencia, 1ra y 2da Feria de Servicios Financieros. Estas acciones continuarán ejecutándose. </t>
  </si>
  <si>
    <t>Se firmó el convenio de asociación 021 de 2023, en el cual se reporta como uno de sus productos, realizar 1 encuentro de innovación en Cartagena lo que permitirá superar la meta del cuatrienio con un total de 5 encuentros.
Esta actividad puntual se encuentra programada para realizarse entre el 26 y 28 de octubre de este año según plan de trabajo en el marco del convenio. 
La temática aquí descrita será incluida en la agenda de la jornada académica.
Con esto, a corte del 31 de octubre se habrá ejecutado esta actividad en un 100%</t>
  </si>
  <si>
    <t xml:space="preserve">En el marco del convenio de asociación 021 de 2023, se incluyó la realización de la jornada de taller de innovación (a realizarse entre el 26 y 28 de octubre) en la que se proyecta recoger las voces de los diferentes actores del sistema de innovación, en relación con los lineamientos para trabajar la innovación en el territorio de Cartagena en los próximos 4 años. 
Con esto, a corte del 31 de octubre se habrá ejecutado esta actividad en un 100% </t>
  </si>
  <si>
    <t xml:space="preserve">En el último día del encuentro proyectado en el marco del convenio de asociación 021 de 2023 se realizará el cierre del encuentro y se entregarán las becas 
Con esto, a corte del 31 de octubre se habrá ejecutado esta actividad en un 100% </t>
  </si>
  <si>
    <t xml:space="preserve">En el marco del convenio de asociación 021 de 2023, se crearon los términos de referencia para los concursos:
1. “Innovus 2023” el cual busca otorgar 35 becas del 100% a la red de Proveeduría y Fortalecimiento empresarial para cursar el diplomado en Gestión de la Innovación en la UTB. 
2.“Idearium” el cual busca otorgar 30 becas del 100% a la ciudadanía en general. Se desarrollará en tercer trimestre de 2023.
3.“Cartagena ciudad innovadora” el cual busca otorgar 6 becas del 100% para estudios de maestría en la UTB se desarrollará en cuarto trimestre de 2023.
El día 30 de junio se cerró la convocatoria del concurso Innovus 2023, y fueron seleccionados 38 empresas y emprendimientos ganadores de este concurso y cuyo incentivo es una beca en el diplomado en Gestión de la Innovación en la Universidad Tecnológica de Bolívar. Esta cohorte inició el pasado 07 de julio su proceso de formación académica. </t>
  </si>
  <si>
    <t xml:space="preserve">Se realizó la evaluación de 53 postulaciones en el marco del concurso. “Innovus 2023”. En el segundo semestre del año, y previa convocatoria e inscripción del concurso de “Cartagena ciudad innovadora”, se realizará la evaluación a las iniciativas de innovación recibidas, completando el 100% de la ejecución de esta actividad. </t>
  </si>
  <si>
    <t>A cierre del segundo semestre se habrá realizado la premiación de las iniciativas innovadoras enmarcadas en los concursos desarrollados en el marco del programa.</t>
  </si>
  <si>
    <t xml:space="preserve">Se ha trabajado con CienTech para articular acciones que permitan el desarrollo de esta actividad, la cual está prevista a realizarse en el mes de octubre. </t>
  </si>
  <si>
    <t xml:space="preserve">En el primer semestre se realizó 1 taller de fortalecimiento de la cultura de innovación con población NARP y para el segundo semestre se tiene planeada la socialización de los términos de referencia del concurso IDEARIUM 2023 dirigido a miembros de consejos comunitarios, líderes de organizaciones sociales, comunitarias, civiles y culturales. </t>
  </si>
  <si>
    <t>No aparece programada este año, tampoco aparece programada en el plan de acción.</t>
  </si>
  <si>
    <t xml:space="preserve">En el primer semestre se realizaron 4 talleres de sensibilización sobre innovación y creatividad e instituciones Educativas Oficiales en el marco de la estrategia Amigos de la Innovación. 
En este periodo también se realizaron 2 encuentros del sistema de innovación; el primero fue un taller de emprendimiento social con el PhD Jason Roncancio y el segundo una jornada de actualización de fuentes de financiación para proyectos de innovación y emprendimiento. 
Con lo anterior, se logró dinamizar el diálogo entre cada uno de los actores (academia, sector productivo, sociedad civil, entidades territoriales.) </t>
  </si>
  <si>
    <t>Para la sostenibilidad de estrategia de promoción y posicionamiento de la ciudad “Cartagena aquí lo tienes todo”, desde la coordinación del programa en conjunto con el equipo de comunicaciones se está construyendo un plan de comunicaciones que permita consolidar el eslogan con la linea gráfica, generación y programación de material audiovisual que permita la difusión de la campaña de posicionamiento.
En articulación con el programa Encadenamientos Productivos hemos priorizado la planeación y ejecución de espacios de ruedas de negocios y/o relacionamiento para el sector empresarial de la ciudad. Lo anterior, con el objeto de dinamizar el ecosistema empresarial y promover las alianzas estratégicas con los actores del mismo.</t>
  </si>
  <si>
    <t>Para la sostenibilidad del Sistema de Información para el inversionista se ha orientado la actualización, masificación y posicionamiento de la plataforma como un portal de información de interés para inversionistas locales, nacionales o extranjeros.</t>
  </si>
  <si>
    <t xml:space="preserve">A la fecha, está publicado un proceso competitivo para contratar OBJETO Contratar la Prestación de  servicios profesionales de  selección, gestión, desarrollo y acompañamiento  técnico, productivo, comercial y acceso a capital, basado en la estrategia MODELO ALTERNATIVO DE ECONOMIA COMUNITARIA MAE-COMUN,  para la generación de ingresos y procesos de fortalecimiento e inclusión productiva a 33 beneficiarios que pueden ser personas naturales o jurídicas, emprendedores o empresas de la población étnica, con el fin de desarrollar habilidades en inteligencia emocional, habilidades empresariales, fortalecer modelos de negocio  y fomentar las conexiones con el mercado e inversión local e internacional, que mejoren la capacidad productiva de los proyectos productivo. Dicho proceso se encuentra abierto hasta el 27 de julio de 2023 a la espera de presentación de proponentes. 
Ojo: En SPI, todavía aparece 450 millones en el presupuesto asignado; aún no se reflejan traslados ni incorporaciones. </t>
  </si>
  <si>
    <t xml:space="preserve">Tiene una asignación presupuestal para el 2023 de $23’629.200, se propone a la supervisión que sea para el eje transversal (incluido indígena).
Está pendiente por desarrollar. </t>
  </si>
  <si>
    <t>El sentido de esta actividad era generar un fortalecimiento a los encadenamientos productivos que pueden tener las unidades de generación de ingresos a través del programa de zonas de aglomeraciones productivas en su componente de aliados estratégicos; no obstante, la disminución de recursos de ese programa.</t>
  </si>
  <si>
    <t>A esta actividad se le asignaron $155 millones de pesos; no obstante, debido al traslado realizado para fortalecer la bolsa de recursos de NARP, esta actividad quedó sin recursos para la vigencia 2023. Lo anterior, también teniendo en cuenta que la meta producto de este programa está cumplida de acuerdo con lo que se indica en el Plan de Desarrollo vigente. 
Se indica que, en el marco del programa se encuentra dispuesto personal para brindar la asesoría y/o asistencia técnica que requieran comunidades indígenas del Distrito de Cartagena.</t>
  </si>
  <si>
    <t xml:space="preserve">El sentido de esta actividad era generar un fortalecimiento a los encadenamientos productivos que pueden tener las unidades de generación de ingresos a través del programa de zonas de aglomeraciones productivas en su componente de aliados estratégicos; no obstante, la disminución de recursos de ese programa, </t>
  </si>
  <si>
    <t>Al inicio de la vigencia, a esta actividad se le asignaron $15 millones de pesos; no obstante, debido al traslado realizado para fortalecer la bolsa de recursos de NARP, esta actividad quedó sin recursos para la vigencia 2023. Lo anterior, también teniendo en cuenta que la meta producto de este programa está cumplida de acuerdo con lo que se indica en el Plan de Desarrollo vigente. 
Esta actividad se realizará en lo que resta de la vigencia por el personal vinculado a en el marco de este mismo eje transversal para la población NARP de la Unidad de Desarrollo Económico</t>
  </si>
  <si>
    <t>Fueron actividades programadas en 20233 con el fin de dar sostenibilidad en el 2023 a Distrito E con relación a la oferta de los servicios y ampliar la bolsa de recursos para la entrega de Capital Semilla.
Servicios con los que cuenta
Es importante resaltar las diferentes rutas que sustentan el proyecto y las cuales hacen de Distrito E, el medio para que, mediante habilidades adquiridas, capacidad instalada, apoyo y guía, los habitantes de la ciudad incrementen su actividad productiva. Relacionado con el objetivo de la política nacional referente a reactivar, repotenciar y aumentar crecimiento en Cartagena.  Las rutas que incluye Distrito E son: 
En línea con lo anterior, los servicios que se mantienen vigentes en operación son:
Componente de Emprendimiento y desarrollo empresarial:
·	Ruta travesía. 
·	Ruta naranja. 
·	Hábitos empresariales.  
·	Micro franquicias. 
Componente de Empleabilidad
·	Ruta de orientación ocupacional y vocacional para el empleo. 
·	Ruta de gestión de oportunidades laborales.
·	Ruta de referenciación y articulación de alianzas.
Componente de Microfinanciación
·	Ruta de microcrédito. 
·	Ruta de Capital semilla – recursos no reembolsables. 
·	Ruta de acceso a otros servicios de micro financiamiento.
Rutas transversales:
·	En marcha digital
·	Habilidades esenciales 4.0
·	Laboratorio Juvenil de Inclusión Productiva</t>
  </si>
  <si>
    <t xml:space="preserve">Esta actividad tuvo como propósito divulgar y posicionar los servicios de Distrito E en la comunidad. Este trabajo se ha desarrollado en compañía del equipo de Conviventia y el equipo de la secretaría de Hacienda en especial su Unidad de Desarrollo Económico. </t>
  </si>
  <si>
    <t xml:space="preserve">Se sugiere contemplar en adelante, en el marco de esta estrategia la vinculación de 1 persona para la identificación de oportunidades de financiación para emprendedores y empresarios del Distrito, así como su acompañamiento en el proceso de aplicación de esas oportunidades. </t>
  </si>
  <si>
    <t>A través del Equipo Asesor de Desarrollo Económico se ha y de Distrito E, se ha trabajado en llevar al territorio los servicios con los que cuenta la Secretaría de Hacienda en temas de inclusión productiva, especialmente con el fortalecimiento de los emprendimientos y el Desarrollo Empresarial es por ellos que desde el 2022 se han establecido los siguientes espacios de socialización en los que se ha contactado a los presidentes de Consejos Comunitarios:
Consejo Comunitario	Fecha	Actividad
Bocachica	1 de marzo de 2023	Socialización y conformación de grupo de beneficiarios
Bayunca	10 de marzo de 2023	Socialización, conformación y seguimiento a grupo de beneficiarios 
Pasacaballos	27 de marzo de 2023	Socialización a comunidad
Barú	21 de abril de 2023	Socialización a comunidad
Pontezuela	27 de marzo de 2023	Socialización a comunidad
Villa Gloria	24 de noviembre de 2022	Socialización a comunidad
Punta Canoa	25 de julio de 2022	Socialización a comunidad
Así mismo, luego de realizar las socializaciones y contactos directos, se ha podido llevar los servicios del Centro a las siguientes comunidades:
Consejo Comunitario	Inicio de formaciones	Componente de Emprendimiento y Desarrollo Empresarial
Bayunca	Abril de 2023	Travesía Emprendedora
Pasacaballos	Abril de 2023	Travesía Emprendedora
Manzanillo	Enero de 2023	Hábitos Empresariales</t>
  </si>
  <si>
    <t>AVANCE CUMPLIMIENTO META jul</t>
  </si>
  <si>
    <t>AVANCE CUMPLIMIENTO META ago</t>
  </si>
  <si>
    <t>AVANCE CUMPLIMIENTO META sep</t>
  </si>
  <si>
    <t>AVANCE CUMPLIMIENTO META 3er TRIMESTRE</t>
  </si>
  <si>
    <t>OBSERVACIONES 3er trimestre</t>
  </si>
  <si>
    <t xml:space="preserve">JULIO </t>
  </si>
  <si>
    <t>AGOSTO</t>
  </si>
  <si>
    <t>SEPTIEMBRE</t>
  </si>
  <si>
    <t>EJECUCIÓN FINANCIERA 3ER TRIMESTRE</t>
  </si>
  <si>
    <t xml:space="preserve">Planeación de Macrorueda de Negocios Caratgena Conecta- TE: Aquí lo tienes todo
Reunión con Camaras Menores de Estados Unidos para la socialización de Cartagena como Destino de Inversión
Estructuración de estrategia de divulgación de racionalziación de trámites del Distrito </t>
  </si>
  <si>
    <t>Para la sostenibilidad del Sistema de Información para el inversionista se ha orientado la actualización de documentos e información.</t>
  </si>
  <si>
    <t xml:space="preserve">N/A.
NO APARECE EN SPI. </t>
  </si>
  <si>
    <t>ESTA ACTIVIDAD NO APARECE EN SPI. 
En el tercer trimestre se inició un trabajo en articulación con el programa Cartagena Destino de inversión, para potencializar la estrategia de atracción de inversiones, a través de la realización de una Macrorueda Empresarial, que permita dinamizar el ecosistema productivo de la ciudad y fomentar la generación de alianzas estrategias entre las empresas locales. Para mayor detalle, remitirse al informe de gestión anexo a esta matriz.</t>
  </si>
  <si>
    <t>Para el tercer trimestre del año, se continua potencializando y posicionando la plataforma Clúster Cartagena 2.0, a través de; El seguimiento en temas de funcionalidad; Gestión de contenido; Monitoreo de estadísticas y generación de espacios de socialización de esta herramienta a empresarios, gremios, inversionistas y actores del ecosistema productivo de la ciudad para visibilizar los beneficios de esta herramienta informática.  Para mayor detalle, remitirse al informe de gestión anexo a esta matriz.</t>
  </si>
  <si>
    <t>Para el tercer trimestre, con el objetivo de dar sostenibilidad a las tres estrategias de proveedores, que a la fecha se han ejecutado e implementar la cuarta estrategia de proveedores diseñada, se realizaron las siguientes acciones;
a)	Convocatoria de fortalecimiento empresarial para seleccionar 10 empresas, de la Red de Proveeduría y Fortalecimiento empresarial de Cartagena y brindarles servicios de consultoría especializada.
b)	Planeación y organización de un evento empresarial denominado; Macrorueda de negocios; Cartagena Conecta – TE; “Aquí lo tienes todo”, que tiene como propósito; Potencializar a las micro, pequeñas y medianas empresas vinculadas a la Red de Proveeduría y Fortalecimiento Empresarial de Cartagena, mediante la consolidación de alianzas estrategia y fortalecimiento de las dinámicas empresariales y el ecosistema de empleo inclusivo en la ciudad. 
c)	Inicio, seguimiento y finalización del diplomado en Gestión de la innovación en la Universidad Tecnológica de Bolívar, con los 38 empresarios y emprendedores vinculados a la Red de Proveeduría y Fortalecimiento Empresarial de Cartagena. El diplomado inicio el 07 de julio y finalizo el 20 de septiembre.  Los participantes fueron seleccionaos a través del Concurso Innovas 2023 que se dio en el segundo trimestre
d)	Elaboración de propuesta técnica de convocatoria para en articulación con el programa Cartagena Ciudad innovadora y su aliado la Universidad Tecnológica de Bolívar lograr la financiación de proyectos diseñados por las empresas vinculadas a Incubatech.                                                                  Para mayor detalle, remitirse al informe de gestión anexo a esta matriz</t>
  </si>
  <si>
    <t>Esta actividad se viene desarrollando en el marco de las obligaciones del coordinar del programa. Para mayor detalle, remitirse al informe de gestión anexo a esta matriz</t>
  </si>
  <si>
    <t>Se continúan desarrollando acciones de relacionamiento., a través de profesional especializado en procesos experenciales. El tercer trimestre constituyo la fase de Planeación de dos actividades claves; Una Charla sobre Netwoking y una rueda de relacionamiento. La cuales se realizarán en el marco del evento empresarial denominado; Macrorueda de negocios; Cartagena Conecta – TE; “Aquí lo tienes todo”, Estos espacios tiene como propósito facilitar los contactos comerciales entre las emprendedores y empresarios y fortalecer las dinámicas empresariales de la ciudad mediante la generación de procesos de asociatividad y el relacionamiento del tejido empresarial local.</t>
  </si>
  <si>
    <t>NO APARECE EN SPI.                                                                                                                                                                     
Para el tercer trimestre se elaboró propuesta técnica de convocatoria para en articulación con el programa Cartagena Ciudad innovadora y su aliado la Universidad Tecnológica de Bolívar lograr la financiación de proyectos diseñados por las empresas vinculadas a Incubatech. Para mayor detalle, remitirse al informe de gestión anexo a esta matriz</t>
  </si>
  <si>
    <t xml:space="preserve">Desde esta actividad se lideraron los esfuerzos para el cumplimiento de las acciones planeadas en el programa de inclusión productiva de población indígena </t>
  </si>
  <si>
    <t xml:space="preserve">A la fecha, adjudicó el proceso competitivo para contratar la Prestación de  servicios profesionales de  selección, gestión, desarrollo y acompañamiento  técnico, productivo, comercial y acceso a capital, basado en la estrategia MODELO ALTERNATIVO DE ECONOMIA COMUNITARIA MAE-COMUN,  para la generación de ingresos y procesos de fortalecimiento e inclusión productiva a 33 beneficiarios que pueden ser personas naturales o jurídicas, emprendedores o empresas de la población étnica, con el fin de desarrollar habilidades en inteligencia emocional, habilidades empresariales, fortalecer modelos de negocio  y fomentar las conexiones con el mercado e inversión local e internacional, que mejoren la capacidad productiva de los proyectos productivo. Dicho proceso adelantó en este este periodo la primera etapa del proceso metodológico establecido el cual se completará en el siguiente trimestre. 
Ojo: En SPI, todavía aparece 450 millones en el presupuesto asignado; aún no se reflejan traslados ni incorporaciones. </t>
  </si>
  <si>
    <t>El programa empleo inclusivo para los jóvenes reporta a la fecha 423 unidades productivas, de las cuales 300 fueron creadas por la secretaría de Hacienda a través de la estrategia H2O y 123 por la oficina de juventud de la SPDS a través de sus procesos y convenios. 
Se espera que al finalizar la vigencia 2023 se cumpla al 100% pues ambas dependencias están trabajando a través de diversas acciones de gestión con más de 77 jóvenes para el cumplimiento de la meta establecida.</t>
  </si>
  <si>
    <t>El aula productiva 1 se desarrolló en un 100% satisfactoriamente.</t>
  </si>
  <si>
    <t>El aula productiva 2 se desarrolló en un 100% satisfactoriamente.</t>
  </si>
  <si>
    <t>El aula productiva 3 se desarrolló en un 100% satisfactoriamente.</t>
  </si>
  <si>
    <t>El aula productiva 1 se desarrolló en un 100% satisfactoriamente.
El programa empleo inclusivo para los jóvenes reporta a la fecha 423 unidades productivas, de las cuales 300 fueron creadas por la secretaría de Hacienda a través de la estrategia H2O y 123 por la oficina de juventud de la SPDS a través de sus procesos y convenios. 
Se espera que al finalizar la vigencia 2023 se cumpla al 100% pues ambas dependencias están trabajando a través de diversas acciones de gestión con más de 77 jóvenes para el cumplimiento de la meta establecida.</t>
  </si>
  <si>
    <t>Desde el equipo de desarrollo económico se suministró la información técnica correspondiente para la publicación del proceso contractual para entrega de insumos tipo capital semilla, el cual luego de estar publicado por segunda vez este año, no logró adjudicarse debido a que las 3 entidades que se presentaron no cumplieron los criterios jurídicos, financieros y técnicos. Por este motivo se declaró desierto y al proponerse a la secretaría general una tercera publicación, esta fue negativa alegando temas de tiempo. 
Desde el equipo de desarrollo económico, se sigue en la gestión para poder cumplir con esta actividad.</t>
  </si>
  <si>
    <t xml:space="preserve">Durante este trimestre se realizó : 
- Difusión de vacantes laborales suministradas por aliados para oportunidades para población civil </t>
  </si>
  <si>
    <t>Durante este trimestre se  realizó Feria de Empleabilidad – Espacio articulado con Distrito E en el Componente Empleabilidad.</t>
  </si>
  <si>
    <t>Meta cumplida</t>
  </si>
  <si>
    <t>Formación para el ingreso al mercado laboral: Socialización de la Ruta de Empleabilidad Distrito E en la que se capacita a la comunidad en orientación ocupacional, creación de hojas de vida, presentación de entrevista de trabajo, habilidades blandas, etc. lo anterior en la comunidad de Pontezuela y Zaragocilla.</t>
  </si>
  <si>
    <t>Se realizaron acciones de sostenibilidad.</t>
  </si>
  <si>
    <t>En el tercer trimestre del año fue aprobado por el Concejo Distrital el proyecto de saneamiento entidad y se han realizado las operaciones pertinentes que llevar a cabo a la materialización del cumplimiento de estas obligaciones, se procedió a actualizar el proyecto de inversión incluyendo las actividades sobre las cuales se destinarían estos recursos una vez actualizados el proyecto de inversión se dio inicio al proceso interno de identificación de cuentas a pagar.
Se indica en la ejecución el valor comprometido con RP, más se indica que efectivamente pagado a corte de septiembre 1.627935.005,97 pesos</t>
  </si>
  <si>
    <t>AVANCE CUMPLIMIENTO META oct</t>
  </si>
  <si>
    <t>AVANCE CUMPLIMIENTO META nov</t>
  </si>
  <si>
    <t>AVANCE CUMPLIMIENTO META dic</t>
  </si>
  <si>
    <t>AVANCE CUMPLIMIENTO META 4to TRIMESTRE</t>
  </si>
  <si>
    <t>ADICIÓN SANEAMIENTO FISCAL (OCT)</t>
  </si>
  <si>
    <t>PRESUPUESTO TOTAL 2023 SEGÚN APROPIACIONES</t>
  </si>
  <si>
    <t>OCTUBRE</t>
  </si>
  <si>
    <t>NOVIEMBRE</t>
  </si>
  <si>
    <t>DICIEMBRE</t>
  </si>
  <si>
    <t>EJECUCIÓN FINANCIERA 4ER TRIMESTRE</t>
  </si>
  <si>
    <r>
      <t xml:space="preserve">El día 03 de marzo de 2023 el WEBINAR: </t>
    </r>
    <r>
      <rPr>
        <u/>
        <sz val="11"/>
        <rFont val="Arial"/>
        <family val="2"/>
      </rPr>
      <t>"Recomendaciones para una participación exitosa en ruedas en de Relacionamiento".</t>
    </r>
    <r>
      <rPr>
        <sz val="11"/>
        <rFont val="Arial"/>
        <family val="2"/>
      </rPr>
      <t xml:space="preserve"> En este espacio los empresarios participantes recibieron una serie de recomendaciones para participar de forma activa en estos espacios y lograr obtener contactos y concretar oportunidades de negocios. Igualmente se realizó la planeación y organización del Taller de sensibilización "Aspectos a tener en cuenta a la hora de exportar".  El taller se llevó a cabo el día 09 de marzo de 2023. En este espacio las empresas participantes recibieron información sobre la oferta de servicios disponibles desde Procolombia, INNpulsa y Bancóldex, para las micro, pequeñas y medianas empresas.  El día 15 de marzo de 2023, se desarrolló la actividad; Agendamientos Comerciales: "Un espacio para conectar proveedores y clientes". De este espacio participaron empresarios de la Red de proveeduría y Fortalecimiento Empresarial de Cartagena, de los sectores de Construcción y empresas de servicios transversales, los cuales lograron conocerse, relacionarse y tomar los contactos de posibles empresas con las cuales realizar alianzas estratégicas.  </t>
    </r>
  </si>
  <si>
    <r>
      <t xml:space="preserve">Para el tercer trimestre de esta vigencia 2023 con el objetivo de consolidar y fortalecer la Red, se continúa implementando la estrategia de vinculación diseñada. Para el tercer trimestre se vincularon 13 empresas, teniendo un total de 327 empresas vinculadas a la Red de proveeduría y Fortalecimiento Empresarial de Cartagena.  Cabe mencionar que todas las acciones realizadas en el marco de las estrategias de proveedores locales diseñadas, priorizan a las empresas vinculadas a esta Red de Proveeduría y Fortalecimiento Empresarial de Cartagena y constituyen una forma de visibilizar al tejido empresarial los beneficios de pertenecer a esta Red, para seguir generando mayor vinculación de empresas.  </t>
    </r>
    <r>
      <rPr>
        <sz val="11"/>
        <rFont val="Calibri"/>
        <family val="2"/>
        <scheme val="minor"/>
      </rPr>
      <t>Para mayor detalle, remitirse al informe de gestión anexo a esta matriz</t>
    </r>
  </si>
  <si>
    <r>
      <t>Se logró desarrollar la primera mesa de socialización del Modelo Alternativo de Economía Comunitaria de esta vigencia, con los representantes de los consejos comunitarios elegidos</t>
    </r>
    <r>
      <rPr>
        <b/>
        <sz val="11"/>
        <rFont val="Arial"/>
        <family val="2"/>
      </rPr>
      <t xml:space="preserve"> </t>
    </r>
    <r>
      <rPr>
        <sz val="11"/>
        <rFont val="Arial"/>
        <family val="2"/>
      </rPr>
      <t>, cuya información recibimos de manera oficial de parte de la Secretaría del Interior, en el marco de esta sesión se estableció la hoja de ruta para lograr el fortalecimiento de 33 proyectos de generación de ingresos desarrollados en consejos comunitarios (SOPORTES INFORME)</t>
    </r>
  </si>
  <si>
    <t>OBSERVACIONES 4to trimestre</t>
  </si>
  <si>
    <t>COMENTARIOS</t>
  </si>
  <si>
    <t>REPORTE DE LA ACTIVIDAD DEL PROYECTO EJECUTADA DE 01 DE JUNIO A 30 DE SEPTIEMBRE</t>
  </si>
  <si>
    <t>REPORTE DE LA ACTIVIDAD DEL PROYECTO EJECUTADA DE 01 DE OCTUBRE A DICIEMBRE</t>
  </si>
  <si>
    <t>Se llevó a cabo satisfactoriamente la coordinación de las actividades de la estrategia H2O</t>
  </si>
  <si>
    <t>A través del Equipo Asesor de Desarrollo Económico y desde su proyecto Distrito E ,  se ha trabajado en llevar al territorio sus servicios a través de los cuales desde su operación a inicios de octubre de 2023 y diciembre de 2023  fue posible la atención a 2.269 emprendedores y empresarios y 1.829 buscadores de empleo de toda la ciudad de los cuales fue posible la gestión para la inserción al mercado laboral formal de más de 700. Además, la atención descentralizada de Distrito E permitió que se realizaran formaciones en territorio en corregimientos tales como Bayunca, Pasacaballos y Bocachica, así como el fortalecimiento en capital de trabajo de 1.570 estos emprendedores.</t>
  </si>
  <si>
    <t>Se programó la actividad en 20233 con el fin de dar sostenibilidad en el 2023 a Distrito E con relación a la oferta de los servicios y ampliar la bolsa de recursos para la entrega de Capital Semilla.
Servicios con los que cuenta
Es importante resaltar las diferentes rutas que sustentan el proyecto y las cuales hacen de Distrito E, el medio para que, mediante habilidades adquiridas, capacidad instalada, apoyo y guía, los habitantes de la ciudad incrementen su actividad productiva. Relacionado con el objetivo de la política nacional referente a reactivar, repotenciar y aumentar crecimiento en Cartagena.  Las rutas que incluye Distrito E son: 
En línea con lo anterior, los servicios que se mantienen vigentes en operación son:
Componente de Emprendimiento y desarrollo empresarial:
·Ruta travesía. 
·Ruta naranja. 
·Hábitos empresariales.  
·Micro franquicias. 
Componente de Empleabilidad
·Ruta de orientación ocupacional y vocacional para el empleo. 
·Ruta de gestión de oportunidades laborales.
·Ruta de referenciación y articulación de alianzas.
Componente de Microfinanciación
·Ruta de microcrédito. 
·Ruta de Capital semilla – recursos no reembolsables. 
·Ruta de acceso a otros servicios de micro financiamiento.
Rutas transversales:
·En marcha digital
·Habilidades esenciales 4.0
·Laboratorio Juvenil de Inclusión Productiva</t>
  </si>
  <si>
    <t>Se realizó el proceso de contratación directa para la vinculación del personal necesario para la coordinación y ejecución de actividades enmarcadas en el presente programa y proyecto de inversión para la vigencia 2023.
En cuanto a la ejecución presupuestal, se pone el proyectado a cierre de diciembre de 2023 según compromiso contractual.</t>
  </si>
  <si>
    <t xml:space="preserve">Se realizó el proceso de contratación directa para la vinculación del personal necesario para la coordinación y ejecución de actividades enmarcadas en el presente programa y proyecto de inversión para la vigencia 2023.
Teniendo en cuenta la fecha de corte a la que se presenta este informe se proyecta en la ejecución del mes de diciembre de 2023 el valor total según compromisos contractuales de esta Secretaría en el marco de esta actividad.
</t>
  </si>
  <si>
    <t>Se ha desarrollado con éxito la plataforma web de Incubatech CTG: https://webxdigital.cartagena.gov.co/.
Si bien a corte de fecha de la realización de este informe no se han tramitado las cuentas en el marco del Convenio 021 de 2023, se deja expresado en la ejecución del mes de diciembre el valor que esta Administración deberá pagar en el marco del compromiso adquirido bajo la figura de cuentas por pagar para el año 2024.</t>
  </si>
  <si>
    <t>Para el periodo de referencia,  a través del Componente de Microfinanciación de Distrito E se realizaron 1.774 operaciones financieras. 1530 de estas fueron nuevas capitalizaciones a través de la ruta de capital semilla, en dónde los empresarios y emprendedores ya surtieron las etapas previas para dicho proceso.
Así mismo, se ejecutaron dos espacios para promover el apalancamiento de emprendimientos:
- Webinar sobre fuentes de financiación a cargo de iNNpulsa Colombia del Ministerio de Comercio, Industria y Turismo 
- Feria de servicios financieros en dondeparticiparon 7 entidades bancarias
Finalmente,   para el cuatrienio  se finaliza con un alcance de la meta del 70%.</t>
  </si>
  <si>
    <t>Durante este trimestre se realizaron 2 Ferias de Empleabilidad, Emprendimientos y Servicios Financieros que se desarrollaron los días 17 de octubre y 14 de diciembre de 2023.</t>
  </si>
  <si>
    <t>Meta cumplida, para este trimeste se realizó seguimeinto para el cumplimiento de el plan de acción de los diferentes aliados.</t>
  </si>
  <si>
    <t xml:space="preserve">
Con la ejecución de los pactos y el seguimiento a los resultados de las metas trazadas a este corte  se reporta un cumplimiento superior al 100% de la meta de la vigencia y de igual manera la meta del cuatrienio.
Continuaremos en el cuarto  trimjestre trabajando por superar aún más las vinculaciones e impactar en mayor grado en la generación de oportunidades laborales y el cierre de brechas de empleabilidad en la población.</t>
  </si>
  <si>
    <t>Con la ejecución de los pactos y el seguimiento a los resultados de las metas trazadas a este corte  se reporta un cumplimiento superior al 100% de la meta de la vigencia y de igual manera la meta del cuatrienio.
Continuaremos en el cuarto  trimjestre trabajando por superar aún más las vinculaciones e impactar en mayor grado en la generación de oportunidades laborales y el cierre de brechas de empleabilidad en la población.</t>
  </si>
  <si>
    <t>Se realizaron charlas sobre la importancia de la formalización laboral para el crecimiento empresarial y reconocimiento de los incentivos tributarios en la creación de nuevos empleos</t>
  </si>
  <si>
    <t>Para el IV trimestre de 2023, participamos del 3er encuentro de Comunidad de Practica de Encuentro de Comunidad de Práctica de Orientación socio ocupacional en el marco de la ejecución del convenio de colaboración 053 de 2022, organizado por el aliado Fundación Corona que contó con la asistencia de todos los aliados a nivel nacional y que lideran iniciativas de orientación socio ocupacional.
Además, se continua con el proceso de digitalización de las encuestas de entrada aplicada en los grados noveno, decimo y undécimo de la institución educativa Clemente Manuel Zabala, I.E Bayunca, I.E Republica de Argentina, I.E Madre Gabriela de San Martin, I.E Manuela Vergara de Curi en el marco de la implementación y adopción de la metodología de orientación socio ocupacional. No obstante, en este periodo Fundación Corona realizo análisis y resultado de las encuestas totalmente digitalizadas de las instituciones educativas Omaira Sánchez, Fernández Baena, Juan Bautista, Antonia Santos, San Francisco, Bayunca y San Francisco de Asís.</t>
  </si>
  <si>
    <t>Para el presente trimestre, la plataforma ha sido presentada y socializada con grupos de docentes y estudiantes de instituciones oficiales del Distrito de Cartagena tal como Arroyo de piedra, Madre Gabriela de San Martín, entendiendo que estos tienen contacto directo con los estudiantes y que la plataforma es una herramienta practica para ser empleada en el aula de clase. De igual manera, en articulación con programas de la política pública de desarrollo económico y pleno empleo, tal como Empleo Inclusivo para jóvenes, socializamos la plataforma con jóvenes de la localidad 3 del distrito. 
No obstante, se participó en el fórum de orientación socio ocupacional con jóvenes del grado undécimo de la institución educativa Gabriel García Márquez, a fin de dar a conocer sección de relevancia como “Construyendo mi formación” que dispone la oferta y oportunidades educativas para los jóvenes cartageneros.
Para más información remitirse al informe.</t>
  </si>
  <si>
    <t>Se da avance al estudio mediante el mapeo de entidades de formación dirigidas al sector de mantenimiento en el distrito, a su vez, se consolido un directorio de los coordinadores de los programas con el propósito de enviar invitaciones a participar de las distintas etapas del estudio, bien sea desde la entrevista o focos grupo.
Posteriormente, se realizó reunión con el experto sectorial Carlos Herrera, quien compartió al equipo del Clúster de Mantenimiento Competitivo y Desarrollo Económico, las tendencias y prospectiva del sector, además, se da paso al diligenciamiento de una de las matrices que documentan el estudio de brechas. Con este avance, se espera la organización del foco grupo con empresas del sector de mantenimiento de la ciudad de Cartagena</t>
  </si>
  <si>
    <t>Para la actual vigencia se sigue implementando y dando sostenibilidad a la instancia mediante la ejecución de acciones de manera conjunta con los diferentes actores que hacen parte de la mesa de Capital Humano del CUEE. En el presente periodo, se gestionó alianza con la empresa Esenttia para la participación en la estrategia “Conoce el Sector Productivo de tu Ciudad”, en este espacio se busca fomentar un acercamiento entre los estudiantes de undécimo grado de las instituciones educativas oficiales del Distrito y los distintos sectores económicos de nuestra ciudad</t>
  </si>
  <si>
    <t>Se realizó el proceso de contratación directa para la vinculación del personal necesario para apoyo a la gestión y ejecución de actividades enmarcadas en el presente programa y proyecto de inversión para la vigencia 2023. Teniendo en cuenta la fecha de corte a la que se presenta este informe se proyecta en la ejecución del mes de diciembre el valor total según compromisos contractuales de esta secretaría en el Marco de esta actividad.</t>
  </si>
  <si>
    <t>Se realizó el proceso de contratación directa para la vinculación del personal necesario para la coordinación y ejecución de actividades enmarcadas en el presente programa y proyecto de inversión para la vigencia 2023. Teniendo en cuenta la fecha de corte a la que se presenta este informe se proyecta en la ejecución del mes de diciembre el valor total según compromisos contractuales de esta secretaría en el Marco de esta actividad.</t>
  </si>
  <si>
    <t>0.05</t>
  </si>
  <si>
    <t xml:space="preserve">Durante este trimestre se realizó el encuentro de innovación Anual de Cartagena, teniendo en cuenta las elecciones territoriales, el encuentro se realizó los días 17 y 18 de octubre de 2023. Fue una jornada académica donde participaron 300 personas que hacen parte del ecosistema de innovación. Durante este trimestre se dió cumplimiento del 100% de esta meta. </t>
  </si>
  <si>
    <t>En esta actividad se solicitó a comunicaciones la propuesta de una estrategia de promoción para fortalecer la campaña "Cartagena aquí lo tienes todo"</t>
  </si>
  <si>
    <t>Para la sostenibilidad del Sistema de Información para el inversionista se realizó actualización de contenido; documento técnico del desarrollo técnologico implementado y sus ajustes a la fecha.</t>
  </si>
  <si>
    <t>Para la sostenibilidad del Ventanilla Unica Empresarial se ha orientado la actualización, masificación y posicionamiento de la plataforma como un portal de información de interés para inversionistas locales, nacionales o extranjeros.</t>
  </si>
  <si>
    <t>Para la sostenibilidad del Ventanilla Unica Empresarial se ha orientado al seguimiento del desarrollo tecnológico para la automatización de los reportes de las matriculas y balance de los registros a la fecha</t>
  </si>
  <si>
    <t>En articulación con la Secretaria de Planeación y la Oficina de Trámites del Distrito se realizó el lanzamiento de la virtualziación del proceso uso de suelo que era un compromiso establecido en el comité interno de la VUE y que permite facilitar el clima de negocio en la ciudad.</t>
  </si>
  <si>
    <t>Desde la coordinación del programa se han liderado cada una de las acciones orientadas a la sostenibilidad de las metas del programa y al posicionamiento de la Ciudad.</t>
  </si>
  <si>
    <t>Se realizó el proceso de contratación directa para la vinculación del personal necesario para la coordinación y ejecución de actividades enmarcadas en el presente programa y proyecto de inversión para la vigencia 2023. Desde la coordinación del programa se ha liderado cada una de las acciones orientadas a la sostenibilidad de las metas del programa y al posicionamiento de la Ciudad.
Teniendo en cuenta la fecha de corte a la que se presenta este informe se proyecta en la ejecución del mes de diciembre el valor total según compromisos contractuales de esta secretaría en el Marco de esta actividad.</t>
  </si>
  <si>
    <t>Para este ultimo trimestre del 2023, se desarrollo la ejecucion del convenio No 062 de 2023, llevando a cabo las actividades propias del desarrollo de la estrategia Modelo Alternativo de Economia Comunitaria MAE-COMUN en sus fases, componetes y actividades propias de la estrategia.
A corte de fecha de la realización de este informe no se tramitó el tercer y último desembolso correspondiente al convenio No. 062 DE 2023, por el cual quedara radicada en la fecha que tesorería manifiesta para que quede en cuenta por pagar para el año 2024. 
Se deja expresado en la ejecución del mes de diciembre el valor que está Administración deberá pagar en el Marco del compromiso adquirido según convenio No. 062 de 2023</t>
  </si>
  <si>
    <t>Este documento lo evidencia los infores de gestion respaldado con encuestas y entrevisas realizadas a los beneficiarios</t>
  </si>
  <si>
    <t>El alcance de esta actividad de aproxima de forma indirecta a la gestion realizada por los grupos de valor y los involucrados en el territorio al determinar consensos que le sean funcionales a las unidades productivas para generacion de ingresos.</t>
  </si>
  <si>
    <t>Para este ultimo trimestre del 2023, se desarrollo la ejecucion del convenio No 062 de 2023, llevando a cabo las actividades propias del desarrollo de la estrategia Modelo Alternativo de Economia Comunitaria MAE-COMUN en sus fases, componetes y actividades propias de la estrategia. Teniendo en cuenta la fecha de corte a la que se presenta este informe se proyecta en la ejecución del mes de diciembre el valor total según compromisos contractuales de esta secretaría en el Marco de esta actividad.
Teniendo en cuenta la fecha de corte a la que se presenta este informe se proyecta en la ejecución del mes de diciembre el valor total según compromisos contractuales de esta secretaría en el Marco de esta actividad.</t>
  </si>
  <si>
    <t>Cumplida</t>
  </si>
  <si>
    <t>Se avanzo en la realizacion de los formatos para recolleccion de la informacion.</t>
  </si>
  <si>
    <t xml:space="preserve">Para el periodo de referencia,  300 unidades productivas de la estrategia H2O  fueron fortalecidas en tecnologías a través de un proceso de diplomado y la entrega de una herramienta tecnológica. 
De esta manera la meta se reporta para el cuatrienio con un cumplimiento global de 85%
 </t>
  </si>
  <si>
    <t>NO APARECE EN SPI. 
En el cuarto  trimestre del año en articulacion con el programa Cartagena Destino de inversión, se realizo la  Macrorueda "Cartagena Conecta-TE: Aqui lo tienes todo".   en el marco de la estrategia de atraccion d einversiones,  Cartagena aqui lo tienes todo. En el espacio confluyeron diversos actores del ecosistema porductivo de la ciudad entre estos: Empresarios, gremios, instituciones, emprendedores e inversionistas.</t>
  </si>
  <si>
    <t>Para el cuarto trimestre del año, se continua potencializando y posicionando la plataforma Clúster Cartagena 2.0, a través de; El seguimiento en temas de funcionalidad; Gestión de contenido; Monitoreo de estadísticas y generación de espacios de socialización de esta herramienta a empresarios, gremios, inversionistas y actores del ecosistema productivo de la ciudad para visibilizar los beneficios de esta herramienta informática. Actualmente la plataforma cuenta con 166 empresas registradas, en promedio mensualmente se registran alrededor de 3451 eventos nuevos que incluyen una amplia gama de acciones, como clics en enlaces, descargas y otras interacciones con el sitio, el tiempo de Interacción promedio en la plataforma es de dos (2) minutos y veintinueve (29) segundos, lo que sugiere que los usuarios dedicaron un tiempo sustancial a interactuar con el contenido y las funcionalidades de "Clúster 2.0".</t>
  </si>
  <si>
    <t xml:space="preserve">Para el cuarto trimestre del año se dio cumplimiento a la cuarto estrategia de proveedores diseñada " Financiacion de proyectos con potencial para generar encadenamientos". El Programa Cartagena Facilita el Emprendimiento, a través de su incubadora de empresas de base tecnológica “INCUBATECH” vinculo 41 empresas,de las cuales se financióron 10 proyectos presentados por estas. En articulación con el programa, para seleccionar los 10 proyectos a financiar se priorizo aquellos proyectos con potencial para generar encadenamientos.
Para este trimestre  con la realizacion de la Macrorrueda Caratgena Conecta-TE: Aqui lo tienes todo, se dio sostenibilidad a las tres estrategias ejecutadas. En el espacio se realizaron alrededor de 143 citas de negocios entre empresas de diferentes sectores. Adicional en el evento, paralelo a la macrorrue de negocios se desarrolló una agenda académica de valor en temas como;  La formalización laboral, el reconocimiento de los incentivos tributarios y la creación de nuevos empleos, el avance en la política de racionalización de tramites del Distrito, La socialización del portal tributario, Contratación publica, la utilidad de SECOP II, los fondos de inversiones, la innovación en las empresas, Networking y la importancia del relacionamiento.  </t>
  </si>
  <si>
    <t xml:space="preserve">Se continúan desarrollando acciones de relacionamiento, a través de profesional especializado en procesos experenciales. En el cuarto  trimestre en el marco de la Macrorueda de negocios Cartagena Conecta-TE; "Aqui lo tienes todo"  se realizo  Charla sobre Netwoking y la importancia del relacionamiento.  </t>
  </si>
  <si>
    <t xml:space="preserve">NO APARECE EN SPI.                                                                                                                                                                     
Para el cuarto trimestre  en articulación con el programa Cartagena facilita el emprendimiento, Cartagena Ciudad innovadora y su aliado  estrategico la Universidad Tecnológica de Bolívar,  se realizo convocatoria para vinculaicon de empresas a la  incubadora de empresas de base tecnológica “INCUBATECH”. A diez de estas empresas se les realizo finanaciacion de sus poryectos.  </t>
  </si>
  <si>
    <t xml:space="preserve">NO APARECE EN SPI.      </t>
  </si>
  <si>
    <t>Esta actividad se viene desarrollando en el marco de las obligaciones del coordinar del programa.</t>
  </si>
  <si>
    <t>Para el cuarto trimestre de esta vigencia 2023 con el objetivo de consolidar y fortalecer la Red, se continúa implementando la estrategia de vinculación diseñada. Para el tercer trimestre se vincularon 20 empresas, teniendo un total de 347 empresas vinculadas a la Red de proveeduría y Fortalecimiento Empresarial de Cartagena.  Cabe mencionar que todas las acciones realizadas en el marco de las estrategias de proveedores locales diseñadas, priorizan a las empresas vinculadas a esta Red de Proveeduría y Fortalecimiento Empresarial de Cartagena y constituyen una forma de visibilizar al tejido empresarial los beneficios de pertenecer a esta Red, para seguir generando mayor vinculación de empresas.  Para mayor detalle, remitirse al informe de gestión anexo a esta matriz</t>
  </si>
  <si>
    <t>En cuanto a la ejecución presupuestal, se pone el proyectado a cierre de diciembre de 2023 según compromiso contractual.</t>
  </si>
  <si>
    <t>A corte de fecha de la realización de este informe no se tramitó la cuarta cuenta correspondiente al convenio 021 de 2023  y aunque la cuarta cuenta de este convenio se encuentra radicada quedará en cuenta por pagar para el año 2024. Se deja expresado en la ejecución del mes de diciembre el valor que está Administración deberá pagar en el Marco del compromiso adquirido según convenio 021 de 2023</t>
  </si>
  <si>
    <t>Se realizó el diseño metodológico y conceptual de la incubadora de empresas dejando todo un apartado de servicios para la incursión de las empresas de base tecnológica y el establecimiento de una cultura de emprendimiento e innovación en el Distrito E.
Si bien a corte de fecha de la realización de este informe no se han tramitado las cuentas  3 y 4 en el marco del Convenio 021 de 2023, se deja expresado en la ejecución del mes de diciembre el valor que esta Administración deberá pagar en el marco del compromiso adquirido bajo la figura de cuentas por pagar para el año 2024.</t>
  </si>
  <si>
    <t>A través de la Ruta de Incubación de Incubatech CTG, la incubadora de empresas de base tecnológica de Cartagena, fue posible el acompañamiento a 46 empresas de base tecnológica. 
Si bien a corte de fecha de la realización de este informe no se han tramitado las cuentas  3 y 4 en el marco del Convenio 021 de 2023, se deja expresado en la ejecución del mes de diciembre el valor que esta Administración deberá pagar en el marco del compromiso adquirido bajo la figura de cuentas por pagar para el año 2024.</t>
  </si>
  <si>
    <t>Por su parte, a través del componente de Incubajoven de la Incubadora de Empresas de Base tecnológica, Incubatech CTG  fue posible atender a 300 jóvenes a través de un diplomado en gestión empresarial en la era digital.
Si bien a corte de fecha de la realización de este informe no se han tramitado las cuentas  3 y 4 en el marco del Convenio 021 de 2023, se deja expresado en la ejecución del mes de diciembre el valor que esta Administración deberá pagar en el marco del compromiso adquirido bajo la figura de cuentas por pagar para el año 2024.</t>
  </si>
  <si>
    <t xml:space="preserve">Se ejecutó el contratro de prestación de servicios para la coordinación y ejecución de actividades enmarcadas en el presente programa y proyecto de inversión para la vigencia 2023. En la ejecución presupuestal se proyecta el cierre de 2023 en el mes de diciembre. </t>
  </si>
  <si>
    <t>Se había  realizado una medición preliminar que mostraba un nivel de aumento en la productividad laboral de las empresas de 15%, empero, al realizar nuevamente la medición este bajó a 3.8%. La justificación tecnica de esto es:
1.  Sesgo de respuesta del encuestado:
•	Cambios en la muestra: La diferencia en la cantidad de empresas que participaron en la medición preliminar (30 empresas) y la medición final (60 empresas) podría haber introducido un sesgo. Es posible que las nuevas empresas que se incorporaron tengan características diferentes a las originales, afectando así la comparabilidad de los datos.
•	Información financiera errónea: Las empresas pueden haber proporcionado información incorrecta o incompleta en sus informes financieros, ya sea de manera intencional o por falta de comprensión. Esto puede afectar la precisión de los indicadores de productividad.
2.  Efecto de servicios prestados:
•	Desalineación de objetivos: A pesar de los servicios prestados, las empresas pueden no haber implementado eficazmente las recomendaciones o adoptado las prácticas sugeridas. Podría haber una brecha entre la asistencia proporcionada y la aplicación efectiva de las soluciones propuestas.
•	Necesidades no satisfechas: Los esfuerzos realizados, como ferias de bancarización y jornadas de capacitación, pueden no haber abordado las necesidades específicas de las empresas, lo que podría requerir una intervención más personalizada.
 3.⁠ ⁠Necesidad de intervención directa:
•	servicios empresariales: La disminución en la medición de la productividad a pesar de los servicios empresariales prestados sugiere que las estrategias actuales pueden no ser suficientes. Es posible que se necesite una intervención más directa para abordar los problemas subyacentes.
•	Análisis detallado de las empresas: Realizar un análisis más detallado de cada empresa individualmente puede ayudar a identificar problemas específicos que no se abordaron con las estrategias anteriores. Esto podría implicar consultas más directas con las empresas y un enfoque más personalizado.</t>
  </si>
  <si>
    <t xml:space="preserve">Para el periodo de referencia,  300 unidades productivas de la estrategia H2O  fueron fortalecidas en tecnologías a través de un proceso de diplomado y la entrega de una herramienta tecnológica. 
Para la ejecución del proceso de fortalecimiento, se gestionó recursos del programa Cartagena Facilita el emprendimiento, teniendo en cuenta que la incubadora de empresas de base tecnológica fue una meta cumplida en el marco d este programa. 
Tal como se ha manifestado en reportes anteriores, la ejecución de este programa no se ha realizado teniendo en cuenta que el proceso contractual no fue adjudicado las 3 veces que fue aperturado.
 </t>
  </si>
  <si>
    <t>En el cuarto trimestre del año a traves del acuerdo 131 del 20 de Octubre de 2023 por medio del cual se realizan traslados entre unidades ejecutoras en el presupuesto el concejo distrital de Cartagena acordo trasnlado presupuestal en el cual se incluyeron 2,182,339,023, se espera actualizar las actividades sobre las cuales se destinarían estos recursos.</t>
  </si>
  <si>
    <t>Durante este semestre no se realizó  ninguna actividad teniendo en cuenta que ya estaba cumplida la meta.
A corte de fecha de la realización de este informe no se tramitó la tercera cuenta correspondiente al convenio 021 de 2023  y aunque la cuarta cuenta de este convenio se encuentra radicada quedará en cuenta por pagar para el año 2024. Se deja expresado en la ejecución del mes de diciembre el valor que está Administración deberá pagar en el Marco del compromiso adquirido según convenio 021 de 2023</t>
  </si>
  <si>
    <t xml:space="preserve">Durante el mes de octubre se realizó  el taller de innovación en el marco del encuentro anual de innovación.Para el pago de esta actividad  se tramitó la tercera cuenta correspondiente al convenio 021 de 2023   deberá pagar en el Marco del compromiso adquirido según convenio 021 de 2023 </t>
  </si>
  <si>
    <t xml:space="preserve">En el mes de octubre se realizó el cierre del encuentro de innovación con la participación de 300 personas en el centro de convenciones de Cartagena de Indias.  </t>
  </si>
  <si>
    <t xml:space="preserve">En el marco del concurso de incentivo a la innovación Innovamaster 2023, se realizó proceso de incripción de iniciativa de innovación durante el mes de octubre. En total se recibieron 41 inicitaivas, las cuales fueron sometidas a un proceso de evaluación, finalmente fueron seleeccionadas las 12 mejores para premiar con becas de maestría a las 6 más innovadoras de todo el proceso.  </t>
  </si>
  <si>
    <t xml:space="preserve">Con 10 jurados expertos se realizó un primer filtro para seleccionar las 10 mejores iniciativas innovadoras en las categorías educación y emprendedores del concurso de incentivo a la innovación innovamaster 2023.  </t>
  </si>
  <si>
    <t>Durante el mes de octubre, en el marco del concurso de incentivo a la  innovación InnovaMaster, se realizó la entrega de seis becas para cursar la maestría en Gestión de la Innovación.</t>
  </si>
  <si>
    <t xml:space="preserve">Esta actividad no fue priorizada para su cumplimiento. </t>
  </si>
  <si>
    <t xml:space="preserve">Esta meta se cumplió en el año 2021, no obstante durante el trimestre se realizaron actividades de sostenibilidad a este sistema de innovación de Cartagena. </t>
  </si>
  <si>
    <t>pendiente por periodo de reporte</t>
  </si>
  <si>
    <t>!!!</t>
  </si>
  <si>
    <t>ACUMULADO METAS PRODUCTOS A A DICIEMBRE 31 DE 2023</t>
  </si>
  <si>
    <t>AVANCE METAS PRODUCTOS A DICIEMBRE 31 DE 2023</t>
  </si>
  <si>
    <t>AVANCE METAS PRODUCTOS AL CUATRIENIO 2020 2023</t>
  </si>
  <si>
    <t>EVALUACION DE ACTIVIDADES DEL PROYECTO A DICIEMBRE 31 DE 2023</t>
  </si>
  <si>
    <t>CODIGO</t>
  </si>
  <si>
    <t>RUBRO</t>
  </si>
  <si>
    <t>APROPIACION DEFINITIVA A DICIEMBRE 31 DE 2023</t>
  </si>
  <si>
    <t>EJECUTADO A DICIEMBRE 31 DE 2023 (GIROS)</t>
  </si>
  <si>
    <t>PORCENTAJE EJECUTADO</t>
  </si>
  <si>
    <t>AVANCE EN LAS ACTIVIDADES DE LOS PROYECTOS A DICIEMBRE 31 DE 2023</t>
  </si>
  <si>
    <t xml:space="preserve">2021130010280 IMPLEMENTACION DE ESTRATEGIAS DE INCLUSION PRODUCTIVAS EN POBLACION JOVEN DEL DISTRITO DE CARTAGENA </t>
  </si>
  <si>
    <t>AVANCE DEL PROGRAMA</t>
  </si>
  <si>
    <t>AVANCE DEL PROYECTO</t>
  </si>
  <si>
    <t>EJECUCCION PRESUPUESTAL</t>
  </si>
  <si>
    <t>AVANCE DEL PROGTRAMA</t>
  </si>
  <si>
    <t xml:space="preserve">AVANCE DEL PROGRAMA EMPLEO INCLUSIVO PARA LOS JÓVENES </t>
  </si>
  <si>
    <t>AVANCE DEL PROGRAMA ENCADENAMIENTOS PORDUCTIVOS</t>
  </si>
  <si>
    <t>AVANCE DEL PROGRAMA ZONAS DE AGLOMERACIONES PRODUCTIVAS</t>
  </si>
  <si>
    <t>AVANCE DEL PROGRAMA CARTAGENA FACILITA EL EMPRENDIMIENTO</t>
  </si>
  <si>
    <t xml:space="preserve">AVANCE DEL PROGRAMA CIERRE DE BRECHAS DE EMPLEABILIDAD </t>
  </si>
  <si>
    <t>AVANCE DEL PROGRAMA CIERRE DE BRECHAS DE CAPITAL HUMANO</t>
  </si>
  <si>
    <t>AVANCE DEL PROGRAMA CARTAGENA CIUDAD INNOVADORA</t>
  </si>
  <si>
    <t>AVANCE DEL PROGRAMA CARTAGENA DESTINO DE INVERSIÓN</t>
  </si>
  <si>
    <t>AVANCE PROGRAMA Fortalecimiento e Inclusión Productiva para Población Negra, Afrocolombiana, Raizal y Palenquera en el Distrito de Cartagena.</t>
  </si>
  <si>
    <t>AVANCE DEL PROGRAMA Fortalecimiento de la Población Indígena en el Distrito de Cartagena.</t>
  </si>
  <si>
    <t>EJECUCION PRESUPUESTAL A DICIEMBRE 2023</t>
  </si>
  <si>
    <t>AVANCE PLAN DE ACCION A 31 DE DICIEMBRE 2023</t>
  </si>
  <si>
    <t>AVANCE META PRODUCTO</t>
  </si>
  <si>
    <t>AVANCE CUATRENIO</t>
  </si>
  <si>
    <t>AVANCE PLAN DE DESARROLLO A 31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</si>
</sst>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Red]0"/>
    <numFmt numFmtId="165" formatCode="d/m/yyyy"/>
    <numFmt numFmtId="166" formatCode="&quot;$&quot;\ #,##0.00"/>
    <numFmt numFmtId="167" formatCode="_-&quot;$&quot;\ * #,##0_-;\-&quot;$&quot;\ * #,##0_-;_-&quot;$&quot;\ * &quot;-&quot;_-;_-@"/>
    <numFmt numFmtId="168" formatCode="_-* #,##0_-;\-* #,##0_-;_-* &quot;-&quot;??_-;_-@"/>
    <numFmt numFmtId="169" formatCode="&quot;$&quot;\ #,##0"/>
    <numFmt numFmtId="170" formatCode="_-&quot;$&quot;\ * #,##0_-;\-&quot;$&quot;\ * #,##0_-;_-&quot;$&quot;\ * &quot;-&quot;??_-;_-@_-"/>
    <numFmt numFmtId="171" formatCode="\$\ #,##0.00"/>
  </numFmts>
  <fonts count="72" x14ac:knownFonts="1">
    <font>
      <sz val="11"/>
      <color theme="1"/>
      <name val="Calibri"/>
      <family val="2"/>
      <scheme val="minor"/>
    </font>
    <font>
      <sz val="11"/>
      <color theme="1"/>
      <name val="Calibri"/>
      <family val="2"/>
      <scheme val="minor"/>
    </font>
    <font>
      <sz val="11"/>
      <color theme="1"/>
      <name val="Arial"/>
      <family val="2"/>
    </font>
    <font>
      <b/>
      <sz val="20"/>
      <color theme="1"/>
      <name val="Arial"/>
      <family val="2"/>
    </font>
    <font>
      <sz val="10"/>
      <name val="Arial"/>
      <family val="2"/>
    </font>
    <font>
      <b/>
      <sz val="12"/>
      <color theme="1"/>
      <name val="Arial"/>
      <family val="2"/>
    </font>
    <font>
      <b/>
      <sz val="20"/>
      <color rgb="FFFF0000"/>
      <name val="Arial"/>
      <family val="2"/>
    </font>
    <font>
      <b/>
      <i/>
      <u/>
      <sz val="20"/>
      <color rgb="FFFF0000"/>
      <name val="Arial"/>
      <family val="2"/>
    </font>
    <font>
      <b/>
      <u/>
      <sz val="20"/>
      <color rgb="FFFF0000"/>
      <name val="Arial"/>
      <family val="2"/>
    </font>
    <font>
      <b/>
      <sz val="16"/>
      <color theme="1"/>
      <name val="Arial"/>
      <family val="2"/>
    </font>
    <font>
      <b/>
      <sz val="11"/>
      <color theme="1"/>
      <name val="Arial"/>
      <family val="2"/>
    </font>
    <font>
      <b/>
      <sz val="15"/>
      <color theme="1"/>
      <name val="Arial"/>
      <family val="2"/>
    </font>
    <font>
      <b/>
      <sz val="12"/>
      <color theme="1" tint="4.9989318521683403E-2"/>
      <name val="Arial"/>
      <family val="2"/>
    </font>
    <font>
      <b/>
      <sz val="11"/>
      <name val="Arial"/>
      <family val="2"/>
    </font>
    <font>
      <sz val="12"/>
      <color theme="1"/>
      <name val="Arial"/>
      <family val="2"/>
    </font>
    <font>
      <sz val="14"/>
      <color theme="1"/>
      <name val="Arial"/>
      <family val="2"/>
    </font>
    <font>
      <sz val="14"/>
      <color rgb="FF0C0C0C"/>
      <name val="Arial"/>
      <family val="2"/>
    </font>
    <font>
      <sz val="12"/>
      <color rgb="FF0C0C0C"/>
      <name val="Arial"/>
      <family val="2"/>
    </font>
    <font>
      <sz val="11"/>
      <color rgb="FF0C0C0C"/>
      <name val="Arial"/>
      <family val="2"/>
    </font>
    <font>
      <sz val="11"/>
      <name val="Arial"/>
      <family val="2"/>
    </font>
    <font>
      <sz val="12"/>
      <name val="Arial"/>
      <family val="2"/>
    </font>
    <font>
      <sz val="14"/>
      <name val="Arial"/>
      <family val="2"/>
    </font>
    <font>
      <sz val="11"/>
      <color rgb="FFFF0000"/>
      <name val="Arial"/>
      <family val="2"/>
    </font>
    <font>
      <sz val="11"/>
      <color rgb="FF000000"/>
      <name val="Arial"/>
      <family val="2"/>
    </font>
    <font>
      <sz val="10"/>
      <color theme="1"/>
      <name val="Arial"/>
      <family val="2"/>
    </font>
    <font>
      <sz val="10"/>
      <color rgb="FF000000"/>
      <name val="Arial"/>
      <family val="2"/>
    </font>
    <font>
      <sz val="10"/>
      <color rgb="FFFF0000"/>
      <name val="Arial"/>
      <family val="2"/>
    </font>
    <font>
      <sz val="11"/>
      <color theme="1"/>
      <name val="Calibri"/>
      <family val="2"/>
    </font>
    <font>
      <sz val="11"/>
      <name val="Calibri"/>
      <family val="2"/>
    </font>
    <font>
      <sz val="11"/>
      <name val="Calibri"/>
      <family val="2"/>
      <scheme val="minor"/>
    </font>
    <font>
      <sz val="11"/>
      <color rgb="FF00B050"/>
      <name val="Calibri"/>
      <family val="2"/>
    </font>
    <font>
      <sz val="11"/>
      <color rgb="FF00B050"/>
      <name val="Arial"/>
      <family val="2"/>
    </font>
    <font>
      <sz val="11"/>
      <color rgb="FFFF0000"/>
      <name val="Calibri"/>
      <family val="2"/>
    </font>
    <font>
      <sz val="11"/>
      <color theme="1" tint="4.9989318521683403E-2"/>
      <name val="Arial"/>
      <family val="2"/>
    </font>
    <font>
      <sz val="12"/>
      <color theme="1" tint="4.9989318521683403E-2"/>
      <name val="Arial"/>
      <family val="2"/>
    </font>
    <font>
      <b/>
      <sz val="9"/>
      <color indexed="81"/>
      <name val="Tahoma"/>
      <family val="2"/>
    </font>
    <font>
      <sz val="9"/>
      <color indexed="81"/>
      <name val="Tahoma"/>
      <family val="2"/>
    </font>
    <font>
      <b/>
      <sz val="11"/>
      <color rgb="FFFF0000"/>
      <name val="Arial"/>
      <family val="2"/>
    </font>
    <font>
      <b/>
      <sz val="10"/>
      <color rgb="FF000000"/>
      <name val="Tahoma"/>
      <family val="2"/>
    </font>
    <font>
      <sz val="10"/>
      <color rgb="FF000000"/>
      <name val="Tahoma"/>
      <family val="2"/>
    </font>
    <font>
      <sz val="12"/>
      <color indexed="81"/>
      <name val="Tahoma"/>
      <family val="2"/>
    </font>
    <font>
      <b/>
      <sz val="18"/>
      <color rgb="FFFF0000"/>
      <name val="Arial"/>
      <family val="2"/>
    </font>
    <font>
      <u/>
      <sz val="11"/>
      <color theme="1"/>
      <name val="Arial"/>
      <family val="2"/>
    </font>
    <font>
      <b/>
      <sz val="11"/>
      <color theme="1"/>
      <name val="Calibri"/>
      <family val="2"/>
      <scheme val="minor"/>
    </font>
    <font>
      <sz val="14"/>
      <name val="Calibri"/>
      <family val="2"/>
      <scheme val="minor"/>
    </font>
    <font>
      <b/>
      <sz val="11"/>
      <color theme="8" tint="-0.499984740745262"/>
      <name val="Arial"/>
      <family val="2"/>
    </font>
    <font>
      <sz val="11"/>
      <color rgb="FF00B050"/>
      <name val="Calibri"/>
      <family val="2"/>
      <scheme val="minor"/>
    </font>
    <font>
      <sz val="14"/>
      <color rgb="FF00B050"/>
      <name val="Arial"/>
      <family val="2"/>
    </font>
    <font>
      <sz val="12"/>
      <color rgb="FF00B050"/>
      <name val="Arial"/>
      <family val="2"/>
    </font>
    <font>
      <sz val="11"/>
      <name val="Dialog"/>
    </font>
    <font>
      <sz val="11"/>
      <name val="Symbol"/>
      <family val="1"/>
      <charset val="2"/>
    </font>
    <font>
      <b/>
      <sz val="20"/>
      <color indexed="81"/>
      <name val="Tahoma"/>
      <family val="2"/>
    </font>
    <font>
      <sz val="20"/>
      <color indexed="81"/>
      <name val="Tahoma"/>
      <family val="2"/>
    </font>
    <font>
      <b/>
      <sz val="12"/>
      <color rgb="FFFF0000"/>
      <name val="Arial"/>
      <family val="2"/>
    </font>
    <font>
      <b/>
      <sz val="18"/>
      <name val="Arial"/>
      <family val="2"/>
    </font>
    <font>
      <b/>
      <sz val="11"/>
      <color theme="1"/>
      <name val="Calibri"/>
      <family val="2"/>
    </font>
    <font>
      <b/>
      <sz val="11"/>
      <color rgb="FF00B050"/>
      <name val="Arial"/>
      <family val="2"/>
    </font>
    <font>
      <u/>
      <sz val="11"/>
      <name val="Arial"/>
      <family val="2"/>
    </font>
    <font>
      <b/>
      <sz val="11"/>
      <name val="Calibri"/>
      <family val="2"/>
    </font>
    <font>
      <b/>
      <sz val="10"/>
      <color theme="1"/>
      <name val="Verdana"/>
      <family val="2"/>
    </font>
    <font>
      <sz val="10"/>
      <color theme="1"/>
      <name val="Verdana"/>
      <family val="2"/>
    </font>
    <font>
      <b/>
      <sz val="11"/>
      <color theme="1" tint="4.9989318521683403E-2"/>
      <name val="Arial"/>
      <family val="2"/>
    </font>
    <font>
      <b/>
      <sz val="14"/>
      <name val="Arial"/>
      <family val="2"/>
    </font>
    <font>
      <sz val="16"/>
      <name val="Arial"/>
      <family val="2"/>
    </font>
    <font>
      <b/>
      <sz val="16"/>
      <name val="Arial"/>
      <family val="2"/>
    </font>
    <font>
      <b/>
      <sz val="14"/>
      <color theme="1"/>
      <name val="Arial"/>
      <family val="2"/>
    </font>
    <font>
      <b/>
      <sz val="14"/>
      <color rgb="FF000000"/>
      <name val="Arial"/>
      <family val="2"/>
    </font>
    <font>
      <b/>
      <sz val="12"/>
      <name val="Arial"/>
      <family val="2"/>
    </font>
    <font>
      <b/>
      <sz val="14"/>
      <color theme="1"/>
      <name val="Calibri"/>
      <family val="2"/>
    </font>
    <font>
      <b/>
      <sz val="10"/>
      <color theme="1"/>
      <name val="Calibri"/>
      <family val="2"/>
    </font>
    <font>
      <b/>
      <sz val="12"/>
      <color theme="1"/>
      <name val="Calibri"/>
      <family val="2"/>
    </font>
    <font>
      <b/>
      <sz val="1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hair">
        <color auto="1"/>
      </left>
      <right style="hair">
        <color auto="1"/>
      </right>
      <top style="hair">
        <color auto="1"/>
      </top>
      <bottom style="medium">
        <color auto="1"/>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6">
    <xf numFmtId="0" fontId="0" fillId="0" borderId="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9" fillId="10" borderId="0" applyNumberFormat="0" applyBorder="0" applyProtection="0">
      <alignment horizontal="center" vertical="center"/>
    </xf>
    <xf numFmtId="49" fontId="60" fillId="0" borderId="0" applyFill="0" applyBorder="0" applyProtection="0">
      <alignment horizontal="left" vertical="center"/>
    </xf>
    <xf numFmtId="3" fontId="60"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21">
    <xf numFmtId="0" fontId="0" fillId="0" borderId="0" xfId="0"/>
    <xf numFmtId="0" fontId="2" fillId="0" borderId="0" xfId="0" applyFont="1" applyAlignment="1">
      <alignment horizontal="center" vertical="center" wrapText="1"/>
    </xf>
    <xf numFmtId="0" fontId="5" fillId="0" borderId="1" xfId="5" applyFont="1" applyBorder="1" applyAlignment="1">
      <alignment horizontal="center" vertical="center" wrapText="1"/>
    </xf>
    <xf numFmtId="44"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7" borderId="0" xfId="0" applyFont="1" applyFill="1" applyAlignment="1">
      <alignment horizontal="center" vertical="center" wrapText="1"/>
    </xf>
    <xf numFmtId="0" fontId="19" fillId="0" borderId="5"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1" xfId="5" applyFont="1" applyBorder="1" applyAlignment="1">
      <alignment horizontal="center" vertical="center" wrapText="1"/>
    </xf>
    <xf numFmtId="0" fontId="2" fillId="0" borderId="4" xfId="0" applyFont="1" applyBorder="1" applyAlignment="1">
      <alignment horizontal="center" vertical="center"/>
    </xf>
    <xf numFmtId="0" fontId="2" fillId="0" borderId="2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5" applyFont="1" applyBorder="1" applyAlignment="1">
      <alignment horizontal="center" vertical="center"/>
    </xf>
    <xf numFmtId="0" fontId="2" fillId="0" borderId="1" xfId="5" applyFont="1" applyBorder="1" applyAlignment="1">
      <alignment horizontal="center" vertical="center"/>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19" fillId="0" borderId="1" xfId="5" applyFont="1" applyBorder="1" applyAlignment="1">
      <alignment horizontal="center" vertical="center" wrapText="1"/>
    </xf>
    <xf numFmtId="0" fontId="2" fillId="0" borderId="27" xfId="5" applyFont="1" applyBorder="1" applyAlignment="1">
      <alignment horizontal="center" vertical="center" wrapText="1"/>
    </xf>
    <xf numFmtId="0" fontId="2" fillId="0" borderId="25" xfId="5" applyFont="1" applyBorder="1" applyAlignment="1">
      <alignment horizontal="center" vertical="center" wrapText="1"/>
    </xf>
    <xf numFmtId="0" fontId="2" fillId="0" borderId="28" xfId="5" applyFont="1" applyBorder="1" applyAlignment="1">
      <alignment horizontal="center" vertical="center" wrapText="1"/>
    </xf>
    <xf numFmtId="0" fontId="24" fillId="0" borderId="1" xfId="0" applyFont="1" applyBorder="1" applyAlignment="1">
      <alignment horizontal="center" vertical="center" wrapText="1"/>
    </xf>
    <xf numFmtId="0" fontId="2" fillId="0" borderId="24" xfId="5" applyFont="1" applyBorder="1" applyAlignment="1">
      <alignment horizontal="center" vertical="center" wrapText="1"/>
    </xf>
    <xf numFmtId="0" fontId="2" fillId="0" borderId="11" xfId="0" applyFont="1" applyBorder="1" applyAlignment="1">
      <alignment vertical="center" wrapText="1"/>
    </xf>
    <xf numFmtId="0" fontId="2" fillId="0" borderId="1" xfId="7" applyFont="1" applyBorder="1" applyAlignment="1">
      <alignment horizontal="center" vertical="center" wrapText="1"/>
    </xf>
    <xf numFmtId="0" fontId="2" fillId="0" borderId="1" xfId="7" applyFont="1" applyBorder="1" applyAlignment="1">
      <alignment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0" fontId="27" fillId="0" borderId="1" xfId="0" applyFont="1" applyBorder="1" applyAlignment="1">
      <alignment horizontal="center" vertical="center" wrapText="1"/>
    </xf>
    <xf numFmtId="170" fontId="20" fillId="0" borderId="1" xfId="2" applyNumberFormat="1" applyFont="1" applyFill="1" applyBorder="1" applyAlignment="1">
      <alignment horizontal="center" vertical="center" wrapText="1"/>
    </xf>
    <xf numFmtId="44" fontId="27" fillId="0" borderId="1" xfId="2" applyFont="1" applyFill="1" applyBorder="1" applyAlignment="1">
      <alignment horizontal="center" vertical="center" wrapText="1"/>
    </xf>
    <xf numFmtId="0" fontId="0" fillId="0" borderId="1" xfId="8" applyFont="1" applyBorder="1" applyAlignment="1">
      <alignment horizontal="center" vertical="center" wrapText="1"/>
    </xf>
    <xf numFmtId="17" fontId="27" fillId="0" borderId="1" xfId="2" applyNumberFormat="1" applyFont="1" applyFill="1" applyBorder="1" applyAlignment="1">
      <alignment horizontal="center" vertical="center" wrapText="1"/>
    </xf>
    <xf numFmtId="0" fontId="0" fillId="0" borderId="0" xfId="0" applyAlignment="1">
      <alignment horizontal="center" vertical="center" wrapText="1"/>
    </xf>
    <xf numFmtId="9" fontId="0" fillId="0" borderId="1" xfId="10" applyFont="1" applyFill="1" applyBorder="1" applyAlignment="1">
      <alignment horizontal="center" vertical="center" wrapText="1"/>
    </xf>
    <xf numFmtId="166" fontId="19" fillId="0" borderId="1" xfId="0" applyNumberFormat="1" applyFont="1" applyBorder="1" applyAlignment="1">
      <alignment horizontal="center" vertical="center"/>
    </xf>
    <xf numFmtId="166" fontId="19" fillId="0" borderId="1" xfId="0" applyNumberFormat="1" applyFont="1" applyBorder="1" applyAlignment="1">
      <alignment vertical="center" wrapText="1"/>
    </xf>
    <xf numFmtId="14" fontId="27" fillId="0" borderId="1" xfId="2" applyNumberFormat="1" applyFont="1" applyFill="1" applyBorder="1" applyAlignment="1">
      <alignment horizontal="center" vertical="center" wrapText="1"/>
    </xf>
    <xf numFmtId="44" fontId="27" fillId="0" borderId="22" xfId="2" applyFont="1" applyFill="1" applyBorder="1" applyAlignment="1">
      <alignment horizontal="center" vertical="center" wrapText="1"/>
    </xf>
    <xf numFmtId="44" fontId="27" fillId="0" borderId="29" xfId="2" applyFont="1" applyFill="1" applyBorder="1" applyAlignment="1">
      <alignment horizontal="center" vertical="center" wrapText="1"/>
    </xf>
    <xf numFmtId="0" fontId="0" fillId="0" borderId="22" xfId="8" applyFont="1" applyBorder="1" applyAlignment="1">
      <alignment horizontal="center" vertical="center" wrapText="1"/>
    </xf>
    <xf numFmtId="17" fontId="27" fillId="0" borderId="29" xfId="2" applyNumberFormat="1" applyFont="1" applyFill="1" applyBorder="1" applyAlignment="1">
      <alignment horizontal="center" vertical="center" wrapText="1"/>
    </xf>
    <xf numFmtId="169" fontId="29" fillId="0" borderId="1" xfId="6" applyNumberFormat="1" applyFont="1" applyFill="1" applyBorder="1" applyAlignment="1">
      <alignment horizontal="center" vertical="center" wrapText="1"/>
    </xf>
    <xf numFmtId="14" fontId="19" fillId="0" borderId="1" xfId="0" applyNumberFormat="1" applyFont="1" applyBorder="1" applyAlignment="1">
      <alignment horizontal="center" vertical="center"/>
    </xf>
    <xf numFmtId="166" fontId="28" fillId="0" borderId="1" xfId="2" applyNumberFormat="1" applyFont="1" applyFill="1" applyBorder="1" applyAlignment="1">
      <alignment horizontal="center" vertical="center" wrapText="1"/>
    </xf>
    <xf numFmtId="44" fontId="27" fillId="0" borderId="5" xfId="2" applyFont="1" applyFill="1" applyBorder="1" applyAlignment="1">
      <alignment horizontal="center" vertical="center" wrapText="1"/>
    </xf>
    <xf numFmtId="0" fontId="29" fillId="0" borderId="1" xfId="6" applyNumberFormat="1" applyFont="1" applyFill="1" applyBorder="1" applyAlignment="1">
      <alignment horizontal="center" vertical="center" wrapText="1"/>
    </xf>
    <xf numFmtId="44" fontId="27" fillId="0" borderId="1" xfId="2" applyFont="1" applyFill="1" applyBorder="1" applyAlignment="1">
      <alignment horizontal="center" vertical="center"/>
    </xf>
    <xf numFmtId="0" fontId="27" fillId="0" borderId="1" xfId="2" applyNumberFormat="1" applyFont="1" applyFill="1" applyBorder="1" applyAlignment="1">
      <alignment horizontal="center" vertical="center" wrapText="1"/>
    </xf>
    <xf numFmtId="166" fontId="29" fillId="0" borderId="1" xfId="6" applyNumberFormat="1" applyFont="1" applyFill="1" applyBorder="1" applyAlignment="1">
      <alignment horizontal="center" vertical="center" wrapText="1"/>
    </xf>
    <xf numFmtId="166" fontId="27" fillId="0" borderId="1" xfId="2" applyNumberFormat="1" applyFont="1" applyFill="1" applyBorder="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vertical="center" wrapText="1"/>
    </xf>
    <xf numFmtId="1" fontId="2" fillId="0" borderId="0" xfId="0" applyNumberFormat="1" applyFont="1" applyAlignment="1">
      <alignment horizontal="center" vertical="center" wrapText="1"/>
    </xf>
    <xf numFmtId="0" fontId="34" fillId="0" borderId="0" xfId="0" applyFont="1" applyAlignment="1">
      <alignment horizontal="center" vertical="center" wrapText="1"/>
    </xf>
    <xf numFmtId="164" fontId="2" fillId="0" borderId="0" xfId="0" applyNumberFormat="1" applyFont="1" applyAlignment="1">
      <alignment horizontal="center" vertical="center" wrapText="1"/>
    </xf>
    <xf numFmtId="0" fontId="19" fillId="0" borderId="0" xfId="0" applyFont="1" applyAlignment="1">
      <alignment horizontal="center" vertical="center" wrapText="1"/>
    </xf>
    <xf numFmtId="42"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9"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1" fontId="21"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 fontId="15"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169" fontId="18" fillId="0" borderId="1" xfId="0" applyNumberFormat="1" applyFont="1" applyBorder="1" applyAlignment="1">
      <alignment horizontal="center" vertical="center" wrapText="1"/>
    </xf>
    <xf numFmtId="44" fontId="18" fillId="0" borderId="1" xfId="2" applyFont="1" applyBorder="1" applyAlignment="1">
      <alignment horizontal="center" vertical="center" wrapText="1"/>
    </xf>
    <xf numFmtId="0" fontId="19" fillId="0" borderId="1" xfId="7" applyFont="1" applyBorder="1" applyAlignment="1">
      <alignment horizontal="center" vertical="center" wrapText="1"/>
    </xf>
    <xf numFmtId="165"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9" fontId="19"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9"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14" fontId="2" fillId="0" borderId="1" xfId="7" applyNumberFormat="1" applyFont="1" applyBorder="1" applyAlignment="1">
      <alignment horizontal="center" vertical="center" wrapText="1"/>
    </xf>
    <xf numFmtId="166" fontId="19" fillId="0" borderId="1" xfId="0" applyNumberFormat="1" applyFont="1" applyBorder="1" applyAlignment="1">
      <alignment horizontal="center" vertical="center" wrapText="1"/>
    </xf>
    <xf numFmtId="14" fontId="19" fillId="0" borderId="1" xfId="7" applyNumberFormat="1" applyFont="1" applyBorder="1" applyAlignment="1">
      <alignment horizontal="center" vertical="center" wrapText="1"/>
    </xf>
    <xf numFmtId="0" fontId="19" fillId="0" borderId="1" xfId="8" applyFont="1" applyBorder="1" applyAlignment="1">
      <alignment horizontal="center" vertical="center" wrapText="1"/>
    </xf>
    <xf numFmtId="0" fontId="21" fillId="0" borderId="1" xfId="7" applyFont="1" applyBorder="1" applyAlignment="1">
      <alignment horizontal="center" vertical="center" wrapText="1"/>
    </xf>
    <xf numFmtId="1" fontId="19" fillId="0" borderId="1" xfId="7" applyNumberFormat="1" applyFont="1" applyBorder="1" applyAlignment="1">
      <alignment horizontal="center" vertical="center" wrapText="1"/>
    </xf>
    <xf numFmtId="9" fontId="2" fillId="0" borderId="1" xfId="9" applyFont="1" applyFill="1" applyBorder="1" applyAlignment="1">
      <alignment horizontal="center" vertical="center" wrapText="1"/>
    </xf>
    <xf numFmtId="0" fontId="28" fillId="0" borderId="1" xfId="0" applyFont="1" applyBorder="1" applyAlignment="1">
      <alignment horizontal="center" vertical="center" wrapText="1"/>
    </xf>
    <xf numFmtId="164" fontId="20" fillId="0" borderId="1" xfId="0" applyNumberFormat="1" applyFont="1" applyBorder="1" applyAlignment="1">
      <alignment horizontal="center" vertical="center" wrapText="1"/>
    </xf>
    <xf numFmtId="0" fontId="0" fillId="0" borderId="1" xfId="0" applyBorder="1" applyAlignment="1">
      <alignment vertical="center" wrapText="1"/>
    </xf>
    <xf numFmtId="14" fontId="1" fillId="0" borderId="1" xfId="8" applyNumberFormat="1" applyBorder="1" applyAlignment="1">
      <alignment horizontal="center" vertical="center" wrapText="1"/>
    </xf>
    <xf numFmtId="0" fontId="1" fillId="0" borderId="1" xfId="8" applyBorder="1" applyAlignment="1">
      <alignment horizontal="center" vertical="center" wrapText="1"/>
    </xf>
    <xf numFmtId="9" fontId="27" fillId="0" borderId="1" xfId="4" applyFont="1" applyFill="1" applyBorder="1" applyAlignment="1">
      <alignment horizontal="center" vertical="center" wrapText="1"/>
    </xf>
    <xf numFmtId="166" fontId="19" fillId="0" borderId="1" xfId="0" applyNumberFormat="1" applyFont="1" applyBorder="1" applyAlignment="1">
      <alignment vertical="center"/>
    </xf>
    <xf numFmtId="0" fontId="0" fillId="6" borderId="1" xfId="0" applyFill="1" applyBorder="1" applyAlignment="1">
      <alignment horizontal="center" vertical="center" wrapText="1"/>
    </xf>
    <xf numFmtId="9" fontId="27"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1" xfId="2"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66" fontId="2" fillId="0" borderId="1" xfId="6" applyNumberFormat="1" applyFont="1" applyFill="1" applyBorder="1" applyAlignment="1">
      <alignment horizontal="center" vertical="center"/>
    </xf>
    <xf numFmtId="166" fontId="2" fillId="0" borderId="1" xfId="6" applyNumberFormat="1" applyFont="1" applyFill="1" applyBorder="1" applyAlignment="1">
      <alignment horizontal="center" vertical="center" wrapText="1"/>
    </xf>
    <xf numFmtId="166" fontId="2" fillId="0" borderId="1" xfId="0" applyNumberFormat="1" applyFont="1" applyBorder="1" applyAlignment="1">
      <alignment horizontal="center" vertical="center"/>
    </xf>
    <xf numFmtId="9" fontId="2" fillId="0" borderId="1" xfId="5"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66" fontId="24" fillId="0" borderId="1" xfId="0" applyNumberFormat="1" applyFont="1" applyBorder="1" applyAlignment="1">
      <alignment horizontal="center" vertical="center" wrapText="1"/>
    </xf>
    <xf numFmtId="14" fontId="2" fillId="0" borderId="1" xfId="5" applyNumberFormat="1" applyFont="1" applyBorder="1" applyAlignment="1">
      <alignment horizontal="center" vertical="center" wrapText="1"/>
    </xf>
    <xf numFmtId="166" fontId="2" fillId="0" borderId="1" xfId="3" applyNumberFormat="1" applyFont="1" applyFill="1" applyBorder="1" applyAlignment="1">
      <alignment horizontal="center" vertical="center" wrapText="1"/>
    </xf>
    <xf numFmtId="0" fontId="19" fillId="0" borderId="1" xfId="0" applyFont="1" applyBorder="1" applyAlignment="1">
      <alignment vertical="center" wrapText="1"/>
    </xf>
    <xf numFmtId="0" fontId="27" fillId="0" borderId="1" xfId="0" applyFont="1" applyBorder="1" applyAlignment="1">
      <alignment vertical="center" wrapText="1"/>
    </xf>
    <xf numFmtId="166" fontId="28" fillId="0" borderId="1" xfId="2" applyNumberFormat="1" applyFont="1" applyFill="1" applyBorder="1" applyAlignment="1">
      <alignment vertical="center" wrapText="1"/>
    </xf>
    <xf numFmtId="166" fontId="41" fillId="5" borderId="0" xfId="0" applyNumberFormat="1" applyFont="1" applyFill="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7" borderId="1" xfId="0" applyFont="1" applyFill="1" applyBorder="1" applyAlignment="1">
      <alignment horizontal="left" vertical="center" wrapText="1"/>
    </xf>
    <xf numFmtId="166" fontId="2" fillId="0" borderId="1" xfId="0" applyNumberFormat="1" applyFont="1" applyBorder="1" applyAlignment="1">
      <alignment horizontal="left" vertical="center" wrapText="1"/>
    </xf>
    <xf numFmtId="169" fontId="44" fillId="0" borderId="1" xfId="6" applyNumberFormat="1" applyFont="1" applyFill="1" applyBorder="1" applyAlignment="1">
      <alignment horizontal="center" vertical="center" wrapText="1"/>
    </xf>
    <xf numFmtId="170" fontId="21" fillId="0" borderId="1" xfId="2" applyNumberFormat="1" applyFont="1" applyFill="1" applyBorder="1" applyAlignment="1">
      <alignment horizontal="center" vertical="center" wrapText="1"/>
    </xf>
    <xf numFmtId="169" fontId="16" fillId="0" borderId="1" xfId="0" applyNumberFormat="1" applyFont="1" applyBorder="1" applyAlignment="1">
      <alignment horizontal="center" vertical="center" wrapText="1"/>
    </xf>
    <xf numFmtId="169" fontId="44" fillId="8" borderId="1" xfId="6" applyNumberFormat="1" applyFont="1" applyFill="1" applyBorder="1" applyAlignment="1">
      <alignment horizontal="center" vertical="center" wrapText="1"/>
    </xf>
    <xf numFmtId="44" fontId="16" fillId="0" borderId="1" xfId="2" applyFont="1" applyBorder="1" applyAlignment="1">
      <alignment horizontal="center" vertical="center" wrapText="1"/>
    </xf>
    <xf numFmtId="0" fontId="44" fillId="0" borderId="1" xfId="6"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44" fillId="8" borderId="1" xfId="6" applyNumberFormat="1" applyFont="1" applyFill="1" applyBorder="1" applyAlignment="1">
      <alignment horizontal="center" vertical="center" wrapText="1"/>
    </xf>
    <xf numFmtId="170" fontId="44" fillId="0" borderId="1" xfId="2" applyNumberFormat="1" applyFont="1" applyFill="1" applyBorder="1" applyAlignment="1">
      <alignment horizontal="center" vertical="center" wrapText="1"/>
    </xf>
    <xf numFmtId="170" fontId="44" fillId="0" borderId="1" xfId="2" applyNumberFormat="1" applyFont="1" applyFill="1" applyBorder="1" applyAlignment="1">
      <alignment horizontal="right" vertical="center" wrapText="1"/>
    </xf>
    <xf numFmtId="170" fontId="44" fillId="7" borderId="1" xfId="2" applyNumberFormat="1" applyFont="1" applyFill="1" applyBorder="1" applyAlignment="1">
      <alignment horizontal="center" vertical="center" wrapText="1"/>
    </xf>
    <xf numFmtId="170" fontId="16" fillId="0" borderId="1" xfId="2" applyNumberFormat="1" applyFont="1" applyBorder="1" applyAlignment="1">
      <alignment horizontal="center" vertical="center" wrapText="1"/>
    </xf>
    <xf numFmtId="170" fontId="44" fillId="7" borderId="1" xfId="2" applyNumberFormat="1" applyFont="1" applyFill="1" applyBorder="1" applyAlignment="1">
      <alignment horizontal="right" vertical="center" wrapText="1"/>
    </xf>
    <xf numFmtId="0" fontId="44" fillId="7" borderId="1" xfId="6" applyNumberFormat="1" applyFont="1" applyFill="1" applyBorder="1" applyAlignment="1">
      <alignment horizontal="center" vertical="center" wrapText="1"/>
    </xf>
    <xf numFmtId="0" fontId="43" fillId="0" borderId="0" xfId="0" applyFont="1"/>
    <xf numFmtId="170" fontId="44" fillId="5" borderId="1" xfId="2" applyNumberFormat="1" applyFont="1" applyFill="1" applyBorder="1" applyAlignment="1">
      <alignment horizontal="center" vertical="center" wrapText="1"/>
    </xf>
    <xf numFmtId="0" fontId="44" fillId="5" borderId="1" xfId="6" applyNumberFormat="1" applyFont="1" applyFill="1" applyBorder="1" applyAlignment="1">
      <alignment horizontal="center" vertical="center" wrapText="1"/>
    </xf>
    <xf numFmtId="0" fontId="37" fillId="5" borderId="1" xfId="0" applyFont="1" applyFill="1" applyBorder="1" applyAlignment="1">
      <alignment horizontal="center" vertical="center" wrapText="1"/>
    </xf>
    <xf numFmtId="0" fontId="45" fillId="0" borderId="1" xfId="0" applyFont="1" applyBorder="1" applyAlignment="1">
      <alignment horizontal="center" vertical="center" wrapText="1"/>
    </xf>
    <xf numFmtId="166" fontId="2" fillId="5" borderId="0" xfId="0" applyNumberFormat="1" applyFont="1" applyFill="1" applyAlignment="1">
      <alignment horizontal="center" vertical="center" wrapText="1"/>
    </xf>
    <xf numFmtId="0" fontId="2" fillId="5" borderId="1" xfId="0" applyFont="1" applyFill="1" applyBorder="1" applyAlignment="1">
      <alignment horizontal="left" vertical="center" wrapText="1"/>
    </xf>
    <xf numFmtId="44" fontId="27" fillId="8" borderId="1" xfId="2" applyFont="1" applyFill="1" applyBorder="1" applyAlignment="1">
      <alignment horizontal="center" vertical="center" wrapText="1"/>
    </xf>
    <xf numFmtId="0" fontId="19" fillId="5" borderId="1" xfId="0" applyFont="1" applyFill="1" applyBorder="1" applyAlignment="1">
      <alignment horizontal="center" vertical="center" wrapText="1"/>
    </xf>
    <xf numFmtId="3" fontId="21" fillId="5" borderId="1" xfId="0" applyNumberFormat="1" applyFont="1" applyFill="1" applyBorder="1" applyAlignment="1">
      <alignment horizontal="center" vertical="center" wrapText="1"/>
    </xf>
    <xf numFmtId="169" fontId="18" fillId="5" borderId="1" xfId="0" applyNumberFormat="1" applyFont="1" applyFill="1" applyBorder="1" applyAlignment="1">
      <alignment horizontal="center" vertical="center" wrapText="1"/>
    </xf>
    <xf numFmtId="44" fontId="18" fillId="5" borderId="1" xfId="2" applyFont="1" applyFill="1" applyBorder="1" applyAlignment="1">
      <alignment horizontal="center" vertical="center" wrapText="1"/>
    </xf>
    <xf numFmtId="166" fontId="31" fillId="0" borderId="1"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166" fontId="22" fillId="0" borderId="1" xfId="2" applyNumberFormat="1" applyFont="1" applyFill="1" applyBorder="1" applyAlignment="1">
      <alignment horizontal="center" vertical="center" wrapText="1"/>
    </xf>
    <xf numFmtId="166" fontId="22" fillId="0" borderId="1" xfId="6" applyNumberFormat="1" applyFont="1" applyFill="1" applyBorder="1" applyAlignment="1">
      <alignment horizontal="center" vertical="center" wrapText="1"/>
    </xf>
    <xf numFmtId="166" fontId="22" fillId="0" borderId="1" xfId="0" applyNumberFormat="1" applyFont="1" applyBorder="1" applyAlignment="1">
      <alignment horizontal="center" vertical="center"/>
    </xf>
    <xf numFmtId="166" fontId="46" fillId="0" borderId="1" xfId="0" applyNumberFormat="1" applyFont="1" applyBorder="1" applyAlignment="1">
      <alignment vertical="center"/>
    </xf>
    <xf numFmtId="171" fontId="46" fillId="0" borderId="28" xfId="0" applyNumberFormat="1" applyFont="1" applyBorder="1" applyAlignment="1">
      <alignment vertical="center"/>
    </xf>
    <xf numFmtId="166" fontId="26" fillId="0" borderId="1" xfId="0" applyNumberFormat="1" applyFont="1" applyBorder="1" applyAlignment="1">
      <alignment horizontal="center" vertical="center" wrapText="1"/>
    </xf>
    <xf numFmtId="166" fontId="27" fillId="0" borderId="1" xfId="2" applyNumberFormat="1" applyFont="1" applyFill="1" applyBorder="1" applyAlignment="1">
      <alignment vertical="center" wrapText="1"/>
    </xf>
    <xf numFmtId="166" fontId="30" fillId="0" borderId="1" xfId="2" applyNumberFormat="1" applyFont="1" applyFill="1" applyBorder="1" applyAlignment="1">
      <alignment vertical="center" wrapText="1"/>
    </xf>
    <xf numFmtId="166" fontId="31" fillId="0" borderId="1" xfId="0" applyNumberFormat="1" applyFont="1" applyBorder="1" applyAlignment="1">
      <alignment vertical="center"/>
    </xf>
    <xf numFmtId="166" fontId="32" fillId="0" borderId="1" xfId="2" applyNumberFormat="1" applyFont="1" applyFill="1" applyBorder="1" applyAlignment="1">
      <alignment horizontal="center" vertical="center" wrapText="1"/>
    </xf>
    <xf numFmtId="166" fontId="30" fillId="0" borderId="1" xfId="2" applyNumberFormat="1" applyFont="1" applyFill="1" applyBorder="1" applyAlignment="1">
      <alignment horizontal="center" vertical="center" wrapText="1"/>
    </xf>
    <xf numFmtId="0" fontId="27" fillId="0" borderId="4" xfId="0" applyFont="1" applyBorder="1" applyAlignment="1">
      <alignment horizontal="center" vertical="center" wrapText="1"/>
    </xf>
    <xf numFmtId="0" fontId="31" fillId="5" borderId="1"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31" fillId="5" borderId="1" xfId="7" applyFont="1" applyFill="1" applyBorder="1" applyAlignment="1">
      <alignment horizontal="center" vertical="center" wrapText="1"/>
    </xf>
    <xf numFmtId="166" fontId="46" fillId="5" borderId="1" xfId="6" applyNumberFormat="1" applyFont="1" applyFill="1" applyBorder="1" applyAlignment="1">
      <alignment horizontal="center" vertical="center" wrapText="1"/>
    </xf>
    <xf numFmtId="44" fontId="31" fillId="5" borderId="1" xfId="2" applyFont="1" applyFill="1" applyBorder="1" applyAlignment="1">
      <alignment horizontal="center" vertical="center" wrapText="1"/>
    </xf>
    <xf numFmtId="0" fontId="46" fillId="5" borderId="1" xfId="6" applyNumberFormat="1" applyFont="1" applyFill="1" applyBorder="1" applyAlignment="1">
      <alignment horizontal="center"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66" fontId="49" fillId="0" borderId="1" xfId="17" applyNumberFormat="1" applyFont="1" applyBorder="1" applyAlignment="1">
      <alignment horizontal="right" vertical="center" wrapText="1"/>
    </xf>
    <xf numFmtId="166" fontId="49" fillId="0" borderId="0" xfId="17" applyNumberFormat="1" applyFont="1" applyAlignment="1">
      <alignment horizontal="center" vertical="center"/>
    </xf>
    <xf numFmtId="166" fontId="49" fillId="0" borderId="1" xfId="17" applyNumberFormat="1" applyFont="1" applyBorder="1" applyAlignment="1">
      <alignment horizontal="center" vertical="center"/>
    </xf>
    <xf numFmtId="43" fontId="49" fillId="0" borderId="1" xfId="17" applyFont="1" applyBorder="1" applyAlignment="1">
      <alignment horizontal="center" vertical="center"/>
    </xf>
    <xf numFmtId="12" fontId="50" fillId="0" borderId="1" xfId="0" applyNumberFormat="1" applyFont="1" applyBorder="1" applyAlignment="1">
      <alignment horizontal="center" vertical="center"/>
    </xf>
    <xf numFmtId="166" fontId="50" fillId="0" borderId="1" xfId="0" applyNumberFormat="1" applyFont="1" applyBorder="1" applyAlignment="1">
      <alignment vertical="center"/>
    </xf>
    <xf numFmtId="0" fontId="12" fillId="5" borderId="1" xfId="0" applyFont="1" applyFill="1" applyBorder="1" applyAlignment="1">
      <alignment horizontal="center" vertical="center" wrapText="1"/>
    </xf>
    <xf numFmtId="2" fontId="2" fillId="5" borderId="1" xfId="17"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2" fontId="2" fillId="5" borderId="1" xfId="4"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xf>
    <xf numFmtId="2" fontId="2" fillId="5" borderId="1" xfId="5"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2" fontId="19" fillId="5" borderId="1" xfId="0" applyNumberFormat="1" applyFont="1" applyFill="1" applyBorder="1" applyAlignment="1">
      <alignment horizontal="center" vertical="center" wrapText="1"/>
    </xf>
    <xf numFmtId="2" fontId="2" fillId="5" borderId="1" xfId="9" applyNumberFormat="1" applyFont="1" applyFill="1" applyBorder="1" applyAlignment="1">
      <alignment horizontal="center" vertical="center" wrapText="1"/>
    </xf>
    <xf numFmtId="2" fontId="27" fillId="5" borderId="1" xfId="4"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9" fontId="0" fillId="0" borderId="0" xfId="4" applyFont="1" applyAlignment="1">
      <alignment horizontal="center" vertical="center" wrapText="1"/>
    </xf>
    <xf numFmtId="169" fontId="19" fillId="0" borderId="1" xfId="0" applyNumberFormat="1" applyFont="1" applyBorder="1" applyAlignment="1">
      <alignment horizontal="center" vertical="center" wrapText="1"/>
    </xf>
    <xf numFmtId="44" fontId="19" fillId="0" borderId="1" xfId="2" applyFont="1" applyFill="1" applyBorder="1" applyAlignment="1">
      <alignment horizontal="center" vertical="center" wrapText="1"/>
    </xf>
    <xf numFmtId="0" fontId="19" fillId="0" borderId="0" xfId="0" applyFont="1" applyAlignment="1">
      <alignment horizontal="left" vertical="center" wrapText="1"/>
    </xf>
    <xf numFmtId="166" fontId="19" fillId="0" borderId="0" xfId="0" applyNumberFormat="1" applyFont="1" applyAlignment="1">
      <alignment horizontal="center" vertical="center" wrapText="1"/>
    </xf>
    <xf numFmtId="0" fontId="12" fillId="0" borderId="1" xfId="0" applyFont="1" applyBorder="1" applyAlignment="1">
      <alignment horizontal="center" vertical="center" wrapText="1"/>
    </xf>
    <xf numFmtId="2" fontId="2" fillId="0" borderId="1" xfId="17"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4"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2" fontId="2" fillId="0" borderId="1" xfId="5" applyNumberFormat="1" applyFont="1" applyBorder="1" applyAlignment="1">
      <alignment horizontal="center" vertical="center" wrapText="1"/>
    </xf>
    <xf numFmtId="2" fontId="25"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2" fontId="2" fillId="0" borderId="1" xfId="9" applyNumberFormat="1" applyFont="1" applyFill="1" applyBorder="1" applyAlignment="1">
      <alignment horizontal="center" vertical="center" wrapText="1"/>
    </xf>
    <xf numFmtId="2" fontId="27" fillId="0" borderId="1" xfId="4" applyNumberFormat="1" applyFont="1" applyFill="1" applyBorder="1" applyAlignment="1">
      <alignment horizontal="center" vertical="center" wrapText="1"/>
    </xf>
    <xf numFmtId="2" fontId="27" fillId="0" borderId="1" xfId="0" applyNumberFormat="1" applyFont="1" applyBorder="1" applyAlignment="1">
      <alignment horizontal="center" vertical="center" wrapText="1"/>
    </xf>
    <xf numFmtId="0" fontId="53" fillId="5" borderId="1" xfId="0" applyFont="1" applyFill="1" applyBorder="1" applyAlignment="1">
      <alignment horizontal="center" vertical="center" wrapText="1"/>
    </xf>
    <xf numFmtId="43" fontId="49" fillId="0" borderId="1" xfId="17" applyFont="1" applyFill="1" applyBorder="1" applyAlignment="1">
      <alignment horizontal="center" vertical="center"/>
    </xf>
    <xf numFmtId="166" fontId="49" fillId="0" borderId="1" xfId="17" applyNumberFormat="1" applyFont="1" applyFill="1" applyBorder="1" applyAlignment="1">
      <alignment horizontal="right" vertical="center" wrapText="1"/>
    </xf>
    <xf numFmtId="166" fontId="49" fillId="0" borderId="0" xfId="17" applyNumberFormat="1" applyFont="1" applyFill="1" applyAlignment="1">
      <alignment horizontal="center" vertical="center"/>
    </xf>
    <xf numFmtId="166" fontId="49" fillId="0" borderId="1" xfId="17" applyNumberFormat="1" applyFont="1" applyFill="1" applyBorder="1" applyAlignment="1">
      <alignment horizontal="center" vertical="center"/>
    </xf>
    <xf numFmtId="166" fontId="2" fillId="5" borderId="1" xfId="0" applyNumberFormat="1" applyFont="1" applyFill="1" applyBorder="1" applyAlignment="1">
      <alignment horizontal="center" vertical="center" wrapText="1"/>
    </xf>
    <xf numFmtId="166" fontId="27" fillId="5" borderId="1" xfId="2" applyNumberFormat="1" applyFont="1" applyFill="1" applyBorder="1" applyAlignment="1">
      <alignment horizontal="center" vertical="center" wrapText="1"/>
    </xf>
    <xf numFmtId="12" fontId="50" fillId="5" borderId="1" xfId="0" applyNumberFormat="1" applyFont="1" applyFill="1" applyBorder="1" applyAlignment="1">
      <alignment horizontal="center" vertical="center"/>
    </xf>
    <xf numFmtId="166" fontId="50" fillId="5" borderId="1" xfId="0" applyNumberFormat="1" applyFont="1" applyFill="1" applyBorder="1" applyAlignment="1">
      <alignment vertical="center"/>
    </xf>
    <xf numFmtId="166" fontId="49" fillId="5" borderId="1" xfId="17" applyNumberFormat="1" applyFont="1" applyFill="1" applyBorder="1" applyAlignment="1">
      <alignment horizontal="right" vertical="center" wrapText="1"/>
    </xf>
    <xf numFmtId="166" fontId="49" fillId="5" borderId="0" xfId="17" applyNumberFormat="1" applyFont="1" applyFill="1" applyAlignment="1">
      <alignment horizontal="center" vertical="center"/>
    </xf>
    <xf numFmtId="166" fontId="49" fillId="5" borderId="1" xfId="17" applyNumberFormat="1" applyFont="1" applyFill="1" applyBorder="1" applyAlignment="1">
      <alignment horizontal="center" vertical="center"/>
    </xf>
    <xf numFmtId="0" fontId="46" fillId="0" borderId="1" xfId="6" applyNumberFormat="1" applyFont="1" applyFill="1" applyBorder="1" applyAlignment="1">
      <alignment horizontal="center" vertical="center" wrapText="1"/>
    </xf>
    <xf numFmtId="0" fontId="31" fillId="0" borderId="1" xfId="0" applyFont="1" applyBorder="1" applyAlignment="1">
      <alignment horizontal="center" vertical="center" wrapText="1"/>
    </xf>
    <xf numFmtId="44" fontId="18" fillId="0" borderId="1" xfId="2"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166" fontId="55" fillId="0" borderId="1" xfId="2" applyNumberFormat="1" applyFont="1" applyFill="1" applyBorder="1" applyAlignment="1">
      <alignment vertical="center" wrapText="1"/>
    </xf>
    <xf numFmtId="166" fontId="13" fillId="0" borderId="1" xfId="0" applyNumberFormat="1" applyFont="1" applyBorder="1" applyAlignment="1">
      <alignment vertical="center"/>
    </xf>
    <xf numFmtId="166" fontId="55" fillId="0" borderId="1" xfId="2" applyNumberFormat="1" applyFont="1" applyFill="1" applyBorder="1" applyAlignment="1">
      <alignment horizontal="center" vertical="center" wrapText="1"/>
    </xf>
    <xf numFmtId="166" fontId="10" fillId="0" borderId="0" xfId="0" applyNumberFormat="1" applyFont="1" applyAlignment="1">
      <alignment horizontal="center" vertical="center" wrapText="1"/>
    </xf>
    <xf numFmtId="0" fontId="10" fillId="0" borderId="0" xfId="0" applyFont="1" applyAlignment="1">
      <alignment horizontal="center" vertical="center" wrapText="1"/>
    </xf>
    <xf numFmtId="166" fontId="56" fillId="0" borderId="1" xfId="0" applyNumberFormat="1" applyFont="1" applyBorder="1" applyAlignment="1">
      <alignment horizontal="center" vertical="center" wrapText="1"/>
    </xf>
    <xf numFmtId="166" fontId="37" fillId="0" borderId="1" xfId="0" applyNumberFormat="1" applyFont="1" applyBorder="1" applyAlignment="1">
      <alignment horizontal="center" vertical="center" wrapText="1"/>
    </xf>
    <xf numFmtId="16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vertical="center" wrapText="1"/>
    </xf>
    <xf numFmtId="9" fontId="29" fillId="0" borderId="1" xfId="4" applyFont="1" applyFill="1" applyBorder="1" applyAlignment="1">
      <alignment horizontal="center" vertical="center" wrapText="1"/>
    </xf>
    <xf numFmtId="0" fontId="13" fillId="0" borderId="1" xfId="0" applyFont="1" applyBorder="1" applyAlignment="1">
      <alignment vertical="center" wrapText="1"/>
    </xf>
    <xf numFmtId="0" fontId="22" fillId="5" borderId="1" xfId="0" applyFont="1" applyFill="1" applyBorder="1" applyAlignment="1">
      <alignment vertical="center" wrapText="1"/>
    </xf>
    <xf numFmtId="0" fontId="2" fillId="9" borderId="1" xfId="0" applyFont="1" applyFill="1" applyBorder="1" applyAlignment="1">
      <alignment horizontal="center" vertical="center" wrapText="1"/>
    </xf>
    <xf numFmtId="166" fontId="19" fillId="9" borderId="1" xfId="0" applyNumberFormat="1" applyFont="1" applyFill="1" applyBorder="1" applyAlignment="1">
      <alignment horizontal="center" vertical="center" wrapText="1"/>
    </xf>
    <xf numFmtId="166" fontId="10" fillId="9" borderId="1" xfId="0" applyNumberFormat="1" applyFont="1" applyFill="1" applyBorder="1" applyAlignment="1">
      <alignment horizontal="center" vertical="center" wrapText="1"/>
    </xf>
    <xf numFmtId="166" fontId="2" fillId="9" borderId="1" xfId="0" applyNumberFormat="1" applyFont="1" applyFill="1" applyBorder="1" applyAlignment="1">
      <alignment horizontal="center" vertical="center" wrapText="1"/>
    </xf>
    <xf numFmtId="166" fontId="13" fillId="9" borderId="1" xfId="0" applyNumberFormat="1" applyFont="1" applyFill="1" applyBorder="1" applyAlignment="1">
      <alignment horizontal="center" vertical="center" wrapText="1"/>
    </xf>
    <xf numFmtId="14" fontId="2" fillId="9" borderId="1" xfId="7" applyNumberFormat="1" applyFont="1" applyFill="1" applyBorder="1" applyAlignment="1">
      <alignment horizontal="center" vertical="center" wrapText="1"/>
    </xf>
    <xf numFmtId="2" fontId="2" fillId="0" borderId="1" xfId="28" applyNumberFormat="1" applyFont="1" applyFill="1" applyBorder="1" applyAlignment="1">
      <alignment horizontal="center" vertical="center" wrapText="1"/>
    </xf>
    <xf numFmtId="0" fontId="2" fillId="0" borderId="0" xfId="0" applyFont="1" applyAlignment="1">
      <alignment vertical="center" wrapText="1"/>
    </xf>
    <xf numFmtId="17" fontId="19" fillId="0" borderId="1" xfId="0" applyNumberFormat="1" applyFont="1" applyBorder="1" applyAlignment="1">
      <alignment horizontal="center" vertical="center" wrapText="1"/>
    </xf>
    <xf numFmtId="0" fontId="19" fillId="0" borderId="1" xfId="7" applyFont="1" applyBorder="1" applyAlignment="1">
      <alignment vertical="center" wrapText="1"/>
    </xf>
    <xf numFmtId="0" fontId="19" fillId="0" borderId="1" xfId="0" applyFont="1" applyBorder="1" applyAlignment="1">
      <alignment wrapText="1"/>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2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5" applyFont="1" applyBorder="1" applyAlignment="1">
      <alignment horizontal="center" vertical="center"/>
    </xf>
    <xf numFmtId="0" fontId="19" fillId="0" borderId="4" xfId="5" applyFont="1"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wrapText="1"/>
    </xf>
    <xf numFmtId="0" fontId="19" fillId="0" borderId="27" xfId="5" applyFont="1" applyBorder="1" applyAlignment="1">
      <alignment horizontal="center" vertical="center" wrapText="1"/>
    </xf>
    <xf numFmtId="0" fontId="19" fillId="0" borderId="25" xfId="5" applyFont="1" applyBorder="1" applyAlignment="1">
      <alignment horizontal="center" vertical="center" wrapText="1"/>
    </xf>
    <xf numFmtId="0" fontId="19" fillId="0" borderId="28" xfId="5" applyFont="1" applyBorder="1" applyAlignment="1">
      <alignment horizontal="center" vertical="center" wrapText="1"/>
    </xf>
    <xf numFmtId="0" fontId="19" fillId="0" borderId="24" xfId="5" applyFont="1" applyBorder="1" applyAlignment="1">
      <alignment horizontal="center" vertical="center" wrapText="1"/>
    </xf>
    <xf numFmtId="0" fontId="4" fillId="0" borderId="1" xfId="0" applyFont="1" applyBorder="1" applyAlignment="1">
      <alignment vertical="center"/>
    </xf>
    <xf numFmtId="2" fontId="19" fillId="0" borderId="1" xfId="28" applyNumberFormat="1" applyFont="1" applyFill="1" applyBorder="1" applyAlignment="1">
      <alignment horizontal="center" vertical="center" wrapText="1"/>
    </xf>
    <xf numFmtId="0" fontId="19" fillId="0" borderId="1" xfId="0" applyFont="1" applyBorder="1" applyAlignment="1">
      <alignment vertical="top" wrapText="1"/>
    </xf>
    <xf numFmtId="0" fontId="19" fillId="0" borderId="1" xfId="0" applyFont="1" applyBorder="1" applyAlignment="1">
      <alignment horizontal="left" wrapText="1"/>
    </xf>
    <xf numFmtId="14" fontId="29" fillId="0" borderId="1" xfId="8" applyNumberFormat="1" applyFont="1" applyBorder="1" applyAlignment="1">
      <alignment horizontal="center" vertical="center" wrapText="1"/>
    </xf>
    <xf numFmtId="0" fontId="29" fillId="0" borderId="1" xfId="8" applyFont="1" applyBorder="1" applyAlignment="1">
      <alignment horizontal="center" vertical="center" wrapText="1"/>
    </xf>
    <xf numFmtId="166" fontId="58" fillId="0" borderId="1" xfId="2" applyNumberFormat="1" applyFont="1" applyFill="1" applyBorder="1" applyAlignment="1">
      <alignment horizontal="center" vertical="center" wrapText="1"/>
    </xf>
    <xf numFmtId="6" fontId="29" fillId="0" borderId="1" xfId="0" applyNumberFormat="1" applyFont="1" applyBorder="1" applyAlignment="1">
      <alignment horizontal="center" vertical="center" wrapText="1"/>
    </xf>
    <xf numFmtId="166" fontId="19" fillId="0" borderId="1" xfId="2" applyNumberFormat="1" applyFont="1" applyFill="1" applyBorder="1" applyAlignment="1">
      <alignment horizontal="center" vertical="center" wrapText="1"/>
    </xf>
    <xf numFmtId="0" fontId="28" fillId="0" borderId="4" xfId="0" applyFont="1" applyBorder="1" applyAlignment="1">
      <alignment horizontal="center" vertical="center" wrapText="1"/>
    </xf>
    <xf numFmtId="0" fontId="29" fillId="0" borderId="1" xfId="0" applyFont="1" applyBorder="1" applyAlignment="1">
      <alignment vertical="center" wrapText="1"/>
    </xf>
    <xf numFmtId="0" fontId="19" fillId="0" borderId="11" xfId="0" applyFont="1" applyBorder="1" applyAlignment="1">
      <alignment vertical="center" wrapText="1"/>
    </xf>
    <xf numFmtId="0" fontId="9" fillId="0" borderId="6" xfId="0" applyFont="1" applyBorder="1" applyAlignment="1">
      <alignment horizontal="center" vertical="center" wrapText="1"/>
    </xf>
    <xf numFmtId="0" fontId="29" fillId="0" borderId="5" xfId="6" applyNumberFormat="1" applyFont="1" applyFill="1" applyBorder="1" applyAlignment="1">
      <alignment horizontal="center" vertical="center" wrapText="1"/>
    </xf>
    <xf numFmtId="6" fontId="18" fillId="5" borderId="1" xfId="2" applyNumberFormat="1" applyFont="1" applyFill="1" applyBorder="1" applyAlignment="1">
      <alignment horizontal="center" vertical="center" wrapText="1"/>
    </xf>
    <xf numFmtId="6" fontId="18" fillId="0" borderId="1" xfId="2" applyNumberFormat="1" applyFont="1" applyFill="1" applyBorder="1" applyAlignment="1">
      <alignment horizontal="center" vertical="center" wrapText="1"/>
    </xf>
    <xf numFmtId="9" fontId="2" fillId="0" borderId="0" xfId="4" applyFont="1" applyAlignment="1">
      <alignment horizontal="center" vertical="center" wrapText="1"/>
    </xf>
    <xf numFmtId="9" fontId="2" fillId="0" borderId="1" xfId="4" applyFont="1" applyBorder="1" applyAlignment="1">
      <alignment horizontal="center" vertical="center" wrapText="1"/>
    </xf>
    <xf numFmtId="0" fontId="15"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9" fontId="19" fillId="5" borderId="1" xfId="0" applyNumberFormat="1" applyFont="1" applyFill="1" applyBorder="1" applyAlignment="1">
      <alignment horizontal="center" vertical="center" wrapText="1"/>
    </xf>
    <xf numFmtId="3" fontId="15" fillId="5"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1" fontId="15" fillId="5" borderId="1" xfId="0" applyNumberFormat="1" applyFont="1" applyFill="1" applyBorder="1" applyAlignment="1">
      <alignment horizontal="center" vertical="center" wrapText="1"/>
    </xf>
    <xf numFmtId="0" fontId="21" fillId="5" borderId="1" xfId="7" applyFont="1" applyFill="1" applyBorder="1" applyAlignment="1">
      <alignment horizontal="center" vertical="center" wrapText="1"/>
    </xf>
    <xf numFmtId="169" fontId="29" fillId="5" borderId="1" xfId="6" applyNumberFormat="1" applyFont="1" applyFill="1" applyBorder="1" applyAlignment="1">
      <alignment horizontal="center" vertical="center" wrapText="1"/>
    </xf>
    <xf numFmtId="0" fontId="29" fillId="5" borderId="1" xfId="6" applyNumberFormat="1" applyFont="1" applyFill="1" applyBorder="1" applyAlignment="1">
      <alignment horizontal="center" vertical="center" wrapText="1"/>
    </xf>
    <xf numFmtId="166" fontId="29" fillId="5" borderId="1" xfId="6" applyNumberFormat="1" applyFont="1" applyFill="1" applyBorder="1" applyAlignment="1">
      <alignment horizontal="center" vertical="center" wrapText="1"/>
    </xf>
    <xf numFmtId="0" fontId="15" fillId="5" borderId="0" xfId="0" applyFont="1" applyFill="1" applyAlignment="1">
      <alignment horizontal="center" vertical="center" wrapText="1"/>
    </xf>
    <xf numFmtId="0" fontId="18" fillId="5" borderId="1" xfId="0" applyFont="1" applyFill="1" applyBorder="1" applyAlignment="1">
      <alignment horizontal="center" vertical="center" wrapText="1"/>
    </xf>
    <xf numFmtId="0" fontId="19" fillId="5" borderId="1" xfId="7" applyFont="1" applyFill="1" applyBorder="1" applyAlignment="1">
      <alignment horizontal="center" vertical="center" wrapText="1"/>
    </xf>
    <xf numFmtId="0" fontId="33" fillId="5" borderId="0" xfId="0" applyFont="1" applyFill="1" applyAlignment="1">
      <alignment horizontal="center" vertical="center" wrapText="1"/>
    </xf>
    <xf numFmtId="1" fontId="21" fillId="5" borderId="1" xfId="0" applyNumberFormat="1" applyFont="1" applyFill="1" applyBorder="1" applyAlignment="1">
      <alignment horizontal="center" vertical="center" wrapText="1"/>
    </xf>
    <xf numFmtId="1" fontId="19" fillId="5" borderId="1" xfId="7" applyNumberFormat="1" applyFont="1" applyFill="1" applyBorder="1" applyAlignment="1">
      <alignment horizontal="center" vertical="center" wrapText="1"/>
    </xf>
    <xf numFmtId="170" fontId="20" fillId="5" borderId="1" xfId="2" applyNumberFormat="1" applyFont="1" applyFill="1" applyBorder="1" applyAlignment="1">
      <alignment horizontal="center" vertical="center" wrapText="1"/>
    </xf>
    <xf numFmtId="1" fontId="2" fillId="5" borderId="0" xfId="0" applyNumberFormat="1" applyFont="1" applyFill="1" applyAlignment="1">
      <alignment horizontal="center" vertical="center" wrapText="1"/>
    </xf>
    <xf numFmtId="9" fontId="15" fillId="0" borderId="1" xfId="4" applyFont="1" applyBorder="1" applyAlignment="1">
      <alignment horizontal="center" vertical="center" wrapText="1"/>
    </xf>
    <xf numFmtId="9" fontId="9" fillId="0" borderId="6" xfId="4" applyFont="1" applyBorder="1" applyAlignment="1">
      <alignment horizontal="center" vertical="center" wrapText="1"/>
    </xf>
    <xf numFmtId="9" fontId="21" fillId="0" borderId="1" xfId="4" applyFont="1" applyBorder="1" applyAlignment="1">
      <alignment horizontal="center" vertical="center" wrapText="1"/>
    </xf>
    <xf numFmtId="9" fontId="19" fillId="0" borderId="1" xfId="4" applyFont="1" applyBorder="1" applyAlignment="1">
      <alignment horizontal="center" vertical="center" wrapText="1"/>
    </xf>
    <xf numFmtId="9" fontId="20" fillId="0" borderId="1" xfId="4" applyFont="1" applyFill="1" applyBorder="1" applyAlignment="1">
      <alignment horizontal="center" vertical="center" wrapText="1"/>
    </xf>
    <xf numFmtId="0" fontId="0" fillId="5" borderId="1" xfId="0" applyFill="1" applyBorder="1" applyAlignment="1">
      <alignment horizontal="center" vertical="center" wrapText="1"/>
    </xf>
    <xf numFmtId="0" fontId="19" fillId="5" borderId="0" xfId="0" applyFont="1" applyFill="1" applyAlignment="1">
      <alignment horizontal="center" vertical="center" wrapText="1"/>
    </xf>
    <xf numFmtId="9" fontId="2" fillId="0" borderId="1" xfId="4" applyFont="1" applyBorder="1" applyAlignment="1">
      <alignment horizontal="center" vertical="center"/>
    </xf>
    <xf numFmtId="44" fontId="43" fillId="0" borderId="1" xfId="2" applyFont="1" applyFill="1" applyBorder="1" applyAlignment="1">
      <alignment horizontal="left" wrapText="1"/>
    </xf>
    <xf numFmtId="44" fontId="27" fillId="0" borderId="1" xfId="2" applyFont="1" applyBorder="1" applyAlignment="1">
      <alignment horizontal="center" vertical="center" wrapText="1"/>
    </xf>
    <xf numFmtId="44" fontId="2" fillId="0" borderId="0" xfId="2" applyFont="1" applyAlignment="1">
      <alignment horizontal="center" vertical="center" wrapText="1"/>
    </xf>
    <xf numFmtId="44" fontId="19" fillId="0" borderId="1" xfId="2"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10" fillId="0" borderId="11" xfId="0" applyFont="1" applyBorder="1" applyAlignment="1">
      <alignment horizontal="center" vertical="center" wrapText="1"/>
    </xf>
    <xf numFmtId="0" fontId="2"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19" fillId="0" borderId="12" xfId="5" applyFont="1" applyBorder="1" applyAlignment="1">
      <alignment horizontal="center" vertical="center" wrapText="1"/>
    </xf>
    <xf numFmtId="0" fontId="2" fillId="0" borderId="11" xfId="7" applyFont="1" applyBorder="1" applyAlignment="1">
      <alignment horizontal="center" vertical="center" wrapText="1"/>
    </xf>
    <xf numFmtId="0" fontId="2" fillId="0" borderId="5" xfId="7" applyFont="1" applyBorder="1" applyAlignment="1">
      <alignment horizontal="center" vertical="center" wrapText="1"/>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164" fontId="2" fillId="0" borderId="1" xfId="7" applyNumberFormat="1" applyFont="1" applyBorder="1" applyAlignment="1">
      <alignment horizontal="center" vertical="center" wrapText="1"/>
    </xf>
    <xf numFmtId="0" fontId="2" fillId="0" borderId="1" xfId="1" applyNumberFormat="1" applyFont="1" applyFill="1" applyBorder="1" applyAlignment="1">
      <alignment horizontal="center" vertical="center" wrapText="1"/>
    </xf>
    <xf numFmtId="0" fontId="0" fillId="0" borderId="5" xfId="0" applyBorder="1" applyAlignment="1">
      <alignment horizontal="center" vertical="center" wrapText="1"/>
    </xf>
    <xf numFmtId="9" fontId="0" fillId="0" borderId="5" xfId="10" applyFont="1" applyFill="1" applyBorder="1" applyAlignment="1">
      <alignment horizontal="center" vertical="center" wrapText="1"/>
    </xf>
    <xf numFmtId="0" fontId="27" fillId="0" borderId="5"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5" xfId="0" applyNumberFormat="1" applyFont="1" applyBorder="1" applyAlignment="1">
      <alignment horizontal="center" vertical="center" wrapText="1"/>
    </xf>
    <xf numFmtId="44" fontId="19" fillId="0" borderId="11" xfId="2" applyFont="1" applyBorder="1" applyAlignment="1">
      <alignment horizontal="center" vertical="center" wrapText="1"/>
    </xf>
    <xf numFmtId="9" fontId="15" fillId="0" borderId="5" xfId="4" applyFont="1" applyBorder="1" applyAlignment="1">
      <alignment horizontal="center" vertical="center" wrapText="1"/>
    </xf>
    <xf numFmtId="0" fontId="19" fillId="0" borderId="30" xfId="0" applyFont="1" applyBorder="1" applyAlignment="1">
      <alignment horizontal="center" vertical="center" wrapText="1"/>
    </xf>
    <xf numFmtId="41" fontId="2" fillId="5" borderId="1" xfId="1" applyFont="1" applyFill="1" applyBorder="1" applyAlignment="1">
      <alignment horizontal="center" vertical="center" wrapText="1"/>
    </xf>
    <xf numFmtId="0" fontId="19" fillId="0" borderId="11" xfId="7" applyFont="1" applyBorder="1" applyAlignment="1">
      <alignment horizontal="center" vertical="center" wrapText="1"/>
    </xf>
    <xf numFmtId="0" fontId="19" fillId="0" borderId="5" xfId="7"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2" fontId="2" fillId="0" borderId="22" xfId="0" applyNumberFormat="1" applyFont="1" applyBorder="1" applyAlignment="1">
      <alignment horizontal="center" vertical="center"/>
    </xf>
    <xf numFmtId="2" fontId="2" fillId="0" borderId="5" xfId="0" applyNumberFormat="1" applyFont="1" applyBorder="1" applyAlignment="1">
      <alignment horizontal="center" vertical="center"/>
    </xf>
    <xf numFmtId="0" fontId="4" fillId="0" borderId="30" xfId="0" applyFont="1" applyBorder="1" applyAlignment="1">
      <alignment horizontal="center" vertical="center" wrapText="1"/>
    </xf>
    <xf numFmtId="0" fontId="0" fillId="5" borderId="5" xfId="0" applyFill="1" applyBorder="1" applyAlignment="1">
      <alignment horizontal="center" vertical="center" wrapText="1"/>
    </xf>
    <xf numFmtId="2" fontId="19" fillId="0" borderId="11" xfId="0" applyNumberFormat="1"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11" xfId="28" applyNumberFormat="1" applyFont="1" applyFill="1" applyBorder="1" applyAlignment="1">
      <alignment horizontal="center" vertical="center" wrapText="1"/>
    </xf>
    <xf numFmtId="2" fontId="2" fillId="0" borderId="22" xfId="4" applyNumberFormat="1" applyFont="1" applyFill="1" applyBorder="1" applyAlignment="1">
      <alignment horizontal="center" vertical="center" wrapText="1"/>
    </xf>
    <xf numFmtId="2" fontId="2" fillId="0" borderId="11" xfId="4" applyNumberFormat="1" applyFont="1" applyFill="1" applyBorder="1" applyAlignment="1">
      <alignment horizontal="center" vertical="center" wrapText="1"/>
    </xf>
    <xf numFmtId="2" fontId="2" fillId="0" borderId="5" xfId="4" applyNumberFormat="1" applyFont="1" applyFill="1" applyBorder="1" applyAlignment="1">
      <alignment horizontal="center" vertical="center" wrapText="1"/>
    </xf>
    <xf numFmtId="2" fontId="2" fillId="0" borderId="22" xfId="5" applyNumberFormat="1" applyFont="1" applyBorder="1" applyAlignment="1">
      <alignment horizontal="center" vertical="center" wrapText="1"/>
    </xf>
    <xf numFmtId="44" fontId="43" fillId="0" borderId="11" xfId="2" applyFont="1" applyFill="1" applyBorder="1" applyAlignment="1">
      <alignment horizontal="left" wrapText="1"/>
    </xf>
    <xf numFmtId="2" fontId="2" fillId="0" borderId="11" xfId="5" applyNumberFormat="1" applyFont="1" applyBorder="1" applyAlignment="1">
      <alignment horizontal="center" vertical="center" wrapText="1"/>
    </xf>
    <xf numFmtId="2" fontId="2" fillId="0" borderId="5" xfId="5" applyNumberFormat="1" applyFont="1" applyBorder="1" applyAlignment="1">
      <alignment horizontal="center" vertical="center" wrapText="1"/>
    </xf>
    <xf numFmtId="2" fontId="25" fillId="0" borderId="22" xfId="0" applyNumberFormat="1" applyFont="1" applyBorder="1" applyAlignment="1">
      <alignment horizontal="center" vertical="center" wrapText="1"/>
    </xf>
    <xf numFmtId="2" fontId="25" fillId="0" borderId="11" xfId="0" applyNumberFormat="1" applyFont="1" applyBorder="1" applyAlignment="1">
      <alignment horizontal="center" vertical="center" wrapText="1"/>
    </xf>
    <xf numFmtId="2" fontId="25" fillId="0" borderId="5"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22" xfId="9" applyNumberFormat="1" applyFont="1" applyFill="1" applyBorder="1" applyAlignment="1">
      <alignment horizontal="center" vertical="center" wrapText="1"/>
    </xf>
    <xf numFmtId="2" fontId="2" fillId="0" borderId="11" xfId="9" applyNumberFormat="1" applyFont="1" applyFill="1" applyBorder="1" applyAlignment="1">
      <alignment horizontal="center" vertical="center" wrapText="1"/>
    </xf>
    <xf numFmtId="2" fontId="2" fillId="0" borderId="5" xfId="9" applyNumberFormat="1" applyFont="1" applyFill="1" applyBorder="1" applyAlignment="1">
      <alignment horizontal="center" vertical="center" wrapText="1"/>
    </xf>
    <xf numFmtId="2" fontId="27" fillId="0" borderId="22" xfId="4" applyNumberFormat="1" applyFont="1" applyFill="1" applyBorder="1" applyAlignment="1">
      <alignment horizontal="center" vertical="center" wrapText="1"/>
    </xf>
    <xf numFmtId="2" fontId="27" fillId="0" borderId="11" xfId="4" applyNumberFormat="1" applyFont="1" applyFill="1" applyBorder="1" applyAlignment="1">
      <alignment horizontal="center" vertical="center" wrapText="1"/>
    </xf>
    <xf numFmtId="2" fontId="27" fillId="0" borderId="5" xfId="4" applyNumberFormat="1" applyFont="1" applyFill="1" applyBorder="1" applyAlignment="1">
      <alignment horizontal="center" vertical="center" wrapText="1"/>
    </xf>
    <xf numFmtId="44" fontId="19" fillId="0" borderId="22" xfId="2" applyFont="1" applyBorder="1" applyAlignment="1">
      <alignment horizontal="center" vertical="center" wrapText="1"/>
    </xf>
    <xf numFmtId="0" fontId="19" fillId="0" borderId="31" xfId="0" applyFont="1" applyBorder="1" applyAlignment="1">
      <alignment horizontal="center" vertical="center"/>
    </xf>
    <xf numFmtId="0" fontId="19" fillId="0" borderId="0" xfId="0" applyFont="1" applyAlignment="1">
      <alignment horizontal="center" vertical="center"/>
    </xf>
    <xf numFmtId="0" fontId="19" fillId="0" borderId="7" xfId="5" applyFont="1" applyBorder="1" applyAlignment="1">
      <alignment horizontal="center" vertical="center" wrapText="1"/>
    </xf>
    <xf numFmtId="0" fontId="10" fillId="0" borderId="22" xfId="0" applyFont="1" applyBorder="1" applyAlignment="1">
      <alignment horizontal="center" vertical="center" textRotation="90" wrapText="1"/>
    </xf>
    <xf numFmtId="0" fontId="19" fillId="0" borderId="22" xfId="8" applyFont="1" applyBorder="1" applyAlignment="1">
      <alignment horizontal="center" vertical="center" wrapText="1"/>
    </xf>
    <xf numFmtId="41" fontId="2" fillId="0" borderId="22" xfId="1" applyFont="1" applyFill="1" applyBorder="1" applyAlignment="1">
      <alignment horizontal="center" vertical="center" wrapText="1"/>
    </xf>
    <xf numFmtId="41" fontId="2" fillId="5" borderId="22" xfId="1" applyFont="1" applyFill="1" applyBorder="1" applyAlignment="1">
      <alignment horizontal="center" vertical="center" wrapText="1"/>
    </xf>
    <xf numFmtId="0" fontId="27" fillId="0" borderId="31" xfId="0" applyFont="1" applyBorder="1" applyAlignment="1">
      <alignment horizontal="center" vertical="center" wrapText="1"/>
    </xf>
    <xf numFmtId="9" fontId="19" fillId="0" borderId="11" xfId="4" applyFont="1" applyBorder="1" applyAlignment="1">
      <alignment horizontal="center" vertical="center" wrapText="1"/>
    </xf>
    <xf numFmtId="9" fontId="62" fillId="0" borderId="11" xfId="4" applyFont="1" applyBorder="1" applyAlignment="1">
      <alignment horizontal="center" vertical="center" wrapText="1"/>
    </xf>
    <xf numFmtId="9" fontId="19" fillId="0" borderId="22" xfId="4" applyFont="1" applyBorder="1" applyAlignment="1">
      <alignment horizontal="center" vertical="center" wrapText="1"/>
    </xf>
    <xf numFmtId="9" fontId="54" fillId="0" borderId="1" xfId="4" applyFont="1" applyBorder="1" applyAlignment="1">
      <alignment horizontal="center" vertical="center" wrapText="1"/>
    </xf>
    <xf numFmtId="9" fontId="64" fillId="0" borderId="11" xfId="4" applyFont="1" applyBorder="1" applyAlignment="1">
      <alignment horizontal="center" vertical="center" wrapText="1"/>
    </xf>
    <xf numFmtId="9" fontId="19" fillId="0" borderId="11" xfId="4" applyFont="1" applyFill="1" applyBorder="1" applyAlignment="1">
      <alignment vertical="center" wrapText="1"/>
    </xf>
    <xf numFmtId="9" fontId="19" fillId="0" borderId="5" xfId="4" applyFont="1" applyFill="1" applyBorder="1" applyAlignment="1">
      <alignment vertical="center" wrapText="1"/>
    </xf>
    <xf numFmtId="9" fontId="63" fillId="0" borderId="11" xfId="4" applyFont="1" applyFill="1" applyBorder="1" applyAlignment="1">
      <alignment vertical="center" wrapText="1"/>
    </xf>
    <xf numFmtId="44" fontId="62" fillId="0" borderId="11" xfId="2" applyFont="1" applyFill="1" applyBorder="1" applyAlignment="1">
      <alignment horizontal="center" vertical="center" wrapText="1"/>
    </xf>
    <xf numFmtId="44" fontId="65" fillId="0" borderId="5" xfId="2" applyFont="1" applyFill="1" applyBorder="1" applyAlignment="1">
      <alignment horizontal="center" vertical="center" wrapText="1"/>
    </xf>
    <xf numFmtId="9" fontId="65" fillId="0" borderId="1" xfId="4" applyFont="1" applyFill="1" applyBorder="1" applyAlignment="1">
      <alignment horizontal="center" vertical="center" wrapText="1"/>
    </xf>
    <xf numFmtId="9" fontId="62" fillId="0" borderId="1" xfId="4" applyFont="1" applyBorder="1" applyAlignment="1">
      <alignment horizontal="center" vertical="center" wrapText="1"/>
    </xf>
    <xf numFmtId="9" fontId="65" fillId="0" borderId="22" xfId="4" applyFont="1" applyBorder="1" applyAlignment="1">
      <alignment horizontal="center" vertical="center"/>
    </xf>
    <xf numFmtId="44" fontId="5" fillId="0" borderId="22" xfId="2" applyFont="1" applyBorder="1" applyAlignment="1">
      <alignment horizontal="center" vertical="center"/>
    </xf>
    <xf numFmtId="9" fontId="65" fillId="0" borderId="11" xfId="4" applyFont="1" applyBorder="1" applyAlignment="1">
      <alignment horizontal="center" vertical="center" wrapText="1"/>
    </xf>
    <xf numFmtId="44" fontId="65" fillId="0" borderId="11" xfId="2" applyFont="1" applyBorder="1" applyAlignment="1">
      <alignment horizontal="center" vertical="center" wrapText="1"/>
    </xf>
    <xf numFmtId="9" fontId="66" fillId="0" borderId="11" xfId="4" applyFont="1" applyBorder="1" applyAlignment="1">
      <alignment horizontal="center" vertical="center" wrapText="1"/>
    </xf>
    <xf numFmtId="44" fontId="66" fillId="0" borderId="11" xfId="2" applyFont="1" applyBorder="1" applyAlignment="1">
      <alignment horizontal="center" vertical="center" wrapText="1"/>
    </xf>
    <xf numFmtId="9" fontId="65" fillId="0" borderId="1" xfId="4" applyFont="1" applyBorder="1" applyAlignment="1">
      <alignment horizontal="center" vertical="center" wrapText="1"/>
    </xf>
    <xf numFmtId="9" fontId="65" fillId="0" borderId="11" xfId="4" applyFont="1" applyFill="1" applyBorder="1" applyAlignment="1">
      <alignment horizontal="center" vertical="center" wrapText="1"/>
    </xf>
    <xf numFmtId="44" fontId="65" fillId="0" borderId="11" xfId="2" applyFont="1" applyFill="1" applyBorder="1" applyAlignment="1">
      <alignment horizontal="center" vertical="center" wrapText="1"/>
    </xf>
    <xf numFmtId="9" fontId="67" fillId="0" borderId="1" xfId="4" applyFont="1" applyBorder="1" applyAlignment="1">
      <alignment horizontal="center" vertical="center" wrapText="1"/>
    </xf>
    <xf numFmtId="9" fontId="43" fillId="0" borderId="1" xfId="4" applyFont="1" applyFill="1" applyBorder="1" applyAlignment="1">
      <alignment horizontal="center" vertical="top" wrapText="1"/>
    </xf>
    <xf numFmtId="9" fontId="68" fillId="0" borderId="5" xfId="4" applyFont="1" applyFill="1" applyBorder="1" applyAlignment="1">
      <alignment horizontal="center" vertical="center" wrapText="1"/>
    </xf>
    <xf numFmtId="44" fontId="69" fillId="0" borderId="5" xfId="2" applyFont="1" applyFill="1" applyBorder="1" applyAlignment="1">
      <alignment horizontal="center" vertical="center" wrapText="1"/>
    </xf>
    <xf numFmtId="44" fontId="70" fillId="0" borderId="5" xfId="2"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7" fillId="0" borderId="22"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9" fontId="0" fillId="0" borderId="22" xfId="10" applyFont="1" applyFill="1" applyBorder="1" applyAlignment="1">
      <alignment horizontal="center" vertical="center" wrapText="1"/>
    </xf>
    <xf numFmtId="9" fontId="0" fillId="0" borderId="11" xfId="10" applyFont="1" applyFill="1" applyBorder="1" applyAlignment="1">
      <alignment horizontal="center" vertical="center" wrapText="1"/>
    </xf>
    <xf numFmtId="9" fontId="0" fillId="0" borderId="5" xfId="1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5"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22" xfId="0" applyNumberFormat="1" applyFont="1" applyBorder="1" applyAlignment="1">
      <alignment horizontal="center" vertical="center" wrapText="1"/>
    </xf>
    <xf numFmtId="164" fontId="20" fillId="0" borderId="5" xfId="0" applyNumberFormat="1" applyFont="1" applyBorder="1" applyAlignment="1">
      <alignment horizontal="center" vertical="center" wrapText="1"/>
    </xf>
    <xf numFmtId="0" fontId="0" fillId="6" borderId="22"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5" xfId="0" applyFill="1" applyBorder="1" applyAlignment="1">
      <alignment horizontal="center" vertical="center" wrapText="1"/>
    </xf>
    <xf numFmtId="0" fontId="29" fillId="0" borderId="22" xfId="6" applyNumberFormat="1" applyFont="1" applyFill="1" applyBorder="1" applyAlignment="1">
      <alignment horizontal="center" vertical="center" wrapText="1"/>
    </xf>
    <xf numFmtId="0" fontId="29" fillId="0" borderId="5" xfId="6" applyNumberFormat="1"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169" fontId="29" fillId="0" borderId="1" xfId="6" applyNumberFormat="1" applyFont="1" applyFill="1" applyBorder="1" applyAlignment="1">
      <alignment horizontal="center" vertical="center" wrapText="1"/>
    </xf>
    <xf numFmtId="170" fontId="20" fillId="0"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19" fillId="0" borderId="1" xfId="0" applyFont="1" applyBorder="1" applyAlignment="1">
      <alignment horizontal="center" vertical="center" wrapText="1"/>
    </xf>
    <xf numFmtId="169" fontId="19" fillId="0" borderId="22" xfId="0" applyNumberFormat="1" applyFont="1" applyBorder="1" applyAlignment="1">
      <alignment horizontal="center" vertical="center" wrapText="1"/>
    </xf>
    <xf numFmtId="169" fontId="19" fillId="0" borderId="11" xfId="0" applyNumberFormat="1" applyFont="1" applyBorder="1" applyAlignment="1">
      <alignment horizontal="center" vertical="center" wrapText="1"/>
    </xf>
    <xf numFmtId="169" fontId="19" fillId="0" borderId="5" xfId="0" applyNumberFormat="1" applyFont="1" applyBorder="1" applyAlignment="1">
      <alignment horizontal="center" vertical="center" wrapText="1"/>
    </xf>
    <xf numFmtId="41" fontId="2" fillId="0" borderId="1" xfId="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5" xfId="0" applyFont="1" applyBorder="1" applyAlignment="1">
      <alignment horizontal="center" vertical="center" wrapText="1"/>
    </xf>
    <xf numFmtId="170" fontId="44" fillId="0" borderId="1" xfId="2" applyNumberFormat="1" applyFont="1" applyFill="1" applyBorder="1" applyAlignment="1">
      <alignment horizontal="center" vertical="center" wrapText="1"/>
    </xf>
    <xf numFmtId="0" fontId="2" fillId="0" borderId="22"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6" fontId="0" fillId="0" borderId="1" xfId="0" applyNumberFormat="1" applyBorder="1" applyAlignment="1">
      <alignment horizontal="center" vertical="center" wrapText="1"/>
    </xf>
    <xf numFmtId="0" fontId="27"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170" fontId="44" fillId="0" borderId="1" xfId="2" applyNumberFormat="1" applyFont="1" applyFill="1" applyBorder="1" applyAlignment="1">
      <alignment horizontal="right" vertical="center" wrapText="1"/>
    </xf>
    <xf numFmtId="0" fontId="2" fillId="0" borderId="22" xfId="7" applyFont="1" applyBorder="1" applyAlignment="1">
      <alignment horizontal="center" vertical="center" wrapText="1"/>
    </xf>
    <xf numFmtId="0" fontId="2" fillId="0" borderId="5" xfId="7" applyFont="1" applyBorder="1" applyAlignment="1">
      <alignment horizontal="center" vertical="center" wrapText="1"/>
    </xf>
    <xf numFmtId="0" fontId="21" fillId="0" borderId="1" xfId="7" applyFont="1" applyBorder="1" applyAlignment="1">
      <alignment horizontal="center" vertical="center" wrapText="1"/>
    </xf>
    <xf numFmtId="0" fontId="19" fillId="0" borderId="1" xfId="7" applyFont="1" applyBorder="1" applyAlignment="1">
      <alignment horizontal="center" vertical="center" wrapText="1"/>
    </xf>
    <xf numFmtId="1" fontId="19" fillId="0" borderId="1" xfId="7" applyNumberFormat="1" applyFont="1" applyBorder="1" applyAlignment="1">
      <alignment horizontal="center" vertical="center" wrapText="1"/>
    </xf>
    <xf numFmtId="0" fontId="2" fillId="0" borderId="11" xfId="7" applyFont="1" applyBorder="1" applyAlignment="1">
      <alignment horizontal="center" vertical="center" wrapText="1"/>
    </xf>
    <xf numFmtId="0" fontId="2" fillId="0" borderId="1" xfId="1"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19" fillId="5"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7" applyFont="1" applyBorder="1" applyAlignment="1">
      <alignment horizontal="center" vertical="center" wrapText="1"/>
    </xf>
    <xf numFmtId="0" fontId="2" fillId="0" borderId="1" xfId="8" applyFont="1" applyBorder="1" applyAlignment="1">
      <alignment horizontal="center" vertical="center" wrapText="1"/>
    </xf>
    <xf numFmtId="0" fontId="2" fillId="0" borderId="29" xfId="7" applyFont="1" applyBorder="1" applyAlignment="1">
      <alignment horizontal="center" vertical="center" wrapText="1"/>
    </xf>
    <xf numFmtId="164" fontId="2" fillId="0" borderId="1" xfId="7" applyNumberFormat="1" applyFont="1" applyBorder="1" applyAlignment="1">
      <alignment horizontal="center" vertical="center" wrapText="1"/>
    </xf>
    <xf numFmtId="0" fontId="2" fillId="6" borderId="1" xfId="7" applyFont="1" applyFill="1" applyBorder="1" applyAlignment="1">
      <alignment horizontal="center" vertical="center" wrapText="1"/>
    </xf>
    <xf numFmtId="0" fontId="19" fillId="0" borderId="1" xfId="8" applyFont="1" applyBorder="1" applyAlignment="1">
      <alignment horizontal="center" vertical="center" wrapText="1"/>
    </xf>
    <xf numFmtId="0" fontId="31" fillId="5" borderId="1" xfId="0" applyFont="1" applyFill="1" applyBorder="1" applyAlignment="1">
      <alignment horizontal="center" vertical="center" wrapText="1"/>
    </xf>
    <xf numFmtId="0" fontId="31" fillId="5" borderId="1" xfId="7"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9" fillId="6" borderId="1"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19" fillId="0" borderId="31" xfId="5" applyFont="1" applyBorder="1" applyAlignment="1">
      <alignment horizontal="center" vertical="center" wrapText="1"/>
    </xf>
    <xf numFmtId="0" fontId="19" fillId="0" borderId="4" xfId="5" applyFont="1" applyBorder="1" applyAlignment="1">
      <alignment horizontal="center" vertical="center" wrapText="1"/>
    </xf>
    <xf numFmtId="0" fontId="19" fillId="0" borderId="5" xfId="5" applyFont="1" applyBorder="1" applyAlignment="1">
      <alignment horizontal="center" vertical="center" wrapText="1"/>
    </xf>
    <xf numFmtId="0" fontId="19" fillId="0" borderId="1" xfId="5" applyFont="1" applyBorder="1" applyAlignment="1">
      <alignment horizontal="center" vertical="center" wrapText="1"/>
    </xf>
    <xf numFmtId="0" fontId="19" fillId="0" borderId="12" xfId="5" applyFont="1" applyBorder="1" applyAlignment="1">
      <alignment horizontal="center" vertical="center" wrapText="1"/>
    </xf>
    <xf numFmtId="0" fontId="19" fillId="0" borderId="19" xfId="5" applyFont="1" applyBorder="1" applyAlignment="1">
      <alignment horizontal="center" vertical="center" wrapText="1"/>
    </xf>
    <xf numFmtId="1" fontId="21" fillId="0" borderId="1"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47" fillId="5" borderId="1" xfId="0" applyNumberFormat="1" applyFont="1" applyFill="1" applyBorder="1" applyAlignment="1">
      <alignment horizontal="center" vertical="center" wrapText="1"/>
    </xf>
    <xf numFmtId="0" fontId="47"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48" fillId="5"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0" fillId="0" borderId="1" xfId="0" applyFont="1" applyBorder="1" applyAlignment="1">
      <alignment horizontal="center" vertical="center" textRotation="90" wrapText="1"/>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37" fillId="5"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10" fillId="2" borderId="2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1" xfId="5" applyFont="1" applyBorder="1" applyAlignment="1">
      <alignment horizontal="center" vertical="center" wrapText="1"/>
    </xf>
    <xf numFmtId="0" fontId="24" fillId="0" borderId="7"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1" fontId="47" fillId="5" borderId="1" xfId="0" applyNumberFormat="1" applyFont="1" applyFill="1" applyBorder="1" applyAlignment="1">
      <alignment horizontal="center" vertical="center" wrapText="1"/>
    </xf>
    <xf numFmtId="0" fontId="29" fillId="5" borderId="22" xfId="6" applyNumberFormat="1" applyFont="1" applyFill="1" applyBorder="1" applyAlignment="1">
      <alignment horizontal="center" vertical="center" wrapText="1"/>
    </xf>
    <xf numFmtId="0" fontId="29" fillId="5" borderId="5" xfId="6" applyNumberFormat="1"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7" fillId="5" borderId="12" xfId="0" applyFont="1" applyFill="1" applyBorder="1" applyAlignment="1">
      <alignment horizontal="center" vertical="center" wrapText="1"/>
    </xf>
    <xf numFmtId="0" fontId="37" fillId="5" borderId="19" xfId="0" applyFont="1" applyFill="1" applyBorder="1" applyAlignment="1">
      <alignment horizontal="center" vertical="center" wrapText="1"/>
    </xf>
    <xf numFmtId="0" fontId="19" fillId="0" borderId="1" xfId="0" applyFont="1" applyBorder="1" applyAlignment="1">
      <alignment horizontal="left" vertical="center" wrapText="1"/>
    </xf>
    <xf numFmtId="170" fontId="44" fillId="7" borderId="1" xfId="2" applyNumberFormat="1" applyFont="1" applyFill="1" applyBorder="1" applyAlignment="1">
      <alignment horizontal="center" vertical="center" wrapText="1"/>
    </xf>
    <xf numFmtId="170" fontId="44" fillId="5" borderId="1" xfId="2" applyNumberFormat="1" applyFont="1" applyFill="1" applyBorder="1" applyAlignment="1">
      <alignment horizontal="center" vertical="center" wrapText="1"/>
    </xf>
    <xf numFmtId="169" fontId="19" fillId="5" borderId="1" xfId="0" applyNumberFormat="1" applyFont="1" applyFill="1" applyBorder="1" applyAlignment="1">
      <alignment horizontal="center" vertical="center" wrapText="1"/>
    </xf>
    <xf numFmtId="1" fontId="18" fillId="5" borderId="1" xfId="0" applyNumberFormat="1"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9" fontId="68" fillId="0" borderId="2" xfId="4" applyFont="1" applyFill="1" applyBorder="1" applyAlignment="1">
      <alignment horizontal="center" vertical="center" wrapText="1"/>
    </xf>
    <xf numFmtId="9" fontId="68" fillId="0" borderId="3" xfId="4" applyFont="1" applyFill="1" applyBorder="1" applyAlignment="1">
      <alignment horizontal="center" vertical="center" wrapText="1"/>
    </xf>
    <xf numFmtId="9" fontId="68" fillId="0" borderId="4" xfId="4" applyFont="1" applyFill="1" applyBorder="1" applyAlignment="1">
      <alignment horizontal="center" vertical="center" wrapText="1"/>
    </xf>
    <xf numFmtId="2" fontId="68" fillId="0" borderId="2" xfId="4" applyNumberFormat="1" applyFont="1" applyFill="1" applyBorder="1" applyAlignment="1">
      <alignment horizontal="center" vertical="center" wrapText="1"/>
    </xf>
    <xf numFmtId="2" fontId="68" fillId="0" borderId="4" xfId="4" applyNumberFormat="1" applyFont="1" applyFill="1" applyBorder="1" applyAlignment="1">
      <alignment horizontal="center" vertical="center" wrapText="1"/>
    </xf>
    <xf numFmtId="9" fontId="62" fillId="0" borderId="2" xfId="0" applyNumberFormat="1" applyFont="1" applyBorder="1" applyAlignment="1">
      <alignment horizontal="center" vertical="center" wrapText="1"/>
    </xf>
    <xf numFmtId="9" fontId="62" fillId="0" borderId="3" xfId="0" applyNumberFormat="1" applyFont="1" applyBorder="1" applyAlignment="1">
      <alignment horizontal="center" vertical="center" wrapText="1"/>
    </xf>
    <xf numFmtId="9" fontId="62" fillId="0" borderId="4"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0" fontId="19" fillId="0" borderId="2"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4" xfId="7" applyFont="1" applyBorder="1" applyAlignment="1">
      <alignment horizontal="center" vertical="center" wrapText="1"/>
    </xf>
    <xf numFmtId="9" fontId="65" fillId="0" borderId="2" xfId="9" applyFont="1" applyFill="1" applyBorder="1" applyAlignment="1">
      <alignment horizontal="center" vertical="center" wrapText="1"/>
    </xf>
    <xf numFmtId="9" fontId="65" fillId="0" borderId="3" xfId="9" applyFont="1" applyFill="1" applyBorder="1" applyAlignment="1">
      <alignment horizontal="center" vertical="center" wrapText="1"/>
    </xf>
    <xf numFmtId="9" fontId="65" fillId="0" borderId="4" xfId="9" applyFont="1" applyFill="1" applyBorder="1" applyAlignment="1">
      <alignment horizontal="center" vertical="center" wrapText="1"/>
    </xf>
    <xf numFmtId="2" fontId="65" fillId="0" borderId="2" xfId="9" applyNumberFormat="1" applyFont="1" applyFill="1" applyBorder="1" applyAlignment="1">
      <alignment horizontal="center" vertical="center" wrapText="1"/>
    </xf>
    <xf numFmtId="2" fontId="65" fillId="0" borderId="4" xfId="9" applyNumberFormat="1" applyFont="1" applyFill="1" applyBorder="1" applyAlignment="1">
      <alignment horizontal="center" vertical="center" wrapText="1"/>
    </xf>
    <xf numFmtId="9" fontId="65" fillId="0" borderId="2" xfId="4" applyFont="1" applyFill="1" applyBorder="1" applyAlignment="1">
      <alignment horizontal="center" vertical="center" wrapText="1"/>
    </xf>
    <xf numFmtId="9" fontId="65" fillId="0" borderId="3" xfId="4" applyFont="1" applyFill="1" applyBorder="1" applyAlignment="1">
      <alignment horizontal="center" vertical="center" wrapText="1"/>
    </xf>
    <xf numFmtId="9" fontId="65" fillId="0" borderId="4" xfId="4" applyFont="1" applyFill="1" applyBorder="1" applyAlignment="1">
      <alignment horizontal="center" vertical="center" wrapText="1"/>
    </xf>
    <xf numFmtId="2" fontId="65" fillId="0" borderId="2" xfId="4" applyNumberFormat="1" applyFont="1" applyFill="1" applyBorder="1" applyAlignment="1">
      <alignment horizontal="center" vertical="center" wrapText="1"/>
    </xf>
    <xf numFmtId="2" fontId="65" fillId="0" borderId="4" xfId="4" applyNumberFormat="1"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5" xfId="0" applyFont="1" applyBorder="1" applyAlignment="1">
      <alignment horizontal="center" vertical="center" wrapText="1"/>
    </xf>
    <xf numFmtId="169" fontId="19" fillId="0" borderId="1" xfId="0" applyNumberFormat="1" applyFont="1" applyBorder="1" applyAlignment="1">
      <alignment horizontal="center" vertical="center" wrapText="1"/>
    </xf>
    <xf numFmtId="44" fontId="27" fillId="0" borderId="22" xfId="2" applyFont="1" applyFill="1" applyBorder="1" applyAlignment="1">
      <alignment horizontal="center" vertical="center" wrapText="1"/>
    </xf>
    <xf numFmtId="44" fontId="27" fillId="0" borderId="11" xfId="2" applyFont="1" applyFill="1" applyBorder="1" applyAlignment="1">
      <alignment horizontal="center" vertical="center" wrapText="1"/>
    </xf>
    <xf numFmtId="44" fontId="27" fillId="0" borderId="5" xfId="2" applyFont="1" applyFill="1" applyBorder="1" applyAlignment="1">
      <alignment horizontal="center" vertical="center" wrapText="1"/>
    </xf>
    <xf numFmtId="9" fontId="27" fillId="0" borderId="22" xfId="4" applyFont="1" applyFill="1" applyBorder="1" applyAlignment="1">
      <alignment horizontal="center" vertical="center" wrapText="1"/>
    </xf>
    <xf numFmtId="9" fontId="27" fillId="0" borderId="11" xfId="4" applyFont="1" applyFill="1" applyBorder="1" applyAlignment="1">
      <alignment horizontal="center" vertical="center" wrapText="1"/>
    </xf>
    <xf numFmtId="9" fontId="27" fillId="0" borderId="5" xfId="4" applyFont="1" applyFill="1" applyBorder="1" applyAlignment="1">
      <alignment horizontal="center" vertical="center" wrapText="1"/>
    </xf>
    <xf numFmtId="169" fontId="29" fillId="5" borderId="1" xfId="6" applyNumberFormat="1" applyFont="1" applyFill="1" applyBorder="1" applyAlignment="1">
      <alignment horizontal="center" vertical="center" wrapText="1"/>
    </xf>
    <xf numFmtId="170" fontId="20" fillId="5" borderId="1" xfId="2" applyNumberFormat="1" applyFont="1" applyFill="1" applyBorder="1" applyAlignment="1">
      <alignment horizontal="center" vertical="center" wrapText="1"/>
    </xf>
    <xf numFmtId="0" fontId="0" fillId="5" borderId="22"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19" fillId="0" borderId="7"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168" fontId="2" fillId="5"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2" fillId="6" borderId="22"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9" fillId="0" borderId="22" xfId="7" applyFont="1" applyBorder="1" applyAlignment="1">
      <alignment horizontal="center" vertical="center" wrapText="1"/>
    </xf>
    <xf numFmtId="0" fontId="19" fillId="0" borderId="5" xfId="7" applyFont="1" applyBorder="1" applyAlignment="1">
      <alignment horizontal="center" vertical="center" wrapText="1"/>
    </xf>
    <xf numFmtId="0" fontId="19" fillId="0" borderId="4" xfId="0" applyFont="1" applyBorder="1" applyAlignment="1">
      <alignment horizontal="center" vertical="center"/>
    </xf>
    <xf numFmtId="41" fontId="2" fillId="5" borderId="1" xfId="1" applyFont="1" applyFill="1" applyBorder="1" applyAlignment="1">
      <alignment horizontal="center" vertical="center" wrapText="1"/>
    </xf>
    <xf numFmtId="9" fontId="21" fillId="0" borderId="1" xfId="0" applyNumberFormat="1" applyFont="1" applyBorder="1" applyAlignment="1">
      <alignment horizontal="center" vertical="center" wrapText="1"/>
    </xf>
    <xf numFmtId="0" fontId="15" fillId="5" borderId="1" xfId="0" applyFont="1" applyFill="1" applyBorder="1" applyAlignment="1">
      <alignment horizontal="center" vertical="center" wrapText="1"/>
    </xf>
    <xf numFmtId="2" fontId="2" fillId="0" borderId="22" xfId="0" applyNumberFormat="1" applyFont="1" applyBorder="1" applyAlignment="1">
      <alignment horizontal="center" vertical="center"/>
    </xf>
    <xf numFmtId="2" fontId="2" fillId="0" borderId="5" xfId="0" applyNumberFormat="1" applyFont="1" applyBorder="1" applyAlignment="1">
      <alignment horizontal="center" vertical="center"/>
    </xf>
    <xf numFmtId="9" fontId="15"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1" fontId="16" fillId="5" borderId="1" xfId="0" applyNumberFormat="1" applyFont="1" applyFill="1" applyBorder="1" applyAlignment="1">
      <alignment horizontal="center" vertical="center" wrapText="1"/>
    </xf>
    <xf numFmtId="1" fontId="15"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20" fillId="0" borderId="1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wrapText="1"/>
    </xf>
    <xf numFmtId="170" fontId="44" fillId="0" borderId="22" xfId="2" applyNumberFormat="1" applyFont="1" applyFill="1" applyBorder="1" applyAlignment="1">
      <alignment horizontal="center" vertical="center" wrapText="1"/>
    </xf>
    <xf numFmtId="170" fontId="44" fillId="0" borderId="11" xfId="2" applyNumberFormat="1" applyFont="1" applyFill="1" applyBorder="1" applyAlignment="1">
      <alignment horizontal="center" vertical="center" wrapText="1"/>
    </xf>
    <xf numFmtId="170" fontId="44" fillId="0" borderId="5" xfId="2" applyNumberFormat="1" applyFont="1" applyFill="1" applyBorder="1" applyAlignment="1">
      <alignment horizontal="center" vertical="center" wrapText="1"/>
    </xf>
    <xf numFmtId="44" fontId="2" fillId="0" borderId="22" xfId="2" applyFont="1" applyBorder="1" applyAlignment="1">
      <alignment horizontal="center" vertical="center" wrapText="1"/>
    </xf>
    <xf numFmtId="44" fontId="2" fillId="0" borderId="11" xfId="2" applyFont="1" applyBorder="1" applyAlignment="1">
      <alignment horizontal="center" vertical="center" wrapText="1"/>
    </xf>
    <xf numFmtId="44" fontId="2" fillId="0" borderId="5" xfId="2" applyFont="1" applyBorder="1" applyAlignment="1">
      <alignment horizontal="center" vertical="center" wrapText="1"/>
    </xf>
    <xf numFmtId="1" fontId="19" fillId="0" borderId="1"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7" applyFont="1" applyFill="1" applyBorder="1" applyAlignment="1">
      <alignment horizontal="center" vertical="center" wrapText="1"/>
    </xf>
    <xf numFmtId="1" fontId="19" fillId="5" borderId="1" xfId="7" applyNumberFormat="1" applyFont="1" applyFill="1" applyBorder="1" applyAlignment="1">
      <alignment horizontal="center" vertical="center" wrapText="1"/>
    </xf>
    <xf numFmtId="0" fontId="21" fillId="5" borderId="1" xfId="7" applyFont="1" applyFill="1" applyBorder="1" applyAlignment="1">
      <alignment horizontal="center" vertical="center" wrapText="1"/>
    </xf>
    <xf numFmtId="0" fontId="19" fillId="0" borderId="29" xfId="7" applyFont="1" applyBorder="1" applyAlignment="1">
      <alignment horizontal="center" vertical="center" wrapText="1"/>
    </xf>
    <xf numFmtId="0" fontId="19" fillId="0" borderId="11" xfId="7" applyFont="1" applyBorder="1" applyAlignment="1">
      <alignment horizontal="center" vertical="center" wrapText="1"/>
    </xf>
    <xf numFmtId="44" fontId="2" fillId="0" borderId="22" xfId="2" applyFont="1" applyFill="1" applyBorder="1" applyAlignment="1">
      <alignment horizontal="center" vertical="center" wrapText="1"/>
    </xf>
    <xf numFmtId="44" fontId="2" fillId="0" borderId="11" xfId="2" applyFont="1" applyFill="1" applyBorder="1" applyAlignment="1">
      <alignment horizontal="center" vertical="center" wrapText="1"/>
    </xf>
    <xf numFmtId="44" fontId="2" fillId="0" borderId="5" xfId="2" applyFont="1" applyFill="1" applyBorder="1" applyAlignment="1">
      <alignment horizontal="center" vertical="center" wrapText="1"/>
    </xf>
    <xf numFmtId="9" fontId="2" fillId="0" borderId="22" xfId="4" applyFont="1" applyFill="1" applyBorder="1" applyAlignment="1">
      <alignment horizontal="center" vertical="center" wrapText="1"/>
    </xf>
    <xf numFmtId="9" fontId="2" fillId="0" borderId="11" xfId="4" applyFont="1" applyFill="1" applyBorder="1" applyAlignment="1">
      <alignment horizontal="center" vertical="center" wrapText="1"/>
    </xf>
    <xf numFmtId="9" fontId="2" fillId="0" borderId="5" xfId="4" applyFont="1" applyFill="1" applyBorder="1" applyAlignment="1">
      <alignment horizontal="center" vertical="center" wrapText="1"/>
    </xf>
    <xf numFmtId="1" fontId="21" fillId="5" borderId="1" xfId="0" applyNumberFormat="1" applyFont="1" applyFill="1" applyBorder="1" applyAlignment="1">
      <alignment horizontal="center" vertical="center" wrapText="1"/>
    </xf>
    <xf numFmtId="44" fontId="19" fillId="0" borderId="22" xfId="2" applyFont="1" applyFill="1" applyBorder="1" applyAlignment="1">
      <alignment horizontal="center" vertical="center" wrapText="1"/>
    </xf>
    <xf numFmtId="44" fontId="19" fillId="0" borderId="11" xfId="2" applyFont="1" applyFill="1" applyBorder="1" applyAlignment="1">
      <alignment horizontal="center" vertical="center" wrapText="1"/>
    </xf>
    <xf numFmtId="44" fontId="19" fillId="0" borderId="5" xfId="2"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5" xfId="0" applyFont="1" applyFill="1" applyBorder="1" applyAlignment="1">
      <alignment horizontal="center" vertical="center" wrapText="1"/>
    </xf>
    <xf numFmtId="9" fontId="10" fillId="11" borderId="22" xfId="4" applyFont="1" applyFill="1" applyBorder="1" applyAlignment="1">
      <alignment horizontal="center" vertical="center" wrapText="1"/>
    </xf>
    <xf numFmtId="9" fontId="10" fillId="11" borderId="5" xfId="4" applyFont="1" applyFill="1" applyBorder="1" applyAlignment="1">
      <alignment horizontal="center" vertical="center" wrapText="1"/>
    </xf>
    <xf numFmtId="1" fontId="15" fillId="0" borderId="22" xfId="0" applyNumberFormat="1" applyFont="1" applyBorder="1" applyAlignment="1">
      <alignment horizontal="center" vertical="center" wrapText="1"/>
    </xf>
    <xf numFmtId="1" fontId="15" fillId="0" borderId="11"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9" fontId="15" fillId="0" borderId="22" xfId="4" applyFont="1" applyBorder="1" applyAlignment="1">
      <alignment horizontal="center" vertical="center" wrapText="1"/>
    </xf>
    <xf numFmtId="9" fontId="15" fillId="0" borderId="11" xfId="4" applyFont="1" applyBorder="1" applyAlignment="1">
      <alignment horizontal="center" vertical="center" wrapText="1"/>
    </xf>
    <xf numFmtId="9" fontId="15" fillId="0" borderId="5" xfId="4" applyFont="1" applyBorder="1" applyAlignment="1">
      <alignment horizontal="center" vertical="center" wrapText="1"/>
    </xf>
    <xf numFmtId="9" fontId="2" fillId="0" borderId="22" xfId="4" applyFont="1" applyBorder="1" applyAlignment="1">
      <alignment horizontal="center" vertical="center" wrapText="1"/>
    </xf>
    <xf numFmtId="9" fontId="2" fillId="0" borderId="11" xfId="4" applyFont="1" applyBorder="1" applyAlignment="1">
      <alignment horizontal="center" vertical="center" wrapText="1"/>
    </xf>
    <xf numFmtId="9" fontId="2" fillId="0" borderId="5" xfId="4" applyFont="1" applyBorder="1" applyAlignment="1">
      <alignment horizontal="center" vertical="center" wrapText="1"/>
    </xf>
    <xf numFmtId="44" fontId="25" fillId="0" borderId="22" xfId="2" applyFont="1" applyBorder="1" applyAlignment="1">
      <alignment horizontal="center" vertical="center" wrapText="1"/>
    </xf>
    <xf numFmtId="44" fontId="25" fillId="0" borderId="11" xfId="2" applyFont="1" applyBorder="1" applyAlignment="1">
      <alignment horizontal="center" vertical="center" wrapText="1"/>
    </xf>
    <xf numFmtId="44" fontId="25" fillId="0" borderId="5" xfId="2" applyFont="1" applyBorder="1" applyAlignment="1">
      <alignment horizontal="center" vertical="center" wrapText="1"/>
    </xf>
    <xf numFmtId="9" fontId="25" fillId="0" borderId="22" xfId="4" applyFont="1" applyBorder="1" applyAlignment="1">
      <alignment horizontal="center" vertical="center" wrapText="1"/>
    </xf>
    <xf numFmtId="9" fontId="25" fillId="0" borderId="11" xfId="4" applyFont="1" applyBorder="1" applyAlignment="1">
      <alignment horizontal="center" vertical="center" wrapText="1"/>
    </xf>
    <xf numFmtId="9" fontId="25" fillId="0" borderId="5" xfId="4" applyFont="1" applyBorder="1" applyAlignment="1">
      <alignment horizontal="center" vertical="center" wrapText="1"/>
    </xf>
    <xf numFmtId="9" fontId="19" fillId="0" borderId="22" xfId="4" applyFont="1" applyFill="1" applyBorder="1" applyAlignment="1">
      <alignment horizontal="center" vertical="center" wrapText="1"/>
    </xf>
    <xf numFmtId="9" fontId="19" fillId="0" borderId="11" xfId="4" applyFont="1" applyFill="1" applyBorder="1" applyAlignment="1">
      <alignment horizontal="center" vertical="center" wrapText="1"/>
    </xf>
    <xf numFmtId="2" fontId="10" fillId="0" borderId="2" xfId="4" applyNumberFormat="1" applyFont="1" applyFill="1" applyBorder="1" applyAlignment="1">
      <alignment horizontal="center" vertical="center" wrapText="1"/>
    </xf>
    <xf numFmtId="2" fontId="10" fillId="0" borderId="3" xfId="4" applyNumberFormat="1" applyFont="1" applyFill="1" applyBorder="1" applyAlignment="1">
      <alignment horizontal="center" vertical="center" wrapText="1"/>
    </xf>
    <xf numFmtId="2" fontId="10" fillId="0" borderId="4" xfId="4" applyNumberFormat="1" applyFont="1" applyFill="1" applyBorder="1" applyAlignment="1">
      <alignment horizontal="center" vertical="center" wrapText="1"/>
    </xf>
    <xf numFmtId="9" fontId="65" fillId="0" borderId="2" xfId="0" applyNumberFormat="1" applyFont="1" applyBorder="1" applyAlignment="1">
      <alignment horizontal="center" vertical="center"/>
    </xf>
    <xf numFmtId="9" fontId="65" fillId="0" borderId="3" xfId="0" applyNumberFormat="1" applyFont="1" applyBorder="1" applyAlignment="1">
      <alignment horizontal="center" vertical="center"/>
    </xf>
    <xf numFmtId="9" fontId="65" fillId="0" borderId="4" xfId="0" applyNumberFormat="1" applyFont="1" applyBorder="1" applyAlignment="1">
      <alignment horizontal="center" vertical="center"/>
    </xf>
    <xf numFmtId="2" fontId="65" fillId="0" borderId="2" xfId="0" applyNumberFormat="1" applyFont="1" applyBorder="1" applyAlignment="1">
      <alignment horizontal="center" vertical="center"/>
    </xf>
    <xf numFmtId="2" fontId="65" fillId="0" borderId="4" xfId="0" applyNumberFormat="1" applyFont="1" applyBorder="1" applyAlignment="1">
      <alignment horizontal="center" vertical="center"/>
    </xf>
    <xf numFmtId="0" fontId="53" fillId="5" borderId="22" xfId="0" applyFont="1" applyFill="1" applyBorder="1" applyAlignment="1">
      <alignment horizontal="center" vertical="center" wrapText="1"/>
    </xf>
    <xf numFmtId="0" fontId="53" fillId="5" borderId="5" xfId="0" applyFont="1" applyFill="1" applyBorder="1" applyAlignment="1">
      <alignment horizontal="center" vertical="center" wrapText="1"/>
    </xf>
    <xf numFmtId="0" fontId="61" fillId="11" borderId="33" xfId="0" applyFont="1" applyFill="1" applyBorder="1" applyAlignment="1">
      <alignment horizontal="center" vertical="center" wrapText="1"/>
    </xf>
    <xf numFmtId="0" fontId="61" fillId="11" borderId="34" xfId="0" applyFont="1" applyFill="1" applyBorder="1" applyAlignment="1">
      <alignment horizontal="center" vertical="center" wrapText="1"/>
    </xf>
    <xf numFmtId="44" fontId="19" fillId="0" borderId="33" xfId="2" applyFont="1" applyBorder="1" applyAlignment="1">
      <alignment horizontal="center" vertical="center" wrapText="1"/>
    </xf>
    <xf numFmtId="44" fontId="19" fillId="0" borderId="11" xfId="2" applyFont="1" applyBorder="1" applyAlignment="1">
      <alignment horizontal="center" vertical="center" wrapText="1"/>
    </xf>
    <xf numFmtId="44" fontId="19" fillId="0" borderId="5" xfId="2" applyFont="1" applyBorder="1" applyAlignment="1">
      <alignment horizontal="center" vertical="center" wrapText="1"/>
    </xf>
    <xf numFmtId="9" fontId="19" fillId="0" borderId="33" xfId="4" applyFont="1" applyBorder="1" applyAlignment="1">
      <alignment horizontal="center" vertical="center" wrapText="1"/>
    </xf>
    <xf numFmtId="9" fontId="19" fillId="0" borderId="11" xfId="4" applyFont="1" applyBorder="1" applyAlignment="1">
      <alignment horizontal="center" vertical="center" wrapText="1"/>
    </xf>
    <xf numFmtId="9" fontId="19" fillId="0" borderId="5" xfId="4"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44" fontId="61" fillId="11" borderId="33" xfId="2" applyFont="1" applyFill="1" applyBorder="1" applyAlignment="1">
      <alignment horizontal="center" vertical="center" wrapText="1"/>
    </xf>
    <xf numFmtId="44" fontId="61" fillId="11" borderId="34" xfId="2"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9" fontId="65" fillId="0" borderId="2" xfId="5" applyNumberFormat="1" applyFont="1" applyBorder="1" applyAlignment="1">
      <alignment horizontal="center" vertical="center" wrapText="1"/>
    </xf>
    <xf numFmtId="9" fontId="65" fillId="0" borderId="3" xfId="5" applyNumberFormat="1" applyFont="1" applyBorder="1" applyAlignment="1">
      <alignment horizontal="center" vertical="center" wrapText="1"/>
    </xf>
    <xf numFmtId="9" fontId="65" fillId="0" borderId="4" xfId="5" applyNumberFormat="1" applyFont="1" applyBorder="1" applyAlignment="1">
      <alignment horizontal="center" vertical="center" wrapText="1"/>
    </xf>
    <xf numFmtId="2" fontId="65" fillId="0" borderId="2" xfId="5" applyNumberFormat="1" applyFont="1" applyBorder="1" applyAlignment="1">
      <alignment horizontal="center" vertical="center" wrapText="1"/>
    </xf>
    <xf numFmtId="2" fontId="65" fillId="0" borderId="4" xfId="5"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9" fontId="25" fillId="0" borderId="3" xfId="0" applyNumberFormat="1" applyFont="1" applyBorder="1" applyAlignment="1">
      <alignment horizontal="center" vertical="center" wrapText="1"/>
    </xf>
    <xf numFmtId="9" fontId="25" fillId="0" borderId="4" xfId="0" applyNumberFormat="1" applyFont="1" applyBorder="1" applyAlignment="1">
      <alignment horizontal="center" vertical="center" wrapText="1"/>
    </xf>
    <xf numFmtId="2" fontId="25" fillId="0" borderId="2" xfId="0" applyNumberFormat="1" applyFont="1" applyBorder="1" applyAlignment="1">
      <alignment horizontal="center" vertical="center" wrapText="1"/>
    </xf>
    <xf numFmtId="2" fontId="25" fillId="0" borderId="4"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2" fontId="13" fillId="0" borderId="2" xfId="0" applyNumberFormat="1" applyFont="1" applyBorder="1" applyAlignment="1">
      <alignment horizontal="center" vertical="center" wrapText="1"/>
    </xf>
    <xf numFmtId="2" fontId="13" fillId="0" borderId="4" xfId="0" applyNumberFormat="1" applyFont="1" applyBorder="1" applyAlignment="1">
      <alignment horizontal="center" vertical="center" wrapText="1"/>
    </xf>
    <xf numFmtId="169" fontId="44" fillId="8" borderId="1" xfId="6" applyNumberFormat="1" applyFont="1" applyFill="1" applyBorder="1" applyAlignment="1">
      <alignment horizontal="center" vertical="center" wrapText="1"/>
    </xf>
    <xf numFmtId="0" fontId="43" fillId="0" borderId="1" xfId="0" applyFont="1" applyBorder="1" applyAlignment="1">
      <alignment horizontal="center" vertical="center"/>
    </xf>
    <xf numFmtId="169" fontId="44" fillId="0" borderId="1" xfId="6" applyNumberFormat="1" applyFont="1" applyFill="1" applyBorder="1" applyAlignment="1">
      <alignment horizontal="center" vertical="center" wrapText="1"/>
    </xf>
    <xf numFmtId="169" fontId="21" fillId="0" borderId="1" xfId="0" applyNumberFormat="1" applyFont="1" applyBorder="1" applyAlignment="1">
      <alignment horizontal="center" vertical="center" wrapText="1"/>
    </xf>
    <xf numFmtId="170" fontId="21" fillId="0" borderId="1" xfId="2" applyNumberFormat="1" applyFont="1" applyFill="1" applyBorder="1" applyAlignment="1">
      <alignment horizontal="center" vertical="center" wrapText="1"/>
    </xf>
    <xf numFmtId="0" fontId="0" fillId="6" borderId="1" xfId="0" applyFill="1" applyBorder="1" applyAlignment="1">
      <alignment horizontal="center" vertical="center" wrapText="1"/>
    </xf>
    <xf numFmtId="170" fontId="21" fillId="0" borderId="1" xfId="2" applyNumberFormat="1" applyFont="1" applyBorder="1" applyAlignment="1">
      <alignment horizontal="center" vertical="center" wrapText="1"/>
    </xf>
    <xf numFmtId="9" fontId="29" fillId="0" borderId="22" xfId="4" applyFont="1" applyFill="1" applyBorder="1" applyAlignment="1">
      <alignment horizontal="center" vertical="center" wrapText="1"/>
    </xf>
    <xf numFmtId="9" fontId="29" fillId="0" borderId="5" xfId="4" applyFont="1" applyFill="1" applyBorder="1" applyAlignment="1">
      <alignment horizontal="center" vertical="center" wrapText="1"/>
    </xf>
    <xf numFmtId="9" fontId="20" fillId="0" borderId="22" xfId="4" applyFont="1" applyFill="1" applyBorder="1" applyAlignment="1">
      <alignment horizontal="center" vertical="center" wrapText="1"/>
    </xf>
    <xf numFmtId="9" fontId="20" fillId="0" borderId="11" xfId="4" applyFont="1" applyFill="1" applyBorder="1" applyAlignment="1">
      <alignment horizontal="center" vertical="center" wrapText="1"/>
    </xf>
    <xf numFmtId="9" fontId="20" fillId="0" borderId="5" xfId="4" applyFont="1" applyFill="1" applyBorder="1" applyAlignment="1">
      <alignment horizontal="center" vertical="center" wrapText="1"/>
    </xf>
    <xf numFmtId="170" fontId="20" fillId="0" borderId="22" xfId="2" applyNumberFormat="1" applyFont="1" applyFill="1" applyBorder="1" applyAlignment="1">
      <alignment horizontal="center" vertical="center" wrapText="1"/>
    </xf>
    <xf numFmtId="170" fontId="20" fillId="0" borderId="11" xfId="2" applyNumberFormat="1" applyFont="1" applyFill="1" applyBorder="1" applyAlignment="1">
      <alignment horizontal="center" vertical="center" wrapText="1"/>
    </xf>
    <xf numFmtId="170" fontId="20" fillId="0" borderId="5" xfId="2" applyNumberFormat="1" applyFont="1" applyFill="1" applyBorder="1" applyAlignment="1">
      <alignment horizontal="center" vertical="center" wrapText="1"/>
    </xf>
    <xf numFmtId="10" fontId="29" fillId="0" borderId="1" xfId="4" applyNumberFormat="1" applyFont="1" applyFill="1" applyBorder="1" applyAlignment="1">
      <alignment horizontal="center" vertical="center" wrapText="1"/>
    </xf>
    <xf numFmtId="166" fontId="2" fillId="0" borderId="0" xfId="0" applyNumberFormat="1" applyFont="1" applyAlignment="1">
      <alignment vertical="center" wrapText="1"/>
    </xf>
    <xf numFmtId="9" fontId="2" fillId="0" borderId="0" xfId="4" applyFont="1" applyAlignment="1">
      <alignment vertical="center" wrapText="1"/>
    </xf>
    <xf numFmtId="10" fontId="10" fillId="0" borderId="0" xfId="4" applyNumberFormat="1" applyFont="1" applyAlignment="1">
      <alignment vertical="center" wrapText="1"/>
    </xf>
    <xf numFmtId="9" fontId="10" fillId="0" borderId="0" xfId="4" applyFont="1" applyAlignment="1">
      <alignment vertical="center" wrapText="1"/>
    </xf>
    <xf numFmtId="9" fontId="71" fillId="0" borderId="5" xfId="4" applyFont="1" applyFill="1" applyBorder="1" applyAlignment="1">
      <alignment horizontal="center" vertical="center" wrapText="1"/>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9" fontId="64" fillId="0" borderId="1" xfId="4" applyFont="1" applyBorder="1" applyAlignment="1">
      <alignment horizontal="center" vertical="center" wrapText="1"/>
    </xf>
    <xf numFmtId="0" fontId="10" fillId="6" borderId="2" xfId="7" applyFont="1" applyFill="1" applyBorder="1" applyAlignment="1">
      <alignment horizontal="center" vertical="center" wrapText="1"/>
    </xf>
    <xf numFmtId="0" fontId="10" fillId="6" borderId="3" xfId="7" applyFont="1" applyFill="1" applyBorder="1" applyAlignment="1">
      <alignment horizontal="center" vertical="center" wrapText="1"/>
    </xf>
    <xf numFmtId="0" fontId="10" fillId="6" borderId="4" xfId="7" applyFont="1" applyFill="1" applyBorder="1" applyAlignment="1">
      <alignment horizontal="center" vertical="center" wrapText="1"/>
    </xf>
    <xf numFmtId="9" fontId="19" fillId="0" borderId="22" xfId="4"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44" fontId="10" fillId="0" borderId="11" xfId="2" applyFont="1" applyFill="1" applyBorder="1" applyAlignment="1">
      <alignment horizontal="center" vertical="center" wrapText="1"/>
    </xf>
    <xf numFmtId="9" fontId="10" fillId="0" borderId="11" xfId="4" applyFont="1" applyFill="1" applyBorder="1" applyAlignment="1">
      <alignment horizontal="center" vertical="center" wrapText="1"/>
    </xf>
    <xf numFmtId="9" fontId="27" fillId="0" borderId="1" xfId="4" applyFont="1" applyBorder="1" applyAlignment="1">
      <alignment horizontal="center" vertical="center" wrapText="1"/>
    </xf>
    <xf numFmtId="166" fontId="10" fillId="0" borderId="6" xfId="0" applyNumberFormat="1" applyFont="1" applyBorder="1" applyAlignment="1">
      <alignment horizontal="center" vertical="center" wrapText="1"/>
    </xf>
    <xf numFmtId="166" fontId="10" fillId="0" borderId="0" xfId="0" applyNumberFormat="1" applyFont="1" applyAlignment="1">
      <alignment vertical="center" wrapText="1"/>
    </xf>
    <xf numFmtId="9" fontId="13" fillId="0" borderId="0" xfId="4" applyFont="1" applyBorder="1" applyAlignment="1">
      <alignment horizontal="center" vertical="center" wrapText="1"/>
    </xf>
    <xf numFmtId="9" fontId="13" fillId="0" borderId="37" xfId="4" applyFont="1" applyBorder="1" applyAlignment="1">
      <alignment horizontal="center" vertical="center" wrapText="1"/>
    </xf>
    <xf numFmtId="166" fontId="10" fillId="0" borderId="37" xfId="2" applyNumberFormat="1" applyFont="1" applyBorder="1" applyAlignment="1">
      <alignment horizontal="center" vertical="center" wrapText="1"/>
    </xf>
    <xf numFmtId="9" fontId="10" fillId="0" borderId="38" xfId="4" applyFont="1" applyBorder="1" applyAlignment="1">
      <alignment horizontal="center" vertical="center" wrapText="1"/>
    </xf>
    <xf numFmtId="166" fontId="10" fillId="0" borderId="0" xfId="2" applyNumberFormat="1" applyFont="1" applyBorder="1" applyAlignment="1">
      <alignment horizontal="center" vertical="center" wrapText="1"/>
    </xf>
    <xf numFmtId="9" fontId="10" fillId="0" borderId="39" xfId="4" applyFont="1" applyBorder="1" applyAlignment="1">
      <alignment horizontal="center" vertical="center" wrapText="1"/>
    </xf>
    <xf numFmtId="9" fontId="13" fillId="0" borderId="41" xfId="4" applyFont="1" applyBorder="1" applyAlignment="1">
      <alignment horizontal="center" vertical="center" wrapText="1"/>
    </xf>
    <xf numFmtId="166" fontId="10" fillId="0" borderId="41" xfId="2" applyNumberFormat="1" applyFont="1" applyBorder="1" applyAlignment="1">
      <alignment horizontal="center" vertical="center" wrapText="1"/>
    </xf>
    <xf numFmtId="9" fontId="10" fillId="0" borderId="42" xfId="4" applyFont="1" applyBorder="1" applyAlignment="1">
      <alignment horizontal="center" vertical="center" wrapText="1"/>
    </xf>
    <xf numFmtId="9" fontId="19" fillId="0" borderId="0" xfId="4"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9" fontId="13" fillId="0" borderId="43" xfId="4" applyFont="1" applyBorder="1" applyAlignment="1">
      <alignment horizontal="center" vertical="center" wrapText="1"/>
    </xf>
    <xf numFmtId="9" fontId="13" fillId="0" borderId="44" xfId="4" applyFont="1" applyBorder="1" applyAlignment="1">
      <alignment horizontal="center" vertical="center" wrapText="1"/>
    </xf>
    <xf numFmtId="9" fontId="13" fillId="0" borderId="45" xfId="4" applyFont="1" applyBorder="1" applyAlignment="1">
      <alignment horizontal="center" vertical="center" wrapText="1"/>
    </xf>
    <xf numFmtId="9" fontId="9" fillId="0" borderId="43" xfId="4" applyFont="1" applyBorder="1" applyAlignment="1">
      <alignment horizontal="center" vertical="center" wrapText="1"/>
    </xf>
    <xf numFmtId="9" fontId="9" fillId="0" borderId="44" xfId="4" applyFont="1" applyBorder="1" applyAlignment="1">
      <alignment horizontal="center" vertical="center" wrapText="1"/>
    </xf>
    <xf numFmtId="9" fontId="9" fillId="0" borderId="45" xfId="4" applyFont="1" applyBorder="1" applyAlignment="1">
      <alignment horizontal="center" vertical="center" wrapText="1"/>
    </xf>
    <xf numFmtId="9" fontId="9" fillId="0" borderId="43" xfId="4" applyFont="1" applyBorder="1" applyAlignment="1">
      <alignment horizontal="center" vertical="center" wrapText="1"/>
    </xf>
    <xf numFmtId="9" fontId="9" fillId="0" borderId="44" xfId="4" applyFont="1" applyBorder="1" applyAlignment="1">
      <alignment horizontal="center" vertical="center" wrapText="1"/>
    </xf>
    <xf numFmtId="9" fontId="9" fillId="0" borderId="45" xfId="4" applyFont="1" applyBorder="1" applyAlignment="1">
      <alignment horizontal="center" vertical="center" wrapText="1"/>
    </xf>
    <xf numFmtId="166" fontId="10" fillId="0" borderId="46" xfId="0" applyNumberFormat="1" applyFont="1" applyBorder="1" applyAlignment="1">
      <alignment vertical="center" wrapText="1"/>
    </xf>
    <xf numFmtId="166" fontId="10" fillId="0" borderId="35" xfId="0" applyNumberFormat="1" applyFont="1" applyBorder="1" applyAlignment="1">
      <alignment vertical="center" wrapText="1"/>
    </xf>
    <xf numFmtId="0" fontId="61" fillId="0" borderId="39" xfId="0" applyFont="1" applyBorder="1" applyAlignment="1">
      <alignment horizontal="center" vertical="center" wrapText="1"/>
    </xf>
    <xf numFmtId="1" fontId="2" fillId="0" borderId="0" xfId="0" applyNumberFormat="1" applyFont="1" applyFill="1" applyAlignment="1">
      <alignment horizontal="center" vertical="center" wrapText="1"/>
    </xf>
    <xf numFmtId="0" fontId="61"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38"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61" fillId="0" borderId="42" xfId="0" applyFont="1" applyBorder="1" applyAlignment="1">
      <alignment horizontal="center" vertical="center" wrapText="1"/>
    </xf>
    <xf numFmtId="44" fontId="2" fillId="0" borderId="22" xfId="2" applyFont="1" applyBorder="1" applyAlignment="1">
      <alignment horizontal="center" vertical="center"/>
    </xf>
    <xf numFmtId="44" fontId="2" fillId="0" borderId="11" xfId="2" applyFont="1" applyBorder="1" applyAlignment="1">
      <alignment horizontal="center" vertical="center"/>
    </xf>
    <xf numFmtId="44" fontId="2" fillId="0" borderId="5" xfId="2" applyFont="1" applyBorder="1" applyAlignment="1">
      <alignment horizontal="center" vertical="center"/>
    </xf>
  </cellXfs>
  <cellStyles count="36">
    <cellStyle name="BodyStyle" xfId="30" xr:uid="{00000000-0005-0000-0000-000000000000}"/>
    <cellStyle name="HeaderStyle" xfId="29" xr:uid="{00000000-0005-0000-0000-000001000000}"/>
    <cellStyle name="Millares" xfId="17" builtinId="3"/>
    <cellStyle name="Millares [0]" xfId="1" builtinId="6"/>
    <cellStyle name="Millares [0] 2" xfId="12" xr:uid="{00000000-0005-0000-0000-000004000000}"/>
    <cellStyle name="Millares [0] 2 2" xfId="23" xr:uid="{00000000-0005-0000-0000-000005000000}"/>
    <cellStyle name="Millares [0] 3" xfId="18" xr:uid="{00000000-0005-0000-0000-000006000000}"/>
    <cellStyle name="Millares 2" xfId="28" xr:uid="{00000000-0005-0000-0000-000007000000}"/>
    <cellStyle name="Millares 3" xfId="32" xr:uid="{00000000-0005-0000-0000-000008000000}"/>
    <cellStyle name="Millares 4" xfId="34" xr:uid="{00000000-0005-0000-0000-000009000000}"/>
    <cellStyle name="Moneda" xfId="2" builtinId="4"/>
    <cellStyle name="Moneda [0]" xfId="3" builtinId="7"/>
    <cellStyle name="Moneda [0] 2" xfId="14" xr:uid="{00000000-0005-0000-0000-00000C000000}"/>
    <cellStyle name="Moneda [0] 2 2" xfId="25" xr:uid="{00000000-0005-0000-0000-00000D000000}"/>
    <cellStyle name="Moneda [0] 3" xfId="20" xr:uid="{00000000-0005-0000-0000-00000E000000}"/>
    <cellStyle name="Moneda 2" xfId="13" xr:uid="{00000000-0005-0000-0000-00000F000000}"/>
    <cellStyle name="Moneda 2 2" xfId="6" xr:uid="{00000000-0005-0000-0000-000010000000}"/>
    <cellStyle name="Moneda 2 2 2" xfId="15" xr:uid="{00000000-0005-0000-0000-000011000000}"/>
    <cellStyle name="Moneda 2 2 2 2" xfId="26" xr:uid="{00000000-0005-0000-0000-000012000000}"/>
    <cellStyle name="Moneda 2 2 3" xfId="21" xr:uid="{00000000-0005-0000-0000-000013000000}"/>
    <cellStyle name="Moneda 2 3" xfId="24" xr:uid="{00000000-0005-0000-0000-000014000000}"/>
    <cellStyle name="Moneda 3" xfId="16" xr:uid="{00000000-0005-0000-0000-000015000000}"/>
    <cellStyle name="Moneda 3 2" xfId="27" xr:uid="{00000000-0005-0000-0000-000016000000}"/>
    <cellStyle name="Moneda 4" xfId="11" xr:uid="{00000000-0005-0000-0000-000017000000}"/>
    <cellStyle name="Moneda 4 2" xfId="22" xr:uid="{00000000-0005-0000-0000-000018000000}"/>
    <cellStyle name="Moneda 5" xfId="19" xr:uid="{00000000-0005-0000-0000-000019000000}"/>
    <cellStyle name="Moneda 6" xfId="33" xr:uid="{00000000-0005-0000-0000-00001A000000}"/>
    <cellStyle name="Moneda 7" xfId="35" xr:uid="{00000000-0005-0000-0000-00001B000000}"/>
    <cellStyle name="Normal" xfId="0" builtinId="0"/>
    <cellStyle name="Normal 2" xfId="5" xr:uid="{00000000-0005-0000-0000-00001D000000}"/>
    <cellStyle name="Normal 3" xfId="7" xr:uid="{00000000-0005-0000-0000-00001E000000}"/>
    <cellStyle name="Normal 3 2" xfId="8" xr:uid="{00000000-0005-0000-0000-00001F000000}"/>
    <cellStyle name="Numeric" xfId="31" xr:uid="{00000000-0005-0000-0000-000020000000}"/>
    <cellStyle name="Porcentaje" xfId="4" builtinId="5"/>
    <cellStyle name="Porcentaje 2" xfId="9" xr:uid="{00000000-0005-0000-0000-000022000000}"/>
    <cellStyle name="Porcentaje 2 2" xfId="10"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0</xdr:row>
      <xdr:rowOff>1</xdr:rowOff>
    </xdr:from>
    <xdr:to>
      <xdr:col>9</xdr:col>
      <xdr:colOff>1158875</xdr:colOff>
      <xdr:row>3</xdr:row>
      <xdr:rowOff>232007</xdr:rowOff>
    </xdr:to>
    <xdr:pic>
      <xdr:nvPicPr>
        <xdr:cNvPr id="2" name="Imagen 1">
          <a:extLst>
            <a:ext uri="{FF2B5EF4-FFF2-40B4-BE49-F238E27FC236}">
              <a16:creationId xmlns:a16="http://schemas.microsoft.com/office/drawing/2014/main" id="{09E00B0B-9368-4B66-9199-5DF59A11B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0"/>
          <a:ext cx="1152525" cy="1003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0</xdr:row>
      <xdr:rowOff>1</xdr:rowOff>
    </xdr:from>
    <xdr:to>
      <xdr:col>2</xdr:col>
      <xdr:colOff>692150</xdr:colOff>
      <xdr:row>2</xdr:row>
      <xdr:rowOff>251058</xdr:rowOff>
    </xdr:to>
    <xdr:pic>
      <xdr:nvPicPr>
        <xdr:cNvPr id="2" name="Imagen 1">
          <a:extLst>
            <a:ext uri="{FF2B5EF4-FFF2-40B4-BE49-F238E27FC236}">
              <a16:creationId xmlns:a16="http://schemas.microsoft.com/office/drawing/2014/main" id="{95D98586-652C-447C-A86E-D8F90B8738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58875" cy="1003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YERLY%20FERREIRA\Downloads\POAI%2031%20DE%20DICIEMBRE%20DEL%202023.xlsx" TargetMode="External"/><Relationship Id="rId1" Type="http://schemas.openxmlformats.org/officeDocument/2006/relationships/externalLinkPath" Target="POAI%2031%20DE%20DICIEMBRE%20DE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PACHO DEL ALCALDE "/>
      <sheetName val="INTERIOR"/>
      <sheetName val="HACIENDA"/>
      <sheetName val="LOCALIDAD "/>
      <sheetName val="S GENERAL "/>
      <sheetName val="INFRAESTRUCTURA"/>
      <sheetName val="EDUCACION"/>
      <sheetName val="PARTICIPACION"/>
      <sheetName val="PLANEACION"/>
      <sheetName val="DADIS"/>
      <sheetName val="HISTORICA Y DEL CARIBE NORTE"/>
      <sheetName val="DATT"/>
      <sheetName val="VALORIZACION"/>
      <sheetName val="ESCUELA GOBIERNO"/>
      <sheetName val="IDER"/>
      <sheetName val="CORVIVIENDA"/>
      <sheetName val="IPCC"/>
      <sheetName val="EPA"/>
      <sheetName val="DISTRISEGURIDAD"/>
      <sheetName val="L INDUSTRIAL Y DE LA BAHIA"/>
      <sheetName val="U MAYOR DE CARTAGENA"/>
      <sheetName val="TOTAL "/>
      <sheetName val="GENERAL "/>
      <sheetName val="31-12-2023"/>
      <sheetName val="Hoja2"/>
      <sheetName val="Hoja1"/>
    </sheetNames>
    <sheetDataSet>
      <sheetData sheetId="0"/>
      <sheetData sheetId="1"/>
      <sheetData sheetId="2">
        <row r="3">
          <cell r="A3" t="str">
            <v>UNIDAD EJECUTORA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persons/person.xml><?xml version="1.0" encoding="utf-8"?>
<personList xmlns="http://schemas.microsoft.com/office/spreadsheetml/2018/threadedcomments" xmlns:x="http://schemas.openxmlformats.org/spreadsheetml/2006/main">
  <person displayName="Sindy Reales Flórez" id="{A6BF94D6-1187-4A49-B7BF-7113E3F236A2}" userId="S::sreales@cartagena.gov.co::c2902ea9-15dc-40ac-86d5-b80082b1d1d5" providerId="AD"/>
  <person displayName="Juan Sebastian Diaz Dolugar" id="{B2B3872D-E918-477E-AD7C-DAA8ACCD5CC3}" userId="S::juan.diaz21@est.uexternado.edu.co::98797548-ea26-4f10-af00-8938bba422f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3" dT="2023-01-19T03:40:32.35" personId="{B2B3872D-E918-477E-AD7C-DAA8ACCD5CC3}" id="{C0631CA0-2C9C-4C3D-9664-03CD4918B891}">
    <text>JUSTIFICAR</text>
  </threadedComment>
  <threadedComment ref="I77" dT="2023-01-20T20:03:37.49" personId="{A6BF94D6-1187-4A49-B7BF-7113E3F236A2}" id="{B13E524B-63DC-4FFB-A3C0-5FF2035F1DFA}">
    <text>Acumulado</text>
  </threadedComment>
</ThreadedComments>
</file>

<file path=xl/threadedComments/threadedComment2.xml><?xml version="1.0" encoding="utf-8"?>
<ThreadedComments xmlns="http://schemas.microsoft.com/office/spreadsheetml/2018/threadedcomments" xmlns:x="http://schemas.openxmlformats.org/spreadsheetml/2006/main">
  <threadedComment ref="I69" dT="2023-01-19T03:40:32.35" personId="{B2B3872D-E918-477E-AD7C-DAA8ACCD5CC3}" id="{DD08F4EB-7CC2-43FE-992D-A6E57939DD02}">
    <text>JUSTIFICAR</text>
  </threadedComment>
  <threadedComment ref="I87" dT="2023-01-20T20:03:37.49" personId="{A6BF94D6-1187-4A49-B7BF-7113E3F236A2}" id="{6DA31F37-DF28-4257-B623-D199B5E4B2D5}">
    <text>Acumulado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90"/>
  <sheetViews>
    <sheetView topLeftCell="J23" zoomScale="50" zoomScaleNormal="50" workbookViewId="0">
      <pane xSplit="1" topLeftCell="V1" activePane="topRight" state="frozen"/>
      <selection activeCell="J2" sqref="J2"/>
      <selection pane="topRight" activeCell="BZ84" sqref="BZ84"/>
    </sheetView>
  </sheetViews>
  <sheetFormatPr baseColWidth="10" defaultColWidth="11.42578125" defaultRowHeight="18" x14ac:dyDescent="0.25"/>
  <cols>
    <col min="1" max="1" width="17.42578125" style="1" hidden="1" customWidth="1"/>
    <col min="2" max="2" width="16.5703125" style="1" hidden="1" customWidth="1"/>
    <col min="3" max="3" width="18" style="1" hidden="1" customWidth="1"/>
    <col min="4" max="4" width="20.28515625" style="1" hidden="1" customWidth="1"/>
    <col min="5" max="5" width="23.28515625" style="1" hidden="1" customWidth="1"/>
    <col min="6" max="6" width="21" style="1" hidden="1" customWidth="1"/>
    <col min="7" max="7" width="17.5703125" style="1" hidden="1" customWidth="1"/>
    <col min="8" max="8" width="21.7109375" style="1" hidden="1" customWidth="1"/>
    <col min="9" max="9" width="21" style="1" hidden="1" customWidth="1"/>
    <col min="10" max="10" width="24.28515625" style="1" customWidth="1"/>
    <col min="11" max="11" width="22.42578125" style="1" customWidth="1"/>
    <col min="12" max="12" width="12.140625" style="1" customWidth="1"/>
    <col min="13" max="13" width="19.28515625" style="1" hidden="1" customWidth="1"/>
    <col min="14" max="14" width="17.5703125" style="1" customWidth="1"/>
    <col min="15" max="15" width="15.5703125" style="1" hidden="1" customWidth="1"/>
    <col min="16" max="16" width="17.7109375" style="1" hidden="1" customWidth="1"/>
    <col min="17" max="17" width="22" style="1" hidden="1" customWidth="1"/>
    <col min="18" max="18" width="24" style="56" customWidth="1"/>
    <col min="19" max="27" width="24" style="57" customWidth="1"/>
    <col min="28" max="28" width="22.7109375" style="58" customWidth="1"/>
    <col min="29" max="29" width="18.28515625" style="59" hidden="1" customWidth="1"/>
    <col min="30" max="30" width="18.28515625" style="57" hidden="1" customWidth="1"/>
    <col min="31" max="31" width="18.28515625" style="60" hidden="1" customWidth="1"/>
    <col min="32" max="35" width="18.28515625" style="61" hidden="1" customWidth="1"/>
    <col min="36" max="36" width="38.85546875" style="1" customWidth="1"/>
    <col min="37" max="37" width="32.28515625" style="1" customWidth="1"/>
    <col min="38" max="39" width="15" style="1" customWidth="1"/>
    <col min="40" max="40" width="23.28515625" style="1" customWidth="1"/>
    <col min="41" max="41" width="21" style="1" customWidth="1"/>
    <col min="42" max="42" width="15" style="62" customWidth="1"/>
    <col min="43" max="45" width="15" style="1" customWidth="1"/>
    <col min="46" max="46" width="16.28515625" style="1" customWidth="1"/>
    <col min="47" max="47" width="24.28515625" style="1" customWidth="1"/>
    <col min="48" max="48" width="18.28515625" style="1" customWidth="1"/>
    <col min="49" max="49" width="17.7109375" style="1" customWidth="1"/>
    <col min="50" max="54" width="22.7109375" style="1" customWidth="1"/>
    <col min="55" max="55" width="26.7109375" style="1" customWidth="1"/>
    <col min="56" max="57" width="18.28515625" style="1" customWidth="1"/>
    <col min="58" max="58" width="21.5703125" style="1" customWidth="1"/>
    <col min="59" max="59" width="19.7109375" style="1" customWidth="1"/>
    <col min="60" max="60" width="20.7109375" style="1" customWidth="1"/>
    <col min="61" max="61" width="23.7109375" style="1" customWidth="1"/>
    <col min="62" max="62" width="22.7109375" style="1" customWidth="1"/>
    <col min="63" max="63" width="26" style="1" customWidth="1"/>
    <col min="64" max="64" width="26.7109375" style="1" hidden="1" customWidth="1"/>
    <col min="65" max="65" width="54.28515625" style="1" hidden="1" customWidth="1"/>
    <col min="66" max="66" width="26.7109375" style="1" hidden="1" customWidth="1"/>
    <col min="67" max="67" width="17.42578125" style="1" hidden="1" customWidth="1"/>
    <col min="68" max="68" width="81.28515625" style="1" hidden="1" customWidth="1"/>
    <col min="69" max="69" width="25" style="1" hidden="1" customWidth="1"/>
    <col min="70" max="70" width="21.28515625" style="1" hidden="1" customWidth="1"/>
    <col min="71" max="71" width="25.28515625" style="1" hidden="1" customWidth="1"/>
    <col min="72" max="72" width="31.7109375" style="1" hidden="1" customWidth="1"/>
    <col min="73" max="73" width="16" style="1" hidden="1" customWidth="1"/>
    <col min="74" max="74" width="27" style="1" hidden="1" customWidth="1"/>
    <col min="75" max="75" width="7.85546875" style="121" hidden="1" customWidth="1"/>
    <col min="76" max="76" width="76" style="121" customWidth="1"/>
    <col min="77" max="77" width="32.5703125" style="1" hidden="1" customWidth="1"/>
    <col min="78" max="16384" width="11.42578125" style="1"/>
  </cols>
  <sheetData>
    <row r="1" spans="1:77" ht="29.25" hidden="1" customHeight="1" x14ac:dyDescent="0.25">
      <c r="B1" s="547" t="s">
        <v>0</v>
      </c>
      <c r="C1" s="547"/>
      <c r="D1" s="548" t="s">
        <v>1</v>
      </c>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50"/>
      <c r="BP1" s="2" t="s">
        <v>2</v>
      </c>
    </row>
    <row r="2" spans="1:77" ht="30" customHeight="1" x14ac:dyDescent="0.25">
      <c r="B2" s="547"/>
      <c r="C2" s="547"/>
      <c r="D2" s="548" t="s">
        <v>3</v>
      </c>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549"/>
      <c r="BE2" s="549"/>
      <c r="BF2" s="549"/>
      <c r="BG2" s="549"/>
      <c r="BH2" s="549"/>
      <c r="BI2" s="549"/>
      <c r="BJ2" s="549"/>
      <c r="BK2" s="549"/>
      <c r="BL2" s="549"/>
      <c r="BM2" s="549"/>
      <c r="BN2" s="549"/>
      <c r="BO2" s="550"/>
      <c r="BP2" s="2" t="s">
        <v>4</v>
      </c>
    </row>
    <row r="3" spans="1:77" ht="30.75" customHeight="1" x14ac:dyDescent="0.25">
      <c r="B3" s="547"/>
      <c r="C3" s="547"/>
      <c r="D3" s="548" t="s">
        <v>5</v>
      </c>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50"/>
      <c r="BP3" s="2" t="s">
        <v>6</v>
      </c>
      <c r="BR3" s="3"/>
    </row>
    <row r="4" spans="1:77" ht="24.75" customHeight="1" x14ac:dyDescent="0.25">
      <c r="B4" s="547"/>
      <c r="C4" s="547"/>
      <c r="D4" s="548" t="s">
        <v>7</v>
      </c>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U4" s="549"/>
      <c r="AV4" s="549"/>
      <c r="AW4" s="549"/>
      <c r="AX4" s="549"/>
      <c r="AY4" s="549"/>
      <c r="AZ4" s="549"/>
      <c r="BA4" s="549"/>
      <c r="BB4" s="549"/>
      <c r="BC4" s="549"/>
      <c r="BD4" s="549"/>
      <c r="BE4" s="549"/>
      <c r="BF4" s="549"/>
      <c r="BG4" s="549"/>
      <c r="BH4" s="549"/>
      <c r="BI4" s="549"/>
      <c r="BJ4" s="549"/>
      <c r="BK4" s="549"/>
      <c r="BL4" s="549"/>
      <c r="BM4" s="549"/>
      <c r="BN4" s="549"/>
      <c r="BO4" s="550"/>
      <c r="BP4" s="2" t="s">
        <v>8</v>
      </c>
    </row>
    <row r="5" spans="1:77" ht="27" customHeight="1" x14ac:dyDescent="0.25">
      <c r="B5" s="547" t="s">
        <v>9</v>
      </c>
      <c r="C5" s="547"/>
      <c r="D5" s="551" t="s">
        <v>10</v>
      </c>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2"/>
    </row>
    <row r="6" spans="1:77" ht="30.75" customHeight="1" x14ac:dyDescent="0.25">
      <c r="A6" s="535" t="s">
        <v>11</v>
      </c>
      <c r="B6" s="535"/>
      <c r="C6" s="535"/>
      <c r="D6" s="535"/>
      <c r="E6" s="535"/>
      <c r="F6" s="535"/>
      <c r="G6" s="535"/>
      <c r="H6" s="535"/>
      <c r="I6" s="535"/>
      <c r="J6" s="536"/>
      <c r="K6" s="536"/>
      <c r="L6" s="536"/>
      <c r="M6" s="536"/>
      <c r="N6" s="536"/>
      <c r="O6" s="536"/>
      <c r="P6" s="536"/>
      <c r="Q6" s="536"/>
      <c r="R6" s="536"/>
      <c r="S6" s="536"/>
      <c r="T6" s="536"/>
      <c r="U6" s="536"/>
      <c r="V6" s="536"/>
      <c r="W6" s="536"/>
      <c r="X6" s="536"/>
      <c r="Y6" s="536"/>
      <c r="Z6" s="536"/>
      <c r="AA6" s="536"/>
      <c r="AB6" s="536"/>
      <c r="AC6" s="537" t="s">
        <v>12</v>
      </c>
      <c r="AD6" s="537"/>
      <c r="AE6" s="537"/>
      <c r="AF6" s="538"/>
      <c r="AG6" s="539" t="s">
        <v>13</v>
      </c>
      <c r="AH6" s="537"/>
      <c r="AI6" s="537"/>
      <c r="AJ6" s="537"/>
      <c r="AK6" s="537"/>
      <c r="AL6" s="537"/>
      <c r="AM6" s="537"/>
      <c r="AN6" s="537"/>
      <c r="AO6" s="537"/>
      <c r="AP6" s="537"/>
      <c r="AQ6" s="537"/>
      <c r="AR6" s="540"/>
      <c r="AS6" s="541" t="s">
        <v>14</v>
      </c>
      <c r="AT6" s="542"/>
      <c r="AU6" s="542"/>
      <c r="AV6" s="542"/>
      <c r="AW6" s="542"/>
      <c r="AX6" s="543" t="s">
        <v>15</v>
      </c>
      <c r="AY6" s="544"/>
      <c r="AZ6" s="544"/>
      <c r="BA6" s="544"/>
      <c r="BB6" s="544"/>
      <c r="BC6" s="544"/>
      <c r="BD6" s="544"/>
      <c r="BE6" s="544"/>
      <c r="BF6" s="544"/>
      <c r="BG6" s="544"/>
      <c r="BH6" s="544"/>
      <c r="BI6" s="544"/>
      <c r="BJ6" s="544"/>
      <c r="BK6" s="544"/>
      <c r="BL6" s="545"/>
      <c r="BM6" s="545"/>
      <c r="BN6" s="545"/>
      <c r="BO6" s="545"/>
      <c r="BP6" s="545"/>
      <c r="BQ6" s="545"/>
      <c r="BR6" s="545"/>
      <c r="BS6" s="545"/>
      <c r="BT6" s="546"/>
      <c r="BU6" s="526" t="s">
        <v>16</v>
      </c>
      <c r="BV6" s="526"/>
      <c r="BW6" s="431" t="s">
        <v>579</v>
      </c>
      <c r="BX6" s="566" t="s">
        <v>578</v>
      </c>
    </row>
    <row r="7" spans="1:77" ht="96" customHeight="1" x14ac:dyDescent="0.25">
      <c r="A7" s="533" t="s">
        <v>17</v>
      </c>
      <c r="B7" s="509" t="s">
        <v>18</v>
      </c>
      <c r="C7" s="509" t="s">
        <v>19</v>
      </c>
      <c r="D7" s="509" t="s">
        <v>20</v>
      </c>
      <c r="E7" s="509" t="s">
        <v>21</v>
      </c>
      <c r="F7" s="509" t="s">
        <v>22</v>
      </c>
      <c r="G7" s="531" t="s">
        <v>23</v>
      </c>
      <c r="H7" s="531" t="s">
        <v>24</v>
      </c>
      <c r="I7" s="531" t="s">
        <v>25</v>
      </c>
      <c r="J7" s="532" t="s">
        <v>26</v>
      </c>
      <c r="K7" s="526" t="s">
        <v>27</v>
      </c>
      <c r="L7" s="526" t="s">
        <v>28</v>
      </c>
      <c r="M7" s="526" t="s">
        <v>29</v>
      </c>
      <c r="N7" s="526" t="s">
        <v>30</v>
      </c>
      <c r="O7" s="528" t="s">
        <v>31</v>
      </c>
      <c r="P7" s="528"/>
      <c r="Q7" s="528" t="s">
        <v>32</v>
      </c>
      <c r="R7" s="526" t="s">
        <v>33</v>
      </c>
      <c r="S7" s="526" t="s">
        <v>34</v>
      </c>
      <c r="T7" s="529" t="s">
        <v>526</v>
      </c>
      <c r="U7" s="529" t="s">
        <v>524</v>
      </c>
      <c r="V7" s="529" t="s">
        <v>525</v>
      </c>
      <c r="W7" s="529" t="s">
        <v>523</v>
      </c>
      <c r="X7" s="530" t="s">
        <v>570</v>
      </c>
      <c r="Y7" s="530" t="s">
        <v>571</v>
      </c>
      <c r="Z7" s="530" t="s">
        <v>572</v>
      </c>
      <c r="AA7" s="530" t="s">
        <v>573</v>
      </c>
      <c r="AB7" s="526" t="s">
        <v>35</v>
      </c>
      <c r="AC7" s="527" t="s">
        <v>36</v>
      </c>
      <c r="AD7" s="527" t="s">
        <v>37</v>
      </c>
      <c r="AE7" s="527" t="s">
        <v>38</v>
      </c>
      <c r="AF7" s="527" t="s">
        <v>39</v>
      </c>
      <c r="AG7" s="526" t="s">
        <v>40</v>
      </c>
      <c r="AH7" s="526" t="s">
        <v>41</v>
      </c>
      <c r="AI7" s="526" t="s">
        <v>42</v>
      </c>
      <c r="AJ7" s="525" t="s">
        <v>43</v>
      </c>
      <c r="AK7" s="525" t="s">
        <v>44</v>
      </c>
      <c r="AL7" s="525" t="s">
        <v>45</v>
      </c>
      <c r="AM7" s="525" t="s">
        <v>46</v>
      </c>
      <c r="AN7" s="182" t="s">
        <v>611</v>
      </c>
      <c r="AO7" s="182" t="s">
        <v>612</v>
      </c>
      <c r="AP7" s="525" t="s">
        <v>47</v>
      </c>
      <c r="AQ7" s="525" t="s">
        <v>48</v>
      </c>
      <c r="AR7" s="520" t="s">
        <v>49</v>
      </c>
      <c r="AS7" s="520" t="s">
        <v>50</v>
      </c>
      <c r="AT7" s="520" t="s">
        <v>51</v>
      </c>
      <c r="AU7" s="520" t="s">
        <v>52</v>
      </c>
      <c r="AV7" s="520" t="s">
        <v>53</v>
      </c>
      <c r="AW7" s="520" t="s">
        <v>54</v>
      </c>
      <c r="AX7" s="520" t="s">
        <v>55</v>
      </c>
      <c r="AY7" s="101" t="s">
        <v>56</v>
      </c>
      <c r="AZ7" s="101" t="s">
        <v>57</v>
      </c>
      <c r="BA7" s="101" t="s">
        <v>558</v>
      </c>
      <c r="BB7" s="101" t="s">
        <v>569</v>
      </c>
      <c r="BC7" s="101" t="s">
        <v>560</v>
      </c>
      <c r="BD7" s="144" t="s">
        <v>520</v>
      </c>
      <c r="BE7" s="144" t="s">
        <v>521</v>
      </c>
      <c r="BF7" s="144" t="s">
        <v>522</v>
      </c>
      <c r="BG7" s="144" t="s">
        <v>559</v>
      </c>
      <c r="BH7" s="143" t="s">
        <v>574</v>
      </c>
      <c r="BI7" s="143" t="s">
        <v>575</v>
      </c>
      <c r="BJ7" s="143" t="s">
        <v>576</v>
      </c>
      <c r="BK7" s="143" t="s">
        <v>577</v>
      </c>
      <c r="BL7" s="521" t="s">
        <v>58</v>
      </c>
      <c r="BM7" s="523" t="s">
        <v>59</v>
      </c>
      <c r="BN7" s="431" t="s">
        <v>60</v>
      </c>
      <c r="BO7" s="510" t="s">
        <v>61</v>
      </c>
      <c r="BP7" s="512" t="s">
        <v>62</v>
      </c>
      <c r="BQ7" s="514" t="s">
        <v>63</v>
      </c>
      <c r="BR7" s="512" t="s">
        <v>64</v>
      </c>
      <c r="BS7" s="516" t="s">
        <v>65</v>
      </c>
      <c r="BT7" s="518" t="s">
        <v>66</v>
      </c>
      <c r="BU7" s="436" t="s">
        <v>67</v>
      </c>
      <c r="BV7" s="436" t="s">
        <v>68</v>
      </c>
      <c r="BW7" s="432"/>
      <c r="BX7" s="567"/>
    </row>
    <row r="8" spans="1:77" ht="15.75" hidden="1" customHeight="1" x14ac:dyDescent="0.25">
      <c r="A8" s="534"/>
      <c r="B8" s="526"/>
      <c r="C8" s="526"/>
      <c r="D8" s="526"/>
      <c r="E8" s="526"/>
      <c r="F8" s="526"/>
      <c r="G8" s="528"/>
      <c r="H8" s="528"/>
      <c r="I8" s="528"/>
      <c r="J8" s="532"/>
      <c r="K8" s="526"/>
      <c r="L8" s="526"/>
      <c r="M8" s="526"/>
      <c r="N8" s="526"/>
      <c r="O8" s="74" t="s">
        <v>69</v>
      </c>
      <c r="P8" s="74" t="s">
        <v>70</v>
      </c>
      <c r="Q8" s="528"/>
      <c r="R8" s="526"/>
      <c r="S8" s="526"/>
      <c r="T8" s="529"/>
      <c r="U8" s="529"/>
      <c r="V8" s="529"/>
      <c r="W8" s="529"/>
      <c r="X8" s="530"/>
      <c r="Y8" s="530"/>
      <c r="Z8" s="530"/>
      <c r="AA8" s="530"/>
      <c r="AB8" s="526"/>
      <c r="AC8" s="527"/>
      <c r="AD8" s="527"/>
      <c r="AE8" s="527"/>
      <c r="AF8" s="527"/>
      <c r="AG8" s="526"/>
      <c r="AH8" s="526"/>
      <c r="AI8" s="526"/>
      <c r="AJ8" s="525"/>
      <c r="AK8" s="525"/>
      <c r="AL8" s="525"/>
      <c r="AM8" s="525"/>
      <c r="AN8" s="174"/>
      <c r="AO8" s="174"/>
      <c r="AP8" s="525"/>
      <c r="AQ8" s="525"/>
      <c r="AR8" s="520"/>
      <c r="AS8" s="520"/>
      <c r="AT8" s="520"/>
      <c r="AU8" s="520"/>
      <c r="AV8" s="520"/>
      <c r="AW8" s="520"/>
      <c r="AX8" s="520"/>
      <c r="AY8" s="101"/>
      <c r="AZ8" s="101"/>
      <c r="BA8" s="101"/>
      <c r="BB8" s="101"/>
      <c r="BC8" s="101"/>
      <c r="BD8" s="101"/>
      <c r="BE8" s="101"/>
      <c r="BF8" s="101"/>
      <c r="BG8" s="101"/>
      <c r="BH8" s="101"/>
      <c r="BI8" s="101"/>
      <c r="BJ8" s="101"/>
      <c r="BK8" s="101"/>
      <c r="BL8" s="522"/>
      <c r="BM8" s="524"/>
      <c r="BN8" s="432"/>
      <c r="BO8" s="511"/>
      <c r="BP8" s="513"/>
      <c r="BQ8" s="515"/>
      <c r="BR8" s="513"/>
      <c r="BS8" s="517"/>
      <c r="BT8" s="519"/>
      <c r="BU8" s="436"/>
      <c r="BV8" s="436"/>
      <c r="BW8" s="122"/>
      <c r="BX8" s="122"/>
    </row>
    <row r="9" spans="1:77" ht="175.15" customHeight="1" x14ac:dyDescent="0.25">
      <c r="A9" s="449" t="s">
        <v>71</v>
      </c>
      <c r="B9" s="506" t="s">
        <v>72</v>
      </c>
      <c r="C9" s="506" t="s">
        <v>73</v>
      </c>
      <c r="D9" s="506" t="s">
        <v>74</v>
      </c>
      <c r="E9" s="507">
        <v>0</v>
      </c>
      <c r="F9" s="507" t="s">
        <v>75</v>
      </c>
      <c r="G9" s="405">
        <v>1</v>
      </c>
      <c r="H9" s="405" t="s">
        <v>76</v>
      </c>
      <c r="I9" s="405">
        <v>1</v>
      </c>
      <c r="J9" s="437" t="s">
        <v>77</v>
      </c>
      <c r="K9" s="504" t="s">
        <v>78</v>
      </c>
      <c r="L9" s="436" t="s">
        <v>76</v>
      </c>
      <c r="M9" s="436">
        <v>0</v>
      </c>
      <c r="N9" s="436" t="s">
        <v>79</v>
      </c>
      <c r="O9" s="436"/>
      <c r="P9" s="436" t="s">
        <v>80</v>
      </c>
      <c r="Q9" s="436" t="s">
        <v>81</v>
      </c>
      <c r="R9" s="497">
        <v>500</v>
      </c>
      <c r="S9" s="503">
        <f>R9-AB9</f>
        <v>245</v>
      </c>
      <c r="T9" s="503">
        <v>0</v>
      </c>
      <c r="U9" s="503">
        <v>0</v>
      </c>
      <c r="V9" s="503">
        <v>0</v>
      </c>
      <c r="W9" s="503">
        <f>T9+U9+V9</f>
        <v>0</v>
      </c>
      <c r="X9" s="560">
        <v>0</v>
      </c>
      <c r="Y9" s="560">
        <v>15</v>
      </c>
      <c r="Z9" s="560">
        <v>13</v>
      </c>
      <c r="AA9" s="560">
        <f>X9+Y9+Z9</f>
        <v>28</v>
      </c>
      <c r="AB9" s="474">
        <f>25+71+159</f>
        <v>255</v>
      </c>
      <c r="AC9" s="481" t="s">
        <v>82</v>
      </c>
      <c r="AD9" s="475" t="s">
        <v>83</v>
      </c>
      <c r="AE9" s="502" t="s">
        <v>84</v>
      </c>
      <c r="AF9" s="436" t="s">
        <v>85</v>
      </c>
      <c r="AG9" s="436" t="s">
        <v>86</v>
      </c>
      <c r="AH9" s="436" t="s">
        <v>87</v>
      </c>
      <c r="AI9" s="436" t="s">
        <v>88</v>
      </c>
      <c r="AJ9" s="4" t="s">
        <v>89</v>
      </c>
      <c r="AK9" s="4" t="s">
        <v>90</v>
      </c>
      <c r="AL9" s="4">
        <v>1</v>
      </c>
      <c r="AM9" s="65">
        <v>0.2</v>
      </c>
      <c r="AN9" s="183">
        <v>1</v>
      </c>
      <c r="AO9" s="183">
        <v>0</v>
      </c>
      <c r="AP9" s="78">
        <v>44927</v>
      </c>
      <c r="AQ9" s="78">
        <v>45291</v>
      </c>
      <c r="AR9" s="4">
        <v>365</v>
      </c>
      <c r="AS9" s="4">
        <v>245</v>
      </c>
      <c r="AT9" s="4">
        <v>255</v>
      </c>
      <c r="AU9" s="4" t="s">
        <v>91</v>
      </c>
      <c r="AV9" s="4" t="s">
        <v>92</v>
      </c>
      <c r="AW9" s="4" t="s">
        <v>93</v>
      </c>
      <c r="AX9" s="102">
        <v>0</v>
      </c>
      <c r="AY9" s="102">
        <v>0</v>
      </c>
      <c r="AZ9" s="102">
        <f>AX9+AY9</f>
        <v>0</v>
      </c>
      <c r="BA9" s="102">
        <v>0</v>
      </c>
      <c r="BB9" s="102">
        <v>0</v>
      </c>
      <c r="BC9" s="86">
        <f>AX9+AY9+BA9+BB9</f>
        <v>0</v>
      </c>
      <c r="BD9" s="102">
        <v>0</v>
      </c>
      <c r="BE9" s="102">
        <v>0</v>
      </c>
      <c r="BF9" s="102">
        <v>0</v>
      </c>
      <c r="BG9" s="102">
        <f>SUM(BD9:BF9)</f>
        <v>0</v>
      </c>
      <c r="BH9" s="102">
        <v>0</v>
      </c>
      <c r="BI9" s="102">
        <v>0</v>
      </c>
      <c r="BJ9" s="102">
        <v>0</v>
      </c>
      <c r="BK9" s="102">
        <f>SUM(BH9:BJ9)</f>
        <v>0</v>
      </c>
      <c r="BL9" s="443" t="s">
        <v>561</v>
      </c>
      <c r="BM9" s="405" t="s">
        <v>568</v>
      </c>
      <c r="BN9" s="405" t="s">
        <v>95</v>
      </c>
      <c r="BO9" s="4" t="s">
        <v>96</v>
      </c>
      <c r="BP9" s="4" t="s">
        <v>97</v>
      </c>
      <c r="BQ9" s="4" t="s">
        <v>97</v>
      </c>
      <c r="BR9" s="4" t="s">
        <v>97</v>
      </c>
      <c r="BS9" s="4" t="s">
        <v>97</v>
      </c>
      <c r="BT9" s="4" t="s">
        <v>98</v>
      </c>
      <c r="BU9" s="436" t="s">
        <v>99</v>
      </c>
      <c r="BV9" s="436" t="s">
        <v>100</v>
      </c>
      <c r="BW9" s="122" t="s">
        <v>531</v>
      </c>
      <c r="BX9" s="122" t="s">
        <v>581</v>
      </c>
      <c r="BY9" s="63">
        <f>BG9+BK9</f>
        <v>0</v>
      </c>
    </row>
    <row r="10" spans="1:77" ht="409.5" x14ac:dyDescent="0.25">
      <c r="A10" s="450"/>
      <c r="B10" s="506"/>
      <c r="C10" s="506"/>
      <c r="D10" s="506"/>
      <c r="E10" s="508"/>
      <c r="F10" s="508"/>
      <c r="G10" s="406"/>
      <c r="H10" s="406"/>
      <c r="I10" s="406"/>
      <c r="J10" s="437"/>
      <c r="K10" s="504"/>
      <c r="L10" s="436"/>
      <c r="M10" s="436"/>
      <c r="N10" s="436"/>
      <c r="O10" s="436"/>
      <c r="P10" s="436"/>
      <c r="Q10" s="436"/>
      <c r="R10" s="497"/>
      <c r="S10" s="503"/>
      <c r="T10" s="503"/>
      <c r="U10" s="503"/>
      <c r="V10" s="503"/>
      <c r="W10" s="503"/>
      <c r="X10" s="560"/>
      <c r="Y10" s="560"/>
      <c r="Z10" s="560"/>
      <c r="AA10" s="560"/>
      <c r="AB10" s="474"/>
      <c r="AC10" s="481"/>
      <c r="AD10" s="475"/>
      <c r="AE10" s="502"/>
      <c r="AF10" s="436"/>
      <c r="AG10" s="436"/>
      <c r="AH10" s="436"/>
      <c r="AI10" s="436"/>
      <c r="AJ10" s="4" t="s">
        <v>101</v>
      </c>
      <c r="AK10" s="4" t="s">
        <v>102</v>
      </c>
      <c r="AL10" s="4">
        <v>1</v>
      </c>
      <c r="AM10" s="65">
        <v>0.1</v>
      </c>
      <c r="AN10" s="184">
        <v>0</v>
      </c>
      <c r="AO10" s="184">
        <v>1</v>
      </c>
      <c r="AP10" s="78">
        <v>44927</v>
      </c>
      <c r="AQ10" s="78">
        <v>45291</v>
      </c>
      <c r="AR10" s="4">
        <v>365</v>
      </c>
      <c r="AS10" s="4">
        <v>245</v>
      </c>
      <c r="AT10" s="4">
        <v>255</v>
      </c>
      <c r="AU10" s="4" t="s">
        <v>91</v>
      </c>
      <c r="AV10" s="4" t="s">
        <v>92</v>
      </c>
      <c r="AW10" s="4" t="s">
        <v>93</v>
      </c>
      <c r="AX10" s="102">
        <v>0</v>
      </c>
      <c r="AY10" s="102">
        <v>0</v>
      </c>
      <c r="AZ10" s="102">
        <f t="shared" ref="AZ10:AZ73" si="0">AX10+AY10</f>
        <v>0</v>
      </c>
      <c r="BA10" s="102">
        <v>0</v>
      </c>
      <c r="BB10" s="102">
        <v>0</v>
      </c>
      <c r="BC10" s="86">
        <f t="shared" ref="BC10:BC73" si="1">AX10+AY10+BA10+BB10</f>
        <v>0</v>
      </c>
      <c r="BD10" s="102">
        <v>0</v>
      </c>
      <c r="BE10" s="102">
        <v>0</v>
      </c>
      <c r="BF10" s="102">
        <v>0</v>
      </c>
      <c r="BG10" s="102">
        <f t="shared" ref="BG10:BG73" si="2">SUM(BD10:BF10)</f>
        <v>0</v>
      </c>
      <c r="BH10" s="102">
        <v>0</v>
      </c>
      <c r="BI10" s="102">
        <v>0</v>
      </c>
      <c r="BJ10" s="102">
        <v>0</v>
      </c>
      <c r="BK10" s="102">
        <f t="shared" ref="BK10:BK39" si="3">SUM(BH10:BJ10)</f>
        <v>0</v>
      </c>
      <c r="BL10" s="444"/>
      <c r="BM10" s="406"/>
      <c r="BN10" s="406"/>
      <c r="BO10" s="4" t="s">
        <v>96</v>
      </c>
      <c r="BP10" s="4" t="s">
        <v>97</v>
      </c>
      <c r="BQ10" s="4" t="s">
        <v>97</v>
      </c>
      <c r="BR10" s="4" t="s">
        <v>97</v>
      </c>
      <c r="BS10" s="4" t="s">
        <v>97</v>
      </c>
      <c r="BT10" s="4" t="s">
        <v>103</v>
      </c>
      <c r="BU10" s="436"/>
      <c r="BV10" s="436"/>
      <c r="BW10" s="122" t="s">
        <v>530</v>
      </c>
      <c r="BX10" s="122" t="s">
        <v>582</v>
      </c>
      <c r="BY10" s="63">
        <f t="shared" ref="BY10:BY73" si="4">BG10+BK10</f>
        <v>0</v>
      </c>
    </row>
    <row r="11" spans="1:77" ht="313.5" x14ac:dyDescent="0.25">
      <c r="A11" s="450"/>
      <c r="B11" s="506"/>
      <c r="C11" s="506"/>
      <c r="D11" s="506"/>
      <c r="E11" s="508"/>
      <c r="F11" s="508"/>
      <c r="G11" s="406"/>
      <c r="H11" s="406"/>
      <c r="I11" s="406"/>
      <c r="J11" s="482"/>
      <c r="K11" s="505"/>
      <c r="L11" s="438"/>
      <c r="M11" s="436"/>
      <c r="N11" s="438"/>
      <c r="O11" s="438"/>
      <c r="P11" s="438"/>
      <c r="Q11" s="436"/>
      <c r="R11" s="500"/>
      <c r="S11" s="500"/>
      <c r="T11" s="500"/>
      <c r="U11" s="500"/>
      <c r="V11" s="500"/>
      <c r="W11" s="500"/>
      <c r="X11" s="499"/>
      <c r="Y11" s="499"/>
      <c r="Z11" s="499"/>
      <c r="AA11" s="499"/>
      <c r="AB11" s="500"/>
      <c r="AC11" s="481"/>
      <c r="AD11" s="475"/>
      <c r="AE11" s="502"/>
      <c r="AF11" s="436"/>
      <c r="AG11" s="438"/>
      <c r="AH11" s="438"/>
      <c r="AI11" s="438"/>
      <c r="AJ11" s="4" t="s">
        <v>104</v>
      </c>
      <c r="AK11" s="4" t="s">
        <v>105</v>
      </c>
      <c r="AL11" s="4">
        <v>1</v>
      </c>
      <c r="AM11" s="65">
        <v>0.1</v>
      </c>
      <c r="AN11" s="184">
        <v>0</v>
      </c>
      <c r="AO11" s="184">
        <v>1</v>
      </c>
      <c r="AP11" s="78">
        <v>44927</v>
      </c>
      <c r="AQ11" s="78">
        <v>45291</v>
      </c>
      <c r="AR11" s="4">
        <v>365</v>
      </c>
      <c r="AS11" s="4">
        <v>245</v>
      </c>
      <c r="AT11" s="4">
        <v>255</v>
      </c>
      <c r="AU11" s="4" t="s">
        <v>91</v>
      </c>
      <c r="AV11" s="4" t="s">
        <v>92</v>
      </c>
      <c r="AW11" s="4" t="s">
        <v>93</v>
      </c>
      <c r="AX11" s="102">
        <v>0</v>
      </c>
      <c r="AY11" s="102">
        <v>0</v>
      </c>
      <c r="AZ11" s="102">
        <f t="shared" si="0"/>
        <v>0</v>
      </c>
      <c r="BA11" s="102">
        <v>0</v>
      </c>
      <c r="BB11" s="102">
        <v>0</v>
      </c>
      <c r="BC11" s="86">
        <f t="shared" si="1"/>
        <v>0</v>
      </c>
      <c r="BD11" s="102">
        <v>0</v>
      </c>
      <c r="BE11" s="102">
        <v>0</v>
      </c>
      <c r="BF11" s="102">
        <v>0</v>
      </c>
      <c r="BG11" s="102">
        <f t="shared" si="2"/>
        <v>0</v>
      </c>
      <c r="BH11" s="102">
        <v>0</v>
      </c>
      <c r="BI11" s="102">
        <v>0</v>
      </c>
      <c r="BJ11" s="102">
        <v>0</v>
      </c>
      <c r="BK11" s="102">
        <f t="shared" si="3"/>
        <v>0</v>
      </c>
      <c r="BL11" s="444"/>
      <c r="BM11" s="406"/>
      <c r="BN11" s="406"/>
      <c r="BO11" s="4" t="s">
        <v>96</v>
      </c>
      <c r="BP11" s="4" t="s">
        <v>97</v>
      </c>
      <c r="BQ11" s="4" t="s">
        <v>97</v>
      </c>
      <c r="BR11" s="4" t="s">
        <v>97</v>
      </c>
      <c r="BS11" s="4" t="s">
        <v>97</v>
      </c>
      <c r="BT11" s="4" t="s">
        <v>103</v>
      </c>
      <c r="BU11" s="436"/>
      <c r="BV11" s="436"/>
      <c r="BW11" s="122" t="s">
        <v>103</v>
      </c>
      <c r="BX11" s="122" t="s">
        <v>582</v>
      </c>
      <c r="BY11" s="63">
        <f t="shared" si="4"/>
        <v>0</v>
      </c>
    </row>
    <row r="12" spans="1:77" ht="150.75" customHeight="1" x14ac:dyDescent="0.25">
      <c r="A12" s="450"/>
      <c r="B12" s="506"/>
      <c r="C12" s="506"/>
      <c r="D12" s="506"/>
      <c r="E12" s="508"/>
      <c r="F12" s="508"/>
      <c r="G12" s="406"/>
      <c r="H12" s="406"/>
      <c r="I12" s="406"/>
      <c r="J12" s="482"/>
      <c r="K12" s="505"/>
      <c r="L12" s="438"/>
      <c r="M12" s="436"/>
      <c r="N12" s="438"/>
      <c r="O12" s="438"/>
      <c r="P12" s="438"/>
      <c r="Q12" s="436"/>
      <c r="R12" s="500"/>
      <c r="S12" s="500"/>
      <c r="T12" s="500"/>
      <c r="U12" s="500"/>
      <c r="V12" s="500"/>
      <c r="W12" s="500"/>
      <c r="X12" s="499"/>
      <c r="Y12" s="499"/>
      <c r="Z12" s="499"/>
      <c r="AA12" s="499"/>
      <c r="AB12" s="500"/>
      <c r="AC12" s="481"/>
      <c r="AD12" s="475"/>
      <c r="AE12" s="502"/>
      <c r="AF12" s="436"/>
      <c r="AG12" s="438"/>
      <c r="AH12" s="438"/>
      <c r="AI12" s="438"/>
      <c r="AJ12" s="4" t="s">
        <v>106</v>
      </c>
      <c r="AK12" s="4" t="s">
        <v>107</v>
      </c>
      <c r="AL12" s="4">
        <v>1</v>
      </c>
      <c r="AM12" s="65">
        <v>0.4</v>
      </c>
      <c r="AN12" s="184">
        <v>0</v>
      </c>
      <c r="AO12" s="184">
        <v>0</v>
      </c>
      <c r="AP12" s="78">
        <v>44927</v>
      </c>
      <c r="AQ12" s="78">
        <v>45291</v>
      </c>
      <c r="AR12" s="4">
        <v>365</v>
      </c>
      <c r="AS12" s="4">
        <v>245</v>
      </c>
      <c r="AT12" s="4">
        <v>255</v>
      </c>
      <c r="AU12" s="4" t="s">
        <v>91</v>
      </c>
      <c r="AV12" s="4" t="s">
        <v>92</v>
      </c>
      <c r="AW12" s="4" t="s">
        <v>93</v>
      </c>
      <c r="AX12" s="102">
        <v>600000000</v>
      </c>
      <c r="AY12" s="102">
        <v>0</v>
      </c>
      <c r="AZ12" s="102">
        <f t="shared" si="0"/>
        <v>600000000</v>
      </c>
      <c r="BA12" s="152">
        <v>300000000</v>
      </c>
      <c r="BB12" s="102">
        <v>0</v>
      </c>
      <c r="BC12" s="152">
        <f t="shared" si="1"/>
        <v>900000000</v>
      </c>
      <c r="BD12" s="102">
        <v>0</v>
      </c>
      <c r="BE12" s="102">
        <v>0</v>
      </c>
      <c r="BF12" s="102">
        <v>0</v>
      </c>
      <c r="BG12" s="102">
        <f t="shared" si="2"/>
        <v>0</v>
      </c>
      <c r="BH12" s="102">
        <v>0</v>
      </c>
      <c r="BI12" s="102">
        <v>0</v>
      </c>
      <c r="BJ12" s="102">
        <v>0</v>
      </c>
      <c r="BK12" s="102">
        <f t="shared" si="3"/>
        <v>0</v>
      </c>
      <c r="BL12" s="444"/>
      <c r="BM12" s="406"/>
      <c r="BN12" s="406"/>
      <c r="BO12" s="4" t="s">
        <v>108</v>
      </c>
      <c r="BP12" s="4" t="s">
        <v>109</v>
      </c>
      <c r="BQ12" s="4" t="s">
        <v>110</v>
      </c>
      <c r="BR12" s="4" t="s">
        <v>111</v>
      </c>
      <c r="BS12" s="6">
        <v>44958</v>
      </c>
      <c r="BT12" s="4" t="s">
        <v>112</v>
      </c>
      <c r="BU12" s="436"/>
      <c r="BV12" s="436"/>
      <c r="BW12" s="122" t="s">
        <v>529</v>
      </c>
      <c r="BX12" s="122" t="s">
        <v>583</v>
      </c>
      <c r="BY12" s="63">
        <f t="shared" si="4"/>
        <v>0</v>
      </c>
    </row>
    <row r="13" spans="1:77" ht="138" customHeight="1" x14ac:dyDescent="0.25">
      <c r="A13" s="450"/>
      <c r="B13" s="506"/>
      <c r="C13" s="506"/>
      <c r="D13" s="506"/>
      <c r="E13" s="508"/>
      <c r="F13" s="508"/>
      <c r="G13" s="406"/>
      <c r="H13" s="406"/>
      <c r="I13" s="406"/>
      <c r="J13" s="482"/>
      <c r="K13" s="505"/>
      <c r="L13" s="438"/>
      <c r="M13" s="436"/>
      <c r="N13" s="438"/>
      <c r="O13" s="438"/>
      <c r="P13" s="438"/>
      <c r="Q13" s="436"/>
      <c r="R13" s="500"/>
      <c r="S13" s="500"/>
      <c r="T13" s="500"/>
      <c r="U13" s="500"/>
      <c r="V13" s="500"/>
      <c r="W13" s="500"/>
      <c r="X13" s="499"/>
      <c r="Y13" s="499"/>
      <c r="Z13" s="499"/>
      <c r="AA13" s="499"/>
      <c r="AB13" s="500"/>
      <c r="AC13" s="481"/>
      <c r="AD13" s="475"/>
      <c r="AE13" s="502"/>
      <c r="AF13" s="436"/>
      <c r="AG13" s="438"/>
      <c r="AH13" s="438"/>
      <c r="AI13" s="438"/>
      <c r="AJ13" s="4" t="s">
        <v>113</v>
      </c>
      <c r="AK13" s="4" t="s">
        <v>114</v>
      </c>
      <c r="AL13" s="4">
        <v>1</v>
      </c>
      <c r="AM13" s="65">
        <v>0.2</v>
      </c>
      <c r="AN13" s="184">
        <v>0.25</v>
      </c>
      <c r="AO13" s="184">
        <v>0.25</v>
      </c>
      <c r="AP13" s="78">
        <v>44927</v>
      </c>
      <c r="AQ13" s="78">
        <v>45291</v>
      </c>
      <c r="AR13" s="4">
        <v>365</v>
      </c>
      <c r="AS13" s="4">
        <v>245</v>
      </c>
      <c r="AT13" s="4">
        <v>255</v>
      </c>
      <c r="AU13" s="4" t="s">
        <v>91</v>
      </c>
      <c r="AV13" s="4" t="s">
        <v>92</v>
      </c>
      <c r="AW13" s="4" t="s">
        <v>93</v>
      </c>
      <c r="AX13" s="102">
        <v>0</v>
      </c>
      <c r="AY13" s="102">
        <v>0</v>
      </c>
      <c r="AZ13" s="102">
        <f t="shared" si="0"/>
        <v>0</v>
      </c>
      <c r="BA13" s="102">
        <v>0</v>
      </c>
      <c r="BB13" s="102">
        <v>0</v>
      </c>
      <c r="BC13" s="86">
        <f t="shared" si="1"/>
        <v>0</v>
      </c>
      <c r="BD13" s="102">
        <v>0</v>
      </c>
      <c r="BE13" s="102">
        <v>0</v>
      </c>
      <c r="BF13" s="102">
        <v>0</v>
      </c>
      <c r="BG13" s="102">
        <f t="shared" si="2"/>
        <v>0</v>
      </c>
      <c r="BH13" s="102">
        <v>0</v>
      </c>
      <c r="BI13" s="102">
        <v>0</v>
      </c>
      <c r="BJ13" s="102">
        <v>0</v>
      </c>
      <c r="BK13" s="102">
        <f t="shared" si="3"/>
        <v>0</v>
      </c>
      <c r="BL13" s="445"/>
      <c r="BM13" s="407"/>
      <c r="BN13" s="407"/>
      <c r="BO13" s="4" t="s">
        <v>96</v>
      </c>
      <c r="BP13" s="4" t="s">
        <v>97</v>
      </c>
      <c r="BQ13" s="4" t="s">
        <v>97</v>
      </c>
      <c r="BR13" s="4" t="s">
        <v>97</v>
      </c>
      <c r="BS13" s="4" t="s">
        <v>97</v>
      </c>
      <c r="BT13" s="4" t="s">
        <v>115</v>
      </c>
      <c r="BU13" s="436"/>
      <c r="BV13" s="436"/>
      <c r="BW13" s="122" t="s">
        <v>544</v>
      </c>
      <c r="BX13" s="122" t="s">
        <v>582</v>
      </c>
      <c r="BY13" s="63">
        <f t="shared" si="4"/>
        <v>0</v>
      </c>
    </row>
    <row r="14" spans="1:77" ht="114" x14ac:dyDescent="0.25">
      <c r="A14" s="450"/>
      <c r="B14" s="506"/>
      <c r="C14" s="506"/>
      <c r="D14" s="506"/>
      <c r="E14" s="508"/>
      <c r="F14" s="508"/>
      <c r="G14" s="406"/>
      <c r="H14" s="406"/>
      <c r="I14" s="406"/>
      <c r="J14" s="437" t="s">
        <v>116</v>
      </c>
      <c r="K14" s="7" t="s">
        <v>117</v>
      </c>
      <c r="L14" s="4" t="s">
        <v>76</v>
      </c>
      <c r="M14" s="4">
        <v>0</v>
      </c>
      <c r="N14" s="7" t="s">
        <v>118</v>
      </c>
      <c r="O14" s="4" t="s">
        <v>80</v>
      </c>
      <c r="P14" s="4"/>
      <c r="Q14" s="4" t="s">
        <v>119</v>
      </c>
      <c r="R14" s="68">
        <v>1</v>
      </c>
      <c r="S14" s="69" t="s">
        <v>120</v>
      </c>
      <c r="T14" s="73" t="s">
        <v>527</v>
      </c>
      <c r="U14" s="73" t="s">
        <v>527</v>
      </c>
      <c r="V14" s="73" t="s">
        <v>527</v>
      </c>
      <c r="W14" s="73" t="s">
        <v>527</v>
      </c>
      <c r="X14" s="167" t="s">
        <v>527</v>
      </c>
      <c r="Y14" s="167" t="s">
        <v>527</v>
      </c>
      <c r="Z14" s="167" t="s">
        <v>527</v>
      </c>
      <c r="AA14" s="167" t="s">
        <v>527</v>
      </c>
      <c r="AB14" s="72">
        <v>1</v>
      </c>
      <c r="AC14" s="481" t="s">
        <v>82</v>
      </c>
      <c r="AD14" s="475" t="s">
        <v>83</v>
      </c>
      <c r="AE14" s="502" t="s">
        <v>84</v>
      </c>
      <c r="AF14" s="436" t="s">
        <v>85</v>
      </c>
      <c r="AG14" s="436" t="s">
        <v>121</v>
      </c>
      <c r="AH14" s="436" t="s">
        <v>122</v>
      </c>
      <c r="AI14" s="436" t="s">
        <v>123</v>
      </c>
      <c r="AJ14" s="4" t="s">
        <v>124</v>
      </c>
      <c r="AK14" s="4" t="s">
        <v>97</v>
      </c>
      <c r="AL14" s="4" t="s">
        <v>97</v>
      </c>
      <c r="AM14" s="4" t="s">
        <v>97</v>
      </c>
      <c r="AN14" s="175" t="s">
        <v>219</v>
      </c>
      <c r="AO14" s="175" t="s">
        <v>219</v>
      </c>
      <c r="AP14" s="4" t="s">
        <v>97</v>
      </c>
      <c r="AQ14" s="4" t="s">
        <v>97</v>
      </c>
      <c r="AR14" s="4" t="s">
        <v>97</v>
      </c>
      <c r="AS14" s="4" t="s">
        <v>97</v>
      </c>
      <c r="AT14" s="4" t="s">
        <v>97</v>
      </c>
      <c r="AU14" s="4" t="s">
        <v>97</v>
      </c>
      <c r="AV14" s="4" t="s">
        <v>97</v>
      </c>
      <c r="AW14" s="4" t="s">
        <v>97</v>
      </c>
      <c r="AX14" s="102" t="s">
        <v>97</v>
      </c>
      <c r="AY14" s="102" t="s">
        <v>97</v>
      </c>
      <c r="AZ14" s="102" t="s">
        <v>97</v>
      </c>
      <c r="BA14" s="102">
        <v>0</v>
      </c>
      <c r="BB14" s="102">
        <v>0</v>
      </c>
      <c r="BC14" s="86">
        <v>0</v>
      </c>
      <c r="BD14" s="102" t="s">
        <v>97</v>
      </c>
      <c r="BE14" s="102" t="s">
        <v>97</v>
      </c>
      <c r="BF14" s="102" t="s">
        <v>97</v>
      </c>
      <c r="BG14" s="102">
        <f t="shared" si="2"/>
        <v>0</v>
      </c>
      <c r="BH14" s="152" t="s">
        <v>97</v>
      </c>
      <c r="BI14" s="152" t="s">
        <v>97</v>
      </c>
      <c r="BJ14" s="152" t="s">
        <v>97</v>
      </c>
      <c r="BK14" s="152">
        <f t="shared" si="3"/>
        <v>0</v>
      </c>
      <c r="BL14" s="443" t="s">
        <v>94</v>
      </c>
      <c r="BM14" s="405" t="s">
        <v>121</v>
      </c>
      <c r="BN14" s="405" t="s">
        <v>125</v>
      </c>
      <c r="BO14" s="4" t="s">
        <v>97</v>
      </c>
      <c r="BP14" s="4" t="s">
        <v>97</v>
      </c>
      <c r="BQ14" s="4" t="s">
        <v>97</v>
      </c>
      <c r="BR14" s="4" t="s">
        <v>97</v>
      </c>
      <c r="BS14" s="4" t="s">
        <v>97</v>
      </c>
      <c r="BT14" s="4" t="s">
        <v>97</v>
      </c>
      <c r="BU14" s="436" t="s">
        <v>99</v>
      </c>
      <c r="BV14" s="436" t="s">
        <v>100</v>
      </c>
      <c r="BW14" s="122"/>
      <c r="BX14" s="122" t="s">
        <v>582</v>
      </c>
      <c r="BY14" s="63">
        <f t="shared" si="4"/>
        <v>0</v>
      </c>
    </row>
    <row r="15" spans="1:77" ht="61.15" customHeight="1" x14ac:dyDescent="0.25">
      <c r="A15" s="450"/>
      <c r="B15" s="506"/>
      <c r="C15" s="506"/>
      <c r="D15" s="506"/>
      <c r="E15" s="508"/>
      <c r="F15" s="508"/>
      <c r="G15" s="406"/>
      <c r="H15" s="406"/>
      <c r="I15" s="406"/>
      <c r="J15" s="437"/>
      <c r="K15" s="436" t="s">
        <v>126</v>
      </c>
      <c r="L15" s="438" t="s">
        <v>76</v>
      </c>
      <c r="M15" s="438">
        <v>0</v>
      </c>
      <c r="N15" s="436" t="s">
        <v>127</v>
      </c>
      <c r="O15" s="436"/>
      <c r="P15" s="438" t="s">
        <v>80</v>
      </c>
      <c r="Q15" s="438" t="s">
        <v>128</v>
      </c>
      <c r="R15" s="497">
        <v>1</v>
      </c>
      <c r="S15" s="500" t="s">
        <v>120</v>
      </c>
      <c r="T15" s="505" t="s">
        <v>527</v>
      </c>
      <c r="U15" s="505" t="s">
        <v>527</v>
      </c>
      <c r="V15" s="505" t="s">
        <v>527</v>
      </c>
      <c r="W15" s="505" t="s">
        <v>527</v>
      </c>
      <c r="X15" s="501" t="s">
        <v>527</v>
      </c>
      <c r="Y15" s="501" t="s">
        <v>527</v>
      </c>
      <c r="Z15" s="501" t="s">
        <v>527</v>
      </c>
      <c r="AA15" s="501" t="s">
        <v>527</v>
      </c>
      <c r="AB15" s="497">
        <v>1</v>
      </c>
      <c r="AC15" s="481"/>
      <c r="AD15" s="475"/>
      <c r="AE15" s="502"/>
      <c r="AF15" s="436"/>
      <c r="AG15" s="436"/>
      <c r="AH15" s="436"/>
      <c r="AI15" s="436"/>
      <c r="AJ15" s="4" t="s">
        <v>129</v>
      </c>
      <c r="AK15" s="4" t="s">
        <v>130</v>
      </c>
      <c r="AL15" s="4">
        <v>1</v>
      </c>
      <c r="AM15" s="65">
        <v>0.05</v>
      </c>
      <c r="AN15" s="183">
        <v>0</v>
      </c>
      <c r="AO15" s="183">
        <v>0.5</v>
      </c>
      <c r="AP15" s="78">
        <v>44927</v>
      </c>
      <c r="AQ15" s="78">
        <v>45291</v>
      </c>
      <c r="AR15" s="4">
        <v>365</v>
      </c>
      <c r="AS15" s="4">
        <v>1028736</v>
      </c>
      <c r="AT15" s="4">
        <v>1028736</v>
      </c>
      <c r="AU15" s="4" t="s">
        <v>91</v>
      </c>
      <c r="AV15" s="4" t="s">
        <v>92</v>
      </c>
      <c r="AW15" s="4" t="s">
        <v>93</v>
      </c>
      <c r="AX15" s="102">
        <v>0</v>
      </c>
      <c r="AY15" s="102">
        <v>0</v>
      </c>
      <c r="AZ15" s="102">
        <f t="shared" si="0"/>
        <v>0</v>
      </c>
      <c r="BA15" s="102">
        <v>0</v>
      </c>
      <c r="BB15" s="102">
        <v>0</v>
      </c>
      <c r="BC15" s="86">
        <f t="shared" si="1"/>
        <v>0</v>
      </c>
      <c r="BD15" s="102">
        <v>0</v>
      </c>
      <c r="BE15" s="102">
        <v>0</v>
      </c>
      <c r="BF15" s="102">
        <v>0</v>
      </c>
      <c r="BG15" s="102">
        <f t="shared" si="2"/>
        <v>0</v>
      </c>
      <c r="BH15" s="152">
        <v>0</v>
      </c>
      <c r="BI15" s="152">
        <v>0</v>
      </c>
      <c r="BJ15" s="152">
        <v>0</v>
      </c>
      <c r="BK15" s="152">
        <f t="shared" si="3"/>
        <v>0</v>
      </c>
      <c r="BL15" s="444"/>
      <c r="BM15" s="406"/>
      <c r="BN15" s="406"/>
      <c r="BO15" s="4" t="s">
        <v>96</v>
      </c>
      <c r="BP15" s="4" t="s">
        <v>97</v>
      </c>
      <c r="BQ15" s="4" t="s">
        <v>97</v>
      </c>
      <c r="BR15" s="4" t="s">
        <v>97</v>
      </c>
      <c r="BS15" s="4" t="s">
        <v>97</v>
      </c>
      <c r="BT15" s="436" t="s">
        <v>131</v>
      </c>
      <c r="BU15" s="436"/>
      <c r="BV15" s="436"/>
      <c r="BW15" s="122"/>
      <c r="BX15" s="122" t="s">
        <v>582</v>
      </c>
      <c r="BY15" s="63">
        <f t="shared" si="4"/>
        <v>0</v>
      </c>
    </row>
    <row r="16" spans="1:77" ht="53.65" customHeight="1" x14ac:dyDescent="0.25">
      <c r="A16" s="450"/>
      <c r="B16" s="506"/>
      <c r="C16" s="506"/>
      <c r="D16" s="506"/>
      <c r="E16" s="508"/>
      <c r="F16" s="508"/>
      <c r="G16" s="406"/>
      <c r="H16" s="406"/>
      <c r="I16" s="406"/>
      <c r="J16" s="437"/>
      <c r="K16" s="436"/>
      <c r="L16" s="438"/>
      <c r="M16" s="438"/>
      <c r="N16" s="436"/>
      <c r="O16" s="436"/>
      <c r="P16" s="438"/>
      <c r="Q16" s="438"/>
      <c r="R16" s="497"/>
      <c r="S16" s="500"/>
      <c r="T16" s="505"/>
      <c r="U16" s="505"/>
      <c r="V16" s="505"/>
      <c r="W16" s="505"/>
      <c r="X16" s="501"/>
      <c r="Y16" s="501"/>
      <c r="Z16" s="501"/>
      <c r="AA16" s="501"/>
      <c r="AB16" s="497"/>
      <c r="AC16" s="481"/>
      <c r="AD16" s="475"/>
      <c r="AE16" s="502"/>
      <c r="AF16" s="436"/>
      <c r="AG16" s="436"/>
      <c r="AH16" s="436"/>
      <c r="AI16" s="436"/>
      <c r="AJ16" s="4" t="s">
        <v>132</v>
      </c>
      <c r="AK16" s="4" t="s">
        <v>133</v>
      </c>
      <c r="AL16" s="4">
        <v>1</v>
      </c>
      <c r="AM16" s="65">
        <v>0.05</v>
      </c>
      <c r="AN16" s="184">
        <v>0</v>
      </c>
      <c r="AO16" s="183">
        <v>0.33</v>
      </c>
      <c r="AP16" s="78">
        <v>44927</v>
      </c>
      <c r="AQ16" s="78">
        <v>45291</v>
      </c>
      <c r="AR16" s="4">
        <v>365</v>
      </c>
      <c r="AS16" s="4">
        <v>1028736</v>
      </c>
      <c r="AT16" s="4">
        <v>1028736</v>
      </c>
      <c r="AU16" s="4" t="s">
        <v>91</v>
      </c>
      <c r="AV16" s="4" t="s">
        <v>92</v>
      </c>
      <c r="AW16" s="4" t="s">
        <v>93</v>
      </c>
      <c r="AX16" s="102">
        <v>0</v>
      </c>
      <c r="AY16" s="102">
        <v>0</v>
      </c>
      <c r="AZ16" s="102">
        <f t="shared" si="0"/>
        <v>0</v>
      </c>
      <c r="BA16" s="102">
        <v>0</v>
      </c>
      <c r="BB16" s="102">
        <v>0</v>
      </c>
      <c r="BC16" s="86">
        <f t="shared" si="1"/>
        <v>0</v>
      </c>
      <c r="BD16" s="102">
        <v>0</v>
      </c>
      <c r="BE16" s="102">
        <v>0</v>
      </c>
      <c r="BF16" s="102">
        <v>0</v>
      </c>
      <c r="BG16" s="102">
        <f t="shared" si="2"/>
        <v>0</v>
      </c>
      <c r="BH16" s="152">
        <v>0</v>
      </c>
      <c r="BI16" s="152">
        <v>0</v>
      </c>
      <c r="BJ16" s="152">
        <v>0</v>
      </c>
      <c r="BK16" s="152">
        <f t="shared" si="3"/>
        <v>0</v>
      </c>
      <c r="BL16" s="444"/>
      <c r="BM16" s="406"/>
      <c r="BN16" s="406"/>
      <c r="BO16" s="4" t="s">
        <v>96</v>
      </c>
      <c r="BP16" s="4" t="s">
        <v>97</v>
      </c>
      <c r="BQ16" s="4" t="s">
        <v>97</v>
      </c>
      <c r="BR16" s="4" t="s">
        <v>97</v>
      </c>
      <c r="BS16" s="4" t="s">
        <v>97</v>
      </c>
      <c r="BT16" s="436"/>
      <c r="BU16" s="436"/>
      <c r="BV16" s="436"/>
      <c r="BW16" s="122"/>
      <c r="BX16" s="122" t="s">
        <v>582</v>
      </c>
      <c r="BY16" s="63">
        <f t="shared" si="4"/>
        <v>0</v>
      </c>
    </row>
    <row r="17" spans="1:77" ht="71.25" x14ac:dyDescent="0.25">
      <c r="A17" s="450"/>
      <c r="B17" s="506"/>
      <c r="C17" s="506"/>
      <c r="D17" s="506"/>
      <c r="E17" s="508"/>
      <c r="F17" s="508"/>
      <c r="G17" s="406"/>
      <c r="H17" s="406"/>
      <c r="I17" s="406"/>
      <c r="J17" s="437"/>
      <c r="K17" s="436" t="s">
        <v>134</v>
      </c>
      <c r="L17" s="438" t="s">
        <v>76</v>
      </c>
      <c r="M17" s="438">
        <v>0</v>
      </c>
      <c r="N17" s="436" t="s">
        <v>135</v>
      </c>
      <c r="O17" s="436"/>
      <c r="P17" s="436" t="s">
        <v>80</v>
      </c>
      <c r="Q17" s="436" t="s">
        <v>136</v>
      </c>
      <c r="R17" s="497">
        <v>4</v>
      </c>
      <c r="S17" s="500">
        <v>2</v>
      </c>
      <c r="T17" s="505">
        <v>0</v>
      </c>
      <c r="U17" s="505">
        <v>0</v>
      </c>
      <c r="V17" s="505">
        <v>0</v>
      </c>
      <c r="W17" s="505">
        <f>SUM(T17:V19)</f>
        <v>0</v>
      </c>
      <c r="X17" s="501">
        <v>1</v>
      </c>
      <c r="Y17" s="501">
        <v>0</v>
      </c>
      <c r="Z17" s="501">
        <v>0</v>
      </c>
      <c r="AA17" s="501">
        <f>SUM(X17:Z19)</f>
        <v>1</v>
      </c>
      <c r="AB17" s="474">
        <v>2</v>
      </c>
      <c r="AC17" s="481"/>
      <c r="AD17" s="475"/>
      <c r="AE17" s="502"/>
      <c r="AF17" s="436"/>
      <c r="AG17" s="436"/>
      <c r="AH17" s="436"/>
      <c r="AI17" s="436"/>
      <c r="AJ17" s="4" t="s">
        <v>137</v>
      </c>
      <c r="AK17" s="4" t="s">
        <v>138</v>
      </c>
      <c r="AL17" s="4">
        <v>2</v>
      </c>
      <c r="AM17" s="65">
        <v>0.05</v>
      </c>
      <c r="AN17" s="184">
        <v>0</v>
      </c>
      <c r="AO17" s="184">
        <v>1</v>
      </c>
      <c r="AP17" s="78">
        <v>44927</v>
      </c>
      <c r="AQ17" s="78">
        <v>45291</v>
      </c>
      <c r="AR17" s="4">
        <v>365</v>
      </c>
      <c r="AS17" s="4">
        <v>1028736</v>
      </c>
      <c r="AT17" s="4">
        <v>1028736</v>
      </c>
      <c r="AU17" s="4" t="s">
        <v>91</v>
      </c>
      <c r="AV17" s="4" t="s">
        <v>92</v>
      </c>
      <c r="AW17" s="4" t="s">
        <v>93</v>
      </c>
      <c r="AX17" s="102">
        <v>142328500</v>
      </c>
      <c r="AY17" s="153">
        <v>-142328500</v>
      </c>
      <c r="AZ17" s="102">
        <f t="shared" si="0"/>
        <v>0</v>
      </c>
      <c r="BA17" s="102">
        <v>0</v>
      </c>
      <c r="BB17" s="102">
        <v>0</v>
      </c>
      <c r="BC17" s="86">
        <f t="shared" si="1"/>
        <v>0</v>
      </c>
      <c r="BD17" s="102">
        <v>0</v>
      </c>
      <c r="BE17" s="102">
        <v>0</v>
      </c>
      <c r="BF17" s="102">
        <v>0</v>
      </c>
      <c r="BG17" s="102">
        <f t="shared" si="2"/>
        <v>0</v>
      </c>
      <c r="BH17" s="152">
        <v>0</v>
      </c>
      <c r="BI17" s="152">
        <v>0</v>
      </c>
      <c r="BJ17" s="152">
        <v>0</v>
      </c>
      <c r="BK17" s="152">
        <f t="shared" si="3"/>
        <v>0</v>
      </c>
      <c r="BL17" s="444"/>
      <c r="BM17" s="406"/>
      <c r="BN17" s="406"/>
      <c r="BO17" s="4" t="s">
        <v>108</v>
      </c>
      <c r="BP17" s="4" t="s">
        <v>139</v>
      </c>
      <c r="BQ17" s="4" t="s">
        <v>140</v>
      </c>
      <c r="BR17" s="4" t="s">
        <v>111</v>
      </c>
      <c r="BS17" s="6">
        <v>44958</v>
      </c>
      <c r="BT17" s="7" t="s">
        <v>141</v>
      </c>
      <c r="BU17" s="436"/>
      <c r="BV17" s="436"/>
      <c r="BW17" s="122"/>
      <c r="BX17" s="122" t="s">
        <v>582</v>
      </c>
      <c r="BY17" s="63">
        <f t="shared" si="4"/>
        <v>0</v>
      </c>
    </row>
    <row r="18" spans="1:77" ht="55.15" customHeight="1" x14ac:dyDescent="0.25">
      <c r="A18" s="450"/>
      <c r="B18" s="506"/>
      <c r="C18" s="506"/>
      <c r="D18" s="506"/>
      <c r="E18" s="508"/>
      <c r="F18" s="508"/>
      <c r="G18" s="406"/>
      <c r="H18" s="406"/>
      <c r="I18" s="406"/>
      <c r="J18" s="437"/>
      <c r="K18" s="436"/>
      <c r="L18" s="438"/>
      <c r="M18" s="438"/>
      <c r="N18" s="436"/>
      <c r="O18" s="436"/>
      <c r="P18" s="436"/>
      <c r="Q18" s="436"/>
      <c r="R18" s="497"/>
      <c r="S18" s="500"/>
      <c r="T18" s="505"/>
      <c r="U18" s="505"/>
      <c r="V18" s="505"/>
      <c r="W18" s="505"/>
      <c r="X18" s="501"/>
      <c r="Y18" s="501"/>
      <c r="Z18" s="501"/>
      <c r="AA18" s="501"/>
      <c r="AB18" s="474"/>
      <c r="AC18" s="481"/>
      <c r="AD18" s="475"/>
      <c r="AE18" s="502"/>
      <c r="AF18" s="436"/>
      <c r="AG18" s="436"/>
      <c r="AH18" s="436"/>
      <c r="AI18" s="436"/>
      <c r="AJ18" s="4" t="s">
        <v>142</v>
      </c>
      <c r="AK18" s="4" t="s">
        <v>114</v>
      </c>
      <c r="AL18" s="4">
        <v>1</v>
      </c>
      <c r="AM18" s="65">
        <v>0.2</v>
      </c>
      <c r="AN18" s="184">
        <v>0.25</v>
      </c>
      <c r="AO18" s="184">
        <v>0.25</v>
      </c>
      <c r="AP18" s="78">
        <v>44927</v>
      </c>
      <c r="AQ18" s="78">
        <v>45291</v>
      </c>
      <c r="AR18" s="4">
        <v>365</v>
      </c>
      <c r="AS18" s="4">
        <v>1028736</v>
      </c>
      <c r="AT18" s="4">
        <v>1028736</v>
      </c>
      <c r="AU18" s="4" t="s">
        <v>91</v>
      </c>
      <c r="AV18" s="4" t="s">
        <v>92</v>
      </c>
      <c r="AW18" s="4" t="s">
        <v>93</v>
      </c>
      <c r="AX18" s="102">
        <v>0</v>
      </c>
      <c r="AY18" s="102">
        <v>0</v>
      </c>
      <c r="AZ18" s="102">
        <f t="shared" si="0"/>
        <v>0</v>
      </c>
      <c r="BA18" s="102">
        <v>0</v>
      </c>
      <c r="BB18" s="102">
        <v>0</v>
      </c>
      <c r="BC18" s="86">
        <f t="shared" si="1"/>
        <v>0</v>
      </c>
      <c r="BD18" s="102">
        <v>0</v>
      </c>
      <c r="BE18" s="102">
        <v>0</v>
      </c>
      <c r="BF18" s="102">
        <v>0</v>
      </c>
      <c r="BG18" s="102">
        <f t="shared" si="2"/>
        <v>0</v>
      </c>
      <c r="BH18" s="152">
        <v>0</v>
      </c>
      <c r="BI18" s="152">
        <v>0</v>
      </c>
      <c r="BJ18" s="152">
        <v>0</v>
      </c>
      <c r="BK18" s="152">
        <f t="shared" si="3"/>
        <v>0</v>
      </c>
      <c r="BL18" s="444"/>
      <c r="BM18" s="406"/>
      <c r="BN18" s="406"/>
      <c r="BO18" s="4" t="s">
        <v>96</v>
      </c>
      <c r="BP18" s="4" t="s">
        <v>97</v>
      </c>
      <c r="BQ18" s="4" t="s">
        <v>97</v>
      </c>
      <c r="BR18" s="4" t="s">
        <v>97</v>
      </c>
      <c r="BS18" s="4" t="s">
        <v>97</v>
      </c>
      <c r="BT18" s="7" t="s">
        <v>143</v>
      </c>
      <c r="BU18" s="436"/>
      <c r="BV18" s="436"/>
      <c r="BW18" s="122"/>
      <c r="BX18" s="122" t="s">
        <v>582</v>
      </c>
      <c r="BY18" s="63">
        <f t="shared" si="4"/>
        <v>0</v>
      </c>
    </row>
    <row r="19" spans="1:77" ht="132" customHeight="1" x14ac:dyDescent="0.2">
      <c r="A19" s="450"/>
      <c r="B19" s="506"/>
      <c r="C19" s="506"/>
      <c r="D19" s="506"/>
      <c r="E19" s="508"/>
      <c r="F19" s="508"/>
      <c r="G19" s="406"/>
      <c r="H19" s="406"/>
      <c r="I19" s="406"/>
      <c r="J19" s="437"/>
      <c r="K19" s="436"/>
      <c r="L19" s="438"/>
      <c r="M19" s="438"/>
      <c r="N19" s="436"/>
      <c r="O19" s="436"/>
      <c r="P19" s="436"/>
      <c r="Q19" s="436"/>
      <c r="R19" s="497"/>
      <c r="S19" s="500"/>
      <c r="T19" s="505"/>
      <c r="U19" s="505"/>
      <c r="V19" s="505"/>
      <c r="W19" s="505"/>
      <c r="X19" s="501"/>
      <c r="Y19" s="501"/>
      <c r="Z19" s="501"/>
      <c r="AA19" s="501"/>
      <c r="AB19" s="474"/>
      <c r="AC19" s="481"/>
      <c r="AD19" s="475"/>
      <c r="AE19" s="502"/>
      <c r="AF19" s="436"/>
      <c r="AG19" s="436"/>
      <c r="AH19" s="436"/>
      <c r="AI19" s="436"/>
      <c r="AJ19" s="64" t="s">
        <v>144</v>
      </c>
      <c r="AK19" s="64" t="s">
        <v>145</v>
      </c>
      <c r="AL19" s="4">
        <v>1</v>
      </c>
      <c r="AM19" s="65">
        <v>0.2</v>
      </c>
      <c r="AN19" s="184">
        <v>0.25</v>
      </c>
      <c r="AO19" s="184">
        <v>0.25</v>
      </c>
      <c r="AP19" s="78">
        <v>44927</v>
      </c>
      <c r="AQ19" s="78">
        <v>45291</v>
      </c>
      <c r="AR19" s="4">
        <v>365</v>
      </c>
      <c r="AS19" s="4">
        <v>1028736</v>
      </c>
      <c r="AT19" s="4">
        <v>1028736</v>
      </c>
      <c r="AU19" s="4" t="s">
        <v>91</v>
      </c>
      <c r="AV19" s="4" t="s">
        <v>92</v>
      </c>
      <c r="AW19" s="4" t="s">
        <v>93</v>
      </c>
      <c r="AX19" s="102">
        <v>57500000</v>
      </c>
      <c r="AY19" s="102">
        <v>0</v>
      </c>
      <c r="AZ19" s="102">
        <f t="shared" si="0"/>
        <v>57500000</v>
      </c>
      <c r="BA19" s="102">
        <v>0</v>
      </c>
      <c r="BB19" s="102">
        <v>0</v>
      </c>
      <c r="BC19" s="86">
        <f t="shared" si="1"/>
        <v>57500000</v>
      </c>
      <c r="BD19" s="102">
        <v>0</v>
      </c>
      <c r="BE19" s="102">
        <v>0</v>
      </c>
      <c r="BF19" s="102">
        <v>5000000</v>
      </c>
      <c r="BG19" s="102">
        <f t="shared" si="2"/>
        <v>5000000</v>
      </c>
      <c r="BH19" s="152">
        <v>5000000</v>
      </c>
      <c r="BI19" s="152">
        <v>5000000</v>
      </c>
      <c r="BJ19" s="152">
        <v>5000000</v>
      </c>
      <c r="BK19" s="152">
        <f t="shared" si="3"/>
        <v>15000000</v>
      </c>
      <c r="BL19" s="444"/>
      <c r="BM19" s="406"/>
      <c r="BN19" s="406"/>
      <c r="BO19" s="4" t="s">
        <v>108</v>
      </c>
      <c r="BP19" s="4" t="s">
        <v>146</v>
      </c>
      <c r="BQ19" s="4" t="s">
        <v>147</v>
      </c>
      <c r="BR19" s="4" t="s">
        <v>111</v>
      </c>
      <c r="BS19" s="6">
        <v>44927</v>
      </c>
      <c r="BT19" s="7" t="s">
        <v>148</v>
      </c>
      <c r="BU19" s="436"/>
      <c r="BV19" s="436"/>
      <c r="BW19" s="123" t="s">
        <v>551</v>
      </c>
      <c r="BX19" s="122" t="s">
        <v>584</v>
      </c>
      <c r="BY19" s="63">
        <f t="shared" si="4"/>
        <v>20000000</v>
      </c>
    </row>
    <row r="20" spans="1:77" ht="42.75" x14ac:dyDescent="0.25">
      <c r="A20" s="450"/>
      <c r="B20" s="506"/>
      <c r="C20" s="506"/>
      <c r="D20" s="506"/>
      <c r="E20" s="508"/>
      <c r="F20" s="508"/>
      <c r="G20" s="406"/>
      <c r="H20" s="406"/>
      <c r="I20" s="406"/>
      <c r="J20" s="437"/>
      <c r="K20" s="436" t="s">
        <v>149</v>
      </c>
      <c r="L20" s="438" t="s">
        <v>76</v>
      </c>
      <c r="M20" s="438">
        <v>100</v>
      </c>
      <c r="N20" s="436" t="s">
        <v>150</v>
      </c>
      <c r="O20" s="436"/>
      <c r="P20" s="438" t="s">
        <v>80</v>
      </c>
      <c r="Q20" s="436" t="s">
        <v>136</v>
      </c>
      <c r="R20" s="497">
        <v>200</v>
      </c>
      <c r="S20" s="500" t="s">
        <v>120</v>
      </c>
      <c r="T20" s="505" t="s">
        <v>527</v>
      </c>
      <c r="U20" s="505" t="s">
        <v>527</v>
      </c>
      <c r="V20" s="505" t="s">
        <v>527</v>
      </c>
      <c r="W20" s="505" t="s">
        <v>527</v>
      </c>
      <c r="X20" s="501">
        <v>31</v>
      </c>
      <c r="Y20" s="501" t="s">
        <v>527</v>
      </c>
      <c r="Z20" s="501">
        <v>74</v>
      </c>
      <c r="AA20" s="501">
        <v>105</v>
      </c>
      <c r="AB20" s="495">
        <v>209</v>
      </c>
      <c r="AC20" s="481"/>
      <c r="AD20" s="475"/>
      <c r="AE20" s="502"/>
      <c r="AF20" s="436"/>
      <c r="AG20" s="436"/>
      <c r="AH20" s="436"/>
      <c r="AI20" s="436"/>
      <c r="AJ20" s="64" t="s">
        <v>151</v>
      </c>
      <c r="AK20" s="64" t="s">
        <v>152</v>
      </c>
      <c r="AL20" s="4">
        <v>1</v>
      </c>
      <c r="AM20" s="65">
        <v>0.05</v>
      </c>
      <c r="AN20" s="184">
        <v>0</v>
      </c>
      <c r="AO20" s="184">
        <v>0</v>
      </c>
      <c r="AP20" s="78">
        <v>44927</v>
      </c>
      <c r="AQ20" s="78">
        <v>45291</v>
      </c>
      <c r="AR20" s="4">
        <v>365</v>
      </c>
      <c r="AS20" s="4">
        <v>1028736</v>
      </c>
      <c r="AT20" s="4">
        <v>1028736</v>
      </c>
      <c r="AU20" s="4" t="s">
        <v>91</v>
      </c>
      <c r="AV20" s="4" t="s">
        <v>92</v>
      </c>
      <c r="AW20" s="4" t="s">
        <v>93</v>
      </c>
      <c r="AX20" s="102">
        <v>0</v>
      </c>
      <c r="AY20" s="102">
        <v>0</v>
      </c>
      <c r="AZ20" s="102">
        <f t="shared" si="0"/>
        <v>0</v>
      </c>
      <c r="BA20" s="102">
        <v>0</v>
      </c>
      <c r="BB20" s="102">
        <v>0</v>
      </c>
      <c r="BC20" s="153">
        <f t="shared" si="1"/>
        <v>0</v>
      </c>
      <c r="BD20" s="102">
        <v>0</v>
      </c>
      <c r="BE20" s="102">
        <v>0</v>
      </c>
      <c r="BF20" s="102">
        <v>0</v>
      </c>
      <c r="BG20" s="102">
        <f t="shared" si="2"/>
        <v>0</v>
      </c>
      <c r="BH20" s="152">
        <v>0</v>
      </c>
      <c r="BI20" s="152">
        <v>0</v>
      </c>
      <c r="BJ20" s="152">
        <v>0</v>
      </c>
      <c r="BK20" s="152">
        <f t="shared" si="3"/>
        <v>0</v>
      </c>
      <c r="BL20" s="444"/>
      <c r="BM20" s="406"/>
      <c r="BN20" s="406"/>
      <c r="BO20" s="4" t="s">
        <v>96</v>
      </c>
      <c r="BP20" s="4" t="s">
        <v>97</v>
      </c>
      <c r="BQ20" s="4" t="s">
        <v>97</v>
      </c>
      <c r="BR20" s="4" t="s">
        <v>97</v>
      </c>
      <c r="BS20" s="4" t="s">
        <v>97</v>
      </c>
      <c r="BT20" s="7" t="s">
        <v>153</v>
      </c>
      <c r="BU20" s="436"/>
      <c r="BV20" s="436"/>
      <c r="BW20" s="122"/>
      <c r="BX20" s="122" t="s">
        <v>582</v>
      </c>
      <c r="BY20" s="63">
        <f t="shared" si="4"/>
        <v>0</v>
      </c>
    </row>
    <row r="21" spans="1:77" ht="41.65" customHeight="1" x14ac:dyDescent="0.25">
      <c r="A21" s="450"/>
      <c r="B21" s="506"/>
      <c r="C21" s="506"/>
      <c r="D21" s="506"/>
      <c r="E21" s="508"/>
      <c r="F21" s="508"/>
      <c r="G21" s="406"/>
      <c r="H21" s="406"/>
      <c r="I21" s="406"/>
      <c r="J21" s="437"/>
      <c r="K21" s="436"/>
      <c r="L21" s="438"/>
      <c r="M21" s="438"/>
      <c r="N21" s="436"/>
      <c r="O21" s="436"/>
      <c r="P21" s="438"/>
      <c r="Q21" s="436"/>
      <c r="R21" s="497"/>
      <c r="S21" s="500"/>
      <c r="T21" s="505"/>
      <c r="U21" s="505"/>
      <c r="V21" s="505"/>
      <c r="W21" s="505"/>
      <c r="X21" s="501"/>
      <c r="Y21" s="501"/>
      <c r="Z21" s="501"/>
      <c r="AA21" s="501"/>
      <c r="AB21" s="495"/>
      <c r="AC21" s="481"/>
      <c r="AD21" s="475"/>
      <c r="AE21" s="502"/>
      <c r="AF21" s="436"/>
      <c r="AG21" s="436"/>
      <c r="AH21" s="436"/>
      <c r="AI21" s="436"/>
      <c r="AJ21" s="64" t="s">
        <v>154</v>
      </c>
      <c r="AK21" s="64" t="s">
        <v>155</v>
      </c>
      <c r="AL21" s="4">
        <v>1</v>
      </c>
      <c r="AM21" s="65">
        <v>0.05</v>
      </c>
      <c r="AN21" s="184">
        <v>0</v>
      </c>
      <c r="AO21" s="184">
        <v>0</v>
      </c>
      <c r="AP21" s="78">
        <v>44927</v>
      </c>
      <c r="AQ21" s="78">
        <v>45291</v>
      </c>
      <c r="AR21" s="4">
        <v>365</v>
      </c>
      <c r="AS21" s="4">
        <v>1028736</v>
      </c>
      <c r="AT21" s="4">
        <v>1028736</v>
      </c>
      <c r="AU21" s="4" t="s">
        <v>91</v>
      </c>
      <c r="AV21" s="4" t="s">
        <v>92</v>
      </c>
      <c r="AW21" s="4" t="s">
        <v>93</v>
      </c>
      <c r="AX21" s="102">
        <v>0</v>
      </c>
      <c r="AY21" s="102">
        <v>0</v>
      </c>
      <c r="AZ21" s="102">
        <f t="shared" si="0"/>
        <v>0</v>
      </c>
      <c r="BA21" s="102">
        <v>0</v>
      </c>
      <c r="BB21" s="102">
        <v>0</v>
      </c>
      <c r="BC21" s="153">
        <f t="shared" si="1"/>
        <v>0</v>
      </c>
      <c r="BD21" s="102">
        <v>0</v>
      </c>
      <c r="BE21" s="102">
        <v>0</v>
      </c>
      <c r="BF21" s="102">
        <v>0</v>
      </c>
      <c r="BG21" s="102">
        <f t="shared" si="2"/>
        <v>0</v>
      </c>
      <c r="BH21" s="152">
        <v>0</v>
      </c>
      <c r="BI21" s="152">
        <v>0</v>
      </c>
      <c r="BJ21" s="152">
        <v>0</v>
      </c>
      <c r="BK21" s="152">
        <f t="shared" si="3"/>
        <v>0</v>
      </c>
      <c r="BL21" s="444"/>
      <c r="BM21" s="406"/>
      <c r="BN21" s="406"/>
      <c r="BO21" s="4" t="s">
        <v>96</v>
      </c>
      <c r="BP21" s="4" t="s">
        <v>97</v>
      </c>
      <c r="BQ21" s="4" t="s">
        <v>97</v>
      </c>
      <c r="BR21" s="4" t="s">
        <v>97</v>
      </c>
      <c r="BS21" s="4" t="s">
        <v>97</v>
      </c>
      <c r="BT21" s="7" t="s">
        <v>156</v>
      </c>
      <c r="BU21" s="436"/>
      <c r="BV21" s="436"/>
      <c r="BW21" s="122"/>
      <c r="BX21" s="122" t="s">
        <v>582</v>
      </c>
      <c r="BY21" s="63">
        <f t="shared" si="4"/>
        <v>0</v>
      </c>
    </row>
    <row r="22" spans="1:77" ht="213.75" x14ac:dyDescent="0.25">
      <c r="A22" s="450"/>
      <c r="B22" s="506"/>
      <c r="C22" s="506"/>
      <c r="D22" s="506"/>
      <c r="E22" s="508"/>
      <c r="F22" s="508"/>
      <c r="G22" s="406"/>
      <c r="H22" s="406"/>
      <c r="I22" s="406"/>
      <c r="J22" s="437"/>
      <c r="K22" s="436"/>
      <c r="L22" s="438"/>
      <c r="M22" s="438"/>
      <c r="N22" s="436"/>
      <c r="O22" s="436"/>
      <c r="P22" s="438"/>
      <c r="Q22" s="436"/>
      <c r="R22" s="497"/>
      <c r="S22" s="500"/>
      <c r="T22" s="505"/>
      <c r="U22" s="505"/>
      <c r="V22" s="505"/>
      <c r="W22" s="505"/>
      <c r="X22" s="501"/>
      <c r="Y22" s="501"/>
      <c r="Z22" s="501"/>
      <c r="AA22" s="501"/>
      <c r="AB22" s="495"/>
      <c r="AC22" s="481"/>
      <c r="AD22" s="475"/>
      <c r="AE22" s="502"/>
      <c r="AF22" s="436"/>
      <c r="AG22" s="436"/>
      <c r="AH22" s="436"/>
      <c r="AI22" s="436"/>
      <c r="AJ22" s="64" t="s">
        <v>157</v>
      </c>
      <c r="AK22" s="64" t="s">
        <v>114</v>
      </c>
      <c r="AL22" s="4">
        <v>1</v>
      </c>
      <c r="AM22" s="65">
        <v>0.2</v>
      </c>
      <c r="AN22" s="184">
        <v>0.25</v>
      </c>
      <c r="AO22" s="184">
        <v>0.25</v>
      </c>
      <c r="AP22" s="78">
        <v>44927</v>
      </c>
      <c r="AQ22" s="78">
        <v>45291</v>
      </c>
      <c r="AR22" s="4">
        <v>365</v>
      </c>
      <c r="AS22" s="4">
        <v>1028736</v>
      </c>
      <c r="AT22" s="4">
        <v>1028736</v>
      </c>
      <c r="AU22" s="4" t="s">
        <v>91</v>
      </c>
      <c r="AV22" s="4" t="s">
        <v>92</v>
      </c>
      <c r="AW22" s="4" t="s">
        <v>93</v>
      </c>
      <c r="AX22" s="102">
        <v>44171500</v>
      </c>
      <c r="AY22" s="153">
        <v>-3220</v>
      </c>
      <c r="AZ22" s="102">
        <f t="shared" si="0"/>
        <v>44168280</v>
      </c>
      <c r="BA22" s="102">
        <v>0</v>
      </c>
      <c r="BB22" s="102">
        <v>0</v>
      </c>
      <c r="BC22" s="153">
        <f t="shared" si="1"/>
        <v>44168280</v>
      </c>
      <c r="BD22" s="102">
        <v>0</v>
      </c>
      <c r="BE22" s="102">
        <v>0</v>
      </c>
      <c r="BF22" s="102">
        <v>3500000</v>
      </c>
      <c r="BG22" s="102">
        <f t="shared" si="2"/>
        <v>3500000</v>
      </c>
      <c r="BH22" s="152">
        <v>3500000</v>
      </c>
      <c r="BI22" s="152">
        <v>3500000</v>
      </c>
      <c r="BJ22" s="152">
        <v>3500000</v>
      </c>
      <c r="BK22" s="152">
        <f t="shared" si="3"/>
        <v>10500000</v>
      </c>
      <c r="BL22" s="444"/>
      <c r="BM22" s="406"/>
      <c r="BN22" s="406"/>
      <c r="BO22" s="4" t="s">
        <v>108</v>
      </c>
      <c r="BP22" s="4" t="s">
        <v>158</v>
      </c>
      <c r="BQ22" s="4" t="s">
        <v>147</v>
      </c>
      <c r="BR22" s="4" t="s">
        <v>111</v>
      </c>
      <c r="BS22" s="6">
        <v>44927</v>
      </c>
      <c r="BT22" s="7" t="s">
        <v>143</v>
      </c>
      <c r="BU22" s="436"/>
      <c r="BV22" s="436"/>
      <c r="BW22" s="122" t="s">
        <v>545</v>
      </c>
      <c r="BX22" s="122" t="s">
        <v>585</v>
      </c>
      <c r="BY22" s="63">
        <f t="shared" si="4"/>
        <v>14000000</v>
      </c>
    </row>
    <row r="23" spans="1:77" ht="207" customHeight="1" x14ac:dyDescent="0.25">
      <c r="A23" s="450"/>
      <c r="B23" s="506"/>
      <c r="C23" s="506"/>
      <c r="D23" s="506"/>
      <c r="E23" s="508"/>
      <c r="F23" s="508"/>
      <c r="G23" s="406"/>
      <c r="H23" s="406"/>
      <c r="I23" s="406"/>
      <c r="J23" s="437"/>
      <c r="K23" s="436"/>
      <c r="L23" s="438"/>
      <c r="M23" s="438"/>
      <c r="N23" s="436"/>
      <c r="O23" s="436"/>
      <c r="P23" s="438"/>
      <c r="Q23" s="436"/>
      <c r="R23" s="497"/>
      <c r="S23" s="500"/>
      <c r="T23" s="505"/>
      <c r="U23" s="505"/>
      <c r="V23" s="505"/>
      <c r="W23" s="505"/>
      <c r="X23" s="501"/>
      <c r="Y23" s="501"/>
      <c r="Z23" s="501"/>
      <c r="AA23" s="501"/>
      <c r="AB23" s="495"/>
      <c r="AC23" s="481"/>
      <c r="AD23" s="475"/>
      <c r="AE23" s="502"/>
      <c r="AF23" s="436"/>
      <c r="AG23" s="436"/>
      <c r="AH23" s="436"/>
      <c r="AI23" s="436"/>
      <c r="AJ23" s="64" t="s">
        <v>159</v>
      </c>
      <c r="AK23" s="64" t="s">
        <v>160</v>
      </c>
      <c r="AL23" s="4">
        <v>1</v>
      </c>
      <c r="AM23" s="65">
        <v>0.15</v>
      </c>
      <c r="AN23" s="184">
        <v>0.25</v>
      </c>
      <c r="AO23" s="184">
        <v>0.25</v>
      </c>
      <c r="AP23" s="78">
        <v>44927</v>
      </c>
      <c r="AQ23" s="78">
        <v>45291</v>
      </c>
      <c r="AR23" s="4">
        <v>365</v>
      </c>
      <c r="AS23" s="4">
        <v>1028736</v>
      </c>
      <c r="AT23" s="4">
        <v>1028736</v>
      </c>
      <c r="AU23" s="4" t="s">
        <v>91</v>
      </c>
      <c r="AV23" s="4" t="s">
        <v>92</v>
      </c>
      <c r="AW23" s="4" t="s">
        <v>93</v>
      </c>
      <c r="AX23" s="102">
        <v>0</v>
      </c>
      <c r="AY23" s="102">
        <v>0</v>
      </c>
      <c r="AZ23" s="102">
        <f t="shared" si="0"/>
        <v>0</v>
      </c>
      <c r="BA23" s="102">
        <v>0</v>
      </c>
      <c r="BB23" s="102">
        <v>0</v>
      </c>
      <c r="BC23" s="86">
        <f t="shared" si="1"/>
        <v>0</v>
      </c>
      <c r="BD23" s="102">
        <v>0</v>
      </c>
      <c r="BE23" s="102">
        <v>0</v>
      </c>
      <c r="BF23" s="102">
        <v>0</v>
      </c>
      <c r="BG23" s="102">
        <f t="shared" si="2"/>
        <v>0</v>
      </c>
      <c r="BH23" s="102">
        <v>0</v>
      </c>
      <c r="BI23" s="102">
        <v>0</v>
      </c>
      <c r="BJ23" s="102">
        <v>0</v>
      </c>
      <c r="BK23" s="102">
        <f t="shared" si="3"/>
        <v>0</v>
      </c>
      <c r="BL23" s="445"/>
      <c r="BM23" s="407"/>
      <c r="BN23" s="407"/>
      <c r="BO23" s="4" t="s">
        <v>96</v>
      </c>
      <c r="BP23" s="4" t="s">
        <v>97</v>
      </c>
      <c r="BQ23" s="4" t="s">
        <v>97</v>
      </c>
      <c r="BR23" s="4" t="s">
        <v>97</v>
      </c>
      <c r="BS23" s="4" t="s">
        <v>97</v>
      </c>
      <c r="BT23" s="7" t="s">
        <v>161</v>
      </c>
      <c r="BU23" s="436"/>
      <c r="BV23" s="436"/>
      <c r="BW23" s="122" t="s">
        <v>550</v>
      </c>
      <c r="BX23" s="122" t="s">
        <v>586</v>
      </c>
      <c r="BY23" s="63">
        <f t="shared" si="4"/>
        <v>0</v>
      </c>
    </row>
    <row r="24" spans="1:77" s="8" customFormat="1" ht="139.15" customHeight="1" x14ac:dyDescent="0.25">
      <c r="A24" s="450"/>
      <c r="B24" s="506"/>
      <c r="C24" s="506"/>
      <c r="D24" s="506"/>
      <c r="E24" s="508"/>
      <c r="F24" s="508"/>
      <c r="G24" s="406"/>
      <c r="H24" s="406"/>
      <c r="I24" s="406"/>
      <c r="J24" s="437" t="s">
        <v>162</v>
      </c>
      <c r="K24" s="64" t="s">
        <v>163</v>
      </c>
      <c r="L24" s="64" t="s">
        <v>76</v>
      </c>
      <c r="M24" s="64">
        <v>0</v>
      </c>
      <c r="N24" s="64" t="s">
        <v>164</v>
      </c>
      <c r="O24" s="64"/>
      <c r="P24" s="64" t="s">
        <v>80</v>
      </c>
      <c r="Q24" s="64" t="s">
        <v>119</v>
      </c>
      <c r="R24" s="64">
        <v>1</v>
      </c>
      <c r="S24" s="64" t="s">
        <v>527</v>
      </c>
      <c r="T24" s="64" t="s">
        <v>527</v>
      </c>
      <c r="U24" s="64" t="s">
        <v>527</v>
      </c>
      <c r="V24" s="64" t="s">
        <v>527</v>
      </c>
      <c r="W24" s="64" t="s">
        <v>527</v>
      </c>
      <c r="X24" s="166" t="s">
        <v>527</v>
      </c>
      <c r="Y24" s="166" t="s">
        <v>527</v>
      </c>
      <c r="Z24" s="166" t="s">
        <v>527</v>
      </c>
      <c r="AA24" s="166" t="s">
        <v>527</v>
      </c>
      <c r="AB24" s="64">
        <v>1</v>
      </c>
      <c r="AC24" s="438" t="s">
        <v>82</v>
      </c>
      <c r="AD24" s="438" t="s">
        <v>83</v>
      </c>
      <c r="AE24" s="438" t="s">
        <v>84</v>
      </c>
      <c r="AF24" s="438" t="s">
        <v>85</v>
      </c>
      <c r="AG24" s="436" t="s">
        <v>165</v>
      </c>
      <c r="AH24" s="442" t="s">
        <v>166</v>
      </c>
      <c r="AI24" s="436" t="s">
        <v>167</v>
      </c>
      <c r="AJ24" s="4" t="s">
        <v>168</v>
      </c>
      <c r="AK24" s="4" t="s">
        <v>169</v>
      </c>
      <c r="AL24" s="4">
        <v>1</v>
      </c>
      <c r="AM24" s="79">
        <v>0.1</v>
      </c>
      <c r="AN24" s="185">
        <v>0</v>
      </c>
      <c r="AO24" s="185">
        <v>1</v>
      </c>
      <c r="AP24" s="78">
        <v>44927</v>
      </c>
      <c r="AQ24" s="78">
        <v>45291</v>
      </c>
      <c r="AR24" s="4">
        <v>365</v>
      </c>
      <c r="AS24" s="4">
        <v>1028736</v>
      </c>
      <c r="AT24" s="4">
        <v>1028736</v>
      </c>
      <c r="AU24" s="4" t="s">
        <v>91</v>
      </c>
      <c r="AV24" s="4" t="s">
        <v>92</v>
      </c>
      <c r="AW24" s="4" t="s">
        <v>93</v>
      </c>
      <c r="AX24" s="102">
        <v>0</v>
      </c>
      <c r="AY24" s="102">
        <v>0</v>
      </c>
      <c r="AZ24" s="102">
        <f t="shared" si="0"/>
        <v>0</v>
      </c>
      <c r="BA24" s="102">
        <v>0</v>
      </c>
      <c r="BB24" s="102">
        <v>0</v>
      </c>
      <c r="BC24" s="86">
        <f t="shared" si="1"/>
        <v>0</v>
      </c>
      <c r="BD24" s="102">
        <v>0</v>
      </c>
      <c r="BE24" s="102">
        <v>0</v>
      </c>
      <c r="BF24" s="102">
        <v>0</v>
      </c>
      <c r="BG24" s="102">
        <f t="shared" si="2"/>
        <v>0</v>
      </c>
      <c r="BH24" s="102">
        <v>0</v>
      </c>
      <c r="BI24" s="102">
        <v>0</v>
      </c>
      <c r="BJ24" s="102">
        <v>0</v>
      </c>
      <c r="BK24" s="102">
        <f t="shared" si="3"/>
        <v>0</v>
      </c>
      <c r="BL24" s="443" t="s">
        <v>94</v>
      </c>
      <c r="BM24" s="436" t="s">
        <v>170</v>
      </c>
      <c r="BN24" s="436" t="s">
        <v>171</v>
      </c>
      <c r="BO24" s="4" t="s">
        <v>96</v>
      </c>
      <c r="BP24" s="4" t="s">
        <v>97</v>
      </c>
      <c r="BQ24" s="4" t="s">
        <v>97</v>
      </c>
      <c r="BR24" s="4" t="s">
        <v>97</v>
      </c>
      <c r="BS24" s="4" t="s">
        <v>97</v>
      </c>
      <c r="BT24" s="4" t="s">
        <v>172</v>
      </c>
      <c r="BU24" s="405" t="s">
        <v>99</v>
      </c>
      <c r="BV24" s="405" t="s">
        <v>100</v>
      </c>
      <c r="BW24" s="124"/>
      <c r="BX24" s="172" t="s">
        <v>587</v>
      </c>
      <c r="BY24" s="63">
        <f t="shared" si="4"/>
        <v>0</v>
      </c>
    </row>
    <row r="25" spans="1:77" s="8" customFormat="1" ht="99.75" customHeight="1" x14ac:dyDescent="0.25">
      <c r="A25" s="450"/>
      <c r="B25" s="506"/>
      <c r="C25" s="506"/>
      <c r="D25" s="506"/>
      <c r="E25" s="508"/>
      <c r="F25" s="508"/>
      <c r="G25" s="406"/>
      <c r="H25" s="406"/>
      <c r="I25" s="406"/>
      <c r="J25" s="437"/>
      <c r="K25" s="64" t="s">
        <v>173</v>
      </c>
      <c r="L25" s="64" t="s">
        <v>174</v>
      </c>
      <c r="M25" s="64">
        <v>0</v>
      </c>
      <c r="N25" s="64" t="s">
        <v>175</v>
      </c>
      <c r="O25" s="64"/>
      <c r="P25" s="64" t="s">
        <v>80</v>
      </c>
      <c r="Q25" s="64" t="s">
        <v>176</v>
      </c>
      <c r="R25" s="80">
        <v>0.3</v>
      </c>
      <c r="S25" s="64" t="s">
        <v>527</v>
      </c>
      <c r="T25" s="64" t="s">
        <v>527</v>
      </c>
      <c r="U25" s="64" t="s">
        <v>527</v>
      </c>
      <c r="V25" s="64" t="s">
        <v>527</v>
      </c>
      <c r="W25" s="64" t="s">
        <v>527</v>
      </c>
      <c r="X25" s="166" t="s">
        <v>527</v>
      </c>
      <c r="Y25" s="166" t="s">
        <v>527</v>
      </c>
      <c r="Z25" s="166" t="s">
        <v>580</v>
      </c>
      <c r="AA25" s="166" t="s">
        <v>580</v>
      </c>
      <c r="AB25" s="80">
        <v>0.3</v>
      </c>
      <c r="AC25" s="438"/>
      <c r="AD25" s="438"/>
      <c r="AE25" s="438"/>
      <c r="AF25" s="438"/>
      <c r="AG25" s="436"/>
      <c r="AH25" s="442"/>
      <c r="AI25" s="436"/>
      <c r="AJ25" s="4" t="s">
        <v>177</v>
      </c>
      <c r="AK25" s="4" t="s">
        <v>178</v>
      </c>
      <c r="AL25" s="4">
        <v>1</v>
      </c>
      <c r="AM25" s="79">
        <v>0.2</v>
      </c>
      <c r="AN25" s="185">
        <v>0.25</v>
      </c>
      <c r="AO25" s="185">
        <v>0.25</v>
      </c>
      <c r="AP25" s="78">
        <v>44927</v>
      </c>
      <c r="AQ25" s="78">
        <v>45291</v>
      </c>
      <c r="AR25" s="4">
        <v>365</v>
      </c>
      <c r="AS25" s="4">
        <v>1028736</v>
      </c>
      <c r="AT25" s="4">
        <v>1028736</v>
      </c>
      <c r="AU25" s="4" t="s">
        <v>91</v>
      </c>
      <c r="AV25" s="4" t="s">
        <v>92</v>
      </c>
      <c r="AW25" s="4" t="s">
        <v>93</v>
      </c>
      <c r="AX25" s="102">
        <v>0</v>
      </c>
      <c r="AY25" s="102">
        <v>0</v>
      </c>
      <c r="AZ25" s="102">
        <f t="shared" si="0"/>
        <v>0</v>
      </c>
      <c r="BA25" s="102">
        <v>0</v>
      </c>
      <c r="BB25" s="102">
        <v>0</v>
      </c>
      <c r="BC25" s="86">
        <f t="shared" si="1"/>
        <v>0</v>
      </c>
      <c r="BD25" s="102">
        <v>0</v>
      </c>
      <c r="BE25" s="102">
        <v>0</v>
      </c>
      <c r="BF25" s="102">
        <v>0</v>
      </c>
      <c r="BG25" s="102">
        <f t="shared" si="2"/>
        <v>0</v>
      </c>
      <c r="BH25" s="102">
        <v>0</v>
      </c>
      <c r="BI25" s="102">
        <v>0</v>
      </c>
      <c r="BJ25" s="102">
        <v>0</v>
      </c>
      <c r="BK25" s="102">
        <f t="shared" si="3"/>
        <v>0</v>
      </c>
      <c r="BL25" s="444"/>
      <c r="BM25" s="436"/>
      <c r="BN25" s="436"/>
      <c r="BO25" s="4" t="s">
        <v>96</v>
      </c>
      <c r="BP25" s="4" t="s">
        <v>97</v>
      </c>
      <c r="BQ25" s="4" t="s">
        <v>97</v>
      </c>
      <c r="BR25" s="4" t="s">
        <v>97</v>
      </c>
      <c r="BS25" s="4" t="s">
        <v>97</v>
      </c>
      <c r="BT25" s="4" t="s">
        <v>161</v>
      </c>
      <c r="BU25" s="406"/>
      <c r="BV25" s="406"/>
      <c r="BW25" s="553" t="s">
        <v>533</v>
      </c>
      <c r="BX25" s="568" t="s">
        <v>588</v>
      </c>
      <c r="BY25" s="63">
        <f t="shared" si="4"/>
        <v>0</v>
      </c>
    </row>
    <row r="26" spans="1:77" s="8" customFormat="1" ht="172.15" customHeight="1" x14ac:dyDescent="0.25">
      <c r="A26" s="450"/>
      <c r="B26" s="506"/>
      <c r="C26" s="506"/>
      <c r="D26" s="506"/>
      <c r="E26" s="508"/>
      <c r="F26" s="508"/>
      <c r="G26" s="406"/>
      <c r="H26" s="406"/>
      <c r="I26" s="406"/>
      <c r="J26" s="437"/>
      <c r="K26" s="436" t="s">
        <v>179</v>
      </c>
      <c r="L26" s="436" t="s">
        <v>180</v>
      </c>
      <c r="M26" s="438">
        <v>0</v>
      </c>
      <c r="N26" s="436" t="s">
        <v>181</v>
      </c>
      <c r="O26" s="438"/>
      <c r="P26" s="436" t="s">
        <v>80</v>
      </c>
      <c r="Q26" s="438" t="s">
        <v>182</v>
      </c>
      <c r="R26" s="496">
        <v>0.1</v>
      </c>
      <c r="S26" s="496">
        <v>0.1</v>
      </c>
      <c r="T26" s="496">
        <v>0</v>
      </c>
      <c r="U26" s="496">
        <v>0</v>
      </c>
      <c r="V26" s="496">
        <v>0</v>
      </c>
      <c r="W26" s="496">
        <f>SUM(T26:V27)</f>
        <v>0</v>
      </c>
      <c r="X26" s="498">
        <v>0</v>
      </c>
      <c r="Y26" s="498">
        <v>0</v>
      </c>
      <c r="Z26" s="498">
        <v>0</v>
      </c>
      <c r="AA26" s="498">
        <f>SUM(X26:Z27)</f>
        <v>0</v>
      </c>
      <c r="AB26" s="497">
        <v>0</v>
      </c>
      <c r="AC26" s="438"/>
      <c r="AD26" s="438"/>
      <c r="AE26" s="438"/>
      <c r="AF26" s="438"/>
      <c r="AG26" s="436"/>
      <c r="AH26" s="442"/>
      <c r="AI26" s="436"/>
      <c r="AJ26" s="4" t="s">
        <v>183</v>
      </c>
      <c r="AK26" s="4" t="s">
        <v>114</v>
      </c>
      <c r="AL26" s="4">
        <v>1</v>
      </c>
      <c r="AM26" s="79">
        <v>0.4</v>
      </c>
      <c r="AN26" s="185">
        <v>0.25</v>
      </c>
      <c r="AO26" s="185">
        <v>0.25</v>
      </c>
      <c r="AP26" s="78">
        <v>44927</v>
      </c>
      <c r="AQ26" s="78">
        <v>45291</v>
      </c>
      <c r="AR26" s="4">
        <v>365</v>
      </c>
      <c r="AS26" s="81">
        <v>1028736</v>
      </c>
      <c r="AT26" s="81">
        <v>1028736</v>
      </c>
      <c r="AU26" s="4" t="s">
        <v>91</v>
      </c>
      <c r="AV26" s="4" t="s">
        <v>92</v>
      </c>
      <c r="AW26" s="4" t="s">
        <v>184</v>
      </c>
      <c r="AX26" s="103">
        <v>53003500</v>
      </c>
      <c r="AY26" s="103">
        <v>0</v>
      </c>
      <c r="AZ26" s="102">
        <f t="shared" si="0"/>
        <v>53003500</v>
      </c>
      <c r="BA26" s="102">
        <v>0</v>
      </c>
      <c r="BB26" s="153">
        <v>-4270167</v>
      </c>
      <c r="BC26" s="153">
        <f t="shared" si="1"/>
        <v>48733333</v>
      </c>
      <c r="BD26" s="102">
        <v>0</v>
      </c>
      <c r="BE26" s="102">
        <v>0</v>
      </c>
      <c r="BF26" s="102">
        <v>4300000</v>
      </c>
      <c r="BG26" s="102">
        <f t="shared" si="2"/>
        <v>4300000</v>
      </c>
      <c r="BH26" s="102">
        <v>4300000</v>
      </c>
      <c r="BI26" s="102">
        <v>4300000</v>
      </c>
      <c r="BJ26" s="102">
        <v>4300000</v>
      </c>
      <c r="BK26" s="102">
        <f t="shared" si="3"/>
        <v>12900000</v>
      </c>
      <c r="BL26" s="444"/>
      <c r="BM26" s="436"/>
      <c r="BN26" s="436"/>
      <c r="BO26" s="4" t="s">
        <v>108</v>
      </c>
      <c r="BP26" s="4" t="s">
        <v>185</v>
      </c>
      <c r="BQ26" s="4" t="s">
        <v>147</v>
      </c>
      <c r="BR26" s="4" t="s">
        <v>111</v>
      </c>
      <c r="BS26" s="6">
        <v>44927</v>
      </c>
      <c r="BT26" s="4" t="s">
        <v>143</v>
      </c>
      <c r="BU26" s="406"/>
      <c r="BV26" s="406"/>
      <c r="BW26" s="553"/>
      <c r="BX26" s="568"/>
      <c r="BY26" s="63">
        <f t="shared" si="4"/>
        <v>17200000</v>
      </c>
    </row>
    <row r="27" spans="1:77" s="8" customFormat="1" ht="321.75" customHeight="1" x14ac:dyDescent="0.25">
      <c r="A27" s="450"/>
      <c r="B27" s="506"/>
      <c r="C27" s="506"/>
      <c r="D27" s="506"/>
      <c r="E27" s="508"/>
      <c r="F27" s="508"/>
      <c r="G27" s="406"/>
      <c r="H27" s="406"/>
      <c r="I27" s="406"/>
      <c r="J27" s="437"/>
      <c r="K27" s="436"/>
      <c r="L27" s="436"/>
      <c r="M27" s="438"/>
      <c r="N27" s="436"/>
      <c r="O27" s="438"/>
      <c r="P27" s="436"/>
      <c r="Q27" s="438"/>
      <c r="R27" s="497"/>
      <c r="S27" s="497"/>
      <c r="T27" s="497"/>
      <c r="U27" s="497"/>
      <c r="V27" s="497"/>
      <c r="W27" s="497"/>
      <c r="X27" s="499"/>
      <c r="Y27" s="499"/>
      <c r="Z27" s="499"/>
      <c r="AA27" s="499"/>
      <c r="AB27" s="497"/>
      <c r="AC27" s="438"/>
      <c r="AD27" s="438"/>
      <c r="AE27" s="438"/>
      <c r="AF27" s="438"/>
      <c r="AG27" s="436"/>
      <c r="AH27" s="442"/>
      <c r="AI27" s="436"/>
      <c r="AJ27" s="4" t="s">
        <v>186</v>
      </c>
      <c r="AK27" s="4" t="s">
        <v>187</v>
      </c>
      <c r="AL27" s="4">
        <v>1</v>
      </c>
      <c r="AM27" s="79">
        <v>0.3</v>
      </c>
      <c r="AN27" s="185">
        <v>0</v>
      </c>
      <c r="AO27" s="185">
        <v>0</v>
      </c>
      <c r="AP27" s="78">
        <v>44927</v>
      </c>
      <c r="AQ27" s="78">
        <v>45291</v>
      </c>
      <c r="AR27" s="4">
        <v>365</v>
      </c>
      <c r="AS27" s="81">
        <v>20</v>
      </c>
      <c r="AT27" s="81">
        <v>20</v>
      </c>
      <c r="AU27" s="4" t="s">
        <v>91</v>
      </c>
      <c r="AV27" s="4" t="s">
        <v>92</v>
      </c>
      <c r="AW27" s="4" t="s">
        <v>184</v>
      </c>
      <c r="AX27" s="103">
        <v>289813258</v>
      </c>
      <c r="AY27" s="103">
        <v>0</v>
      </c>
      <c r="AZ27" s="102">
        <f t="shared" si="0"/>
        <v>289813258</v>
      </c>
      <c r="BA27" s="102">
        <v>0</v>
      </c>
      <c r="BB27" s="154">
        <v>-289813258</v>
      </c>
      <c r="BC27" s="153">
        <f t="shared" si="1"/>
        <v>0</v>
      </c>
      <c r="BD27" s="102">
        <v>0</v>
      </c>
      <c r="BE27" s="102">
        <v>0</v>
      </c>
      <c r="BF27" s="102">
        <v>0</v>
      </c>
      <c r="BG27" s="102">
        <f t="shared" si="2"/>
        <v>0</v>
      </c>
      <c r="BH27" s="102">
        <v>0</v>
      </c>
      <c r="BI27" s="102">
        <v>0</v>
      </c>
      <c r="BJ27" s="102">
        <v>0</v>
      </c>
      <c r="BK27" s="102">
        <f t="shared" si="3"/>
        <v>0</v>
      </c>
      <c r="BL27" s="444"/>
      <c r="BM27" s="405"/>
      <c r="BN27" s="405"/>
      <c r="BO27" s="5" t="s">
        <v>108</v>
      </c>
      <c r="BP27" s="4" t="s">
        <v>186</v>
      </c>
      <c r="BQ27" s="4" t="s">
        <v>147</v>
      </c>
      <c r="BR27" s="6" t="s">
        <v>111</v>
      </c>
      <c r="BS27" s="6">
        <v>44958</v>
      </c>
      <c r="BT27" s="4" t="s">
        <v>188</v>
      </c>
      <c r="BU27" s="407"/>
      <c r="BV27" s="407"/>
      <c r="BW27" s="122" t="s">
        <v>532</v>
      </c>
      <c r="BX27" s="173" t="s">
        <v>589</v>
      </c>
      <c r="BY27" s="63">
        <f t="shared" si="4"/>
        <v>0</v>
      </c>
    </row>
    <row r="28" spans="1:77" ht="171" x14ac:dyDescent="0.25">
      <c r="A28" s="450"/>
      <c r="B28" s="506"/>
      <c r="C28" s="506"/>
      <c r="D28" s="506"/>
      <c r="E28" s="508"/>
      <c r="F28" s="508"/>
      <c r="G28" s="406"/>
      <c r="H28" s="406"/>
      <c r="I28" s="406"/>
      <c r="J28" s="437" t="s">
        <v>189</v>
      </c>
      <c r="K28" s="4" t="s">
        <v>190</v>
      </c>
      <c r="L28" s="4" t="s">
        <v>191</v>
      </c>
      <c r="M28" s="64">
        <v>0</v>
      </c>
      <c r="N28" s="4" t="s">
        <v>192</v>
      </c>
      <c r="O28" s="4"/>
      <c r="P28" s="4" t="s">
        <v>80</v>
      </c>
      <c r="Q28" s="436" t="s">
        <v>193</v>
      </c>
      <c r="R28" s="104">
        <v>5000</v>
      </c>
      <c r="S28" s="105">
        <f>R28-AB28</f>
        <v>4431</v>
      </c>
      <c r="T28" s="105">
        <v>0</v>
      </c>
      <c r="U28" s="105">
        <v>0</v>
      </c>
      <c r="V28" s="105">
        <v>0</v>
      </c>
      <c r="W28" s="105">
        <f>SUM(T28:V28)</f>
        <v>0</v>
      </c>
      <c r="X28" s="149">
        <v>0</v>
      </c>
      <c r="Y28" s="149">
        <v>0</v>
      </c>
      <c r="Z28" s="149">
        <v>0</v>
      </c>
      <c r="AA28" s="149">
        <f>SUM(X28:Z28)</f>
        <v>0</v>
      </c>
      <c r="AB28" s="70">
        <v>569</v>
      </c>
      <c r="AC28" s="495" t="s">
        <v>82</v>
      </c>
      <c r="AD28" s="495" t="s">
        <v>194</v>
      </c>
      <c r="AE28" s="495" t="s">
        <v>84</v>
      </c>
      <c r="AF28" s="495" t="s">
        <v>195</v>
      </c>
      <c r="AG28" s="436" t="s">
        <v>196</v>
      </c>
      <c r="AH28" s="436" t="s">
        <v>197</v>
      </c>
      <c r="AI28" s="436" t="s">
        <v>198</v>
      </c>
      <c r="AJ28" s="64" t="s">
        <v>199</v>
      </c>
      <c r="AK28" s="4" t="s">
        <v>200</v>
      </c>
      <c r="AL28" s="11">
        <v>1</v>
      </c>
      <c r="AM28" s="106">
        <v>0.05</v>
      </c>
      <c r="AN28" s="186">
        <v>0.4</v>
      </c>
      <c r="AO28" s="186">
        <v>0.6</v>
      </c>
      <c r="AP28" s="107" t="s">
        <v>201</v>
      </c>
      <c r="AQ28" s="108">
        <v>45291</v>
      </c>
      <c r="AR28" s="11">
        <v>365</v>
      </c>
      <c r="AS28" s="81">
        <v>1028736</v>
      </c>
      <c r="AT28" s="81">
        <v>1028736</v>
      </c>
      <c r="AU28" s="11" t="s">
        <v>91</v>
      </c>
      <c r="AV28" s="11" t="s">
        <v>92</v>
      </c>
      <c r="AW28" s="11" t="s">
        <v>184</v>
      </c>
      <c r="AX28" s="109">
        <v>0</v>
      </c>
      <c r="AY28" s="109">
        <v>0</v>
      </c>
      <c r="AZ28" s="102">
        <f t="shared" si="0"/>
        <v>0</v>
      </c>
      <c r="BA28" s="102">
        <v>0</v>
      </c>
      <c r="BB28" s="102">
        <v>0</v>
      </c>
      <c r="BC28" s="86">
        <f t="shared" si="1"/>
        <v>0</v>
      </c>
      <c r="BD28" s="102">
        <v>0</v>
      </c>
      <c r="BE28" s="102">
        <v>0</v>
      </c>
      <c r="BF28" s="102">
        <v>0</v>
      </c>
      <c r="BG28" s="102">
        <f t="shared" si="2"/>
        <v>0</v>
      </c>
      <c r="BH28" s="102">
        <v>0</v>
      </c>
      <c r="BI28" s="102">
        <v>0</v>
      </c>
      <c r="BJ28" s="102">
        <v>0</v>
      </c>
      <c r="BK28" s="102">
        <f t="shared" si="3"/>
        <v>0</v>
      </c>
      <c r="BL28" s="554" t="s">
        <v>562</v>
      </c>
      <c r="BM28" s="436" t="s">
        <v>196</v>
      </c>
      <c r="BN28" s="556" t="s">
        <v>202</v>
      </c>
      <c r="BO28" s="11" t="s">
        <v>97</v>
      </c>
      <c r="BP28" s="14" t="s">
        <v>97</v>
      </c>
      <c r="BQ28" s="11" t="s">
        <v>97</v>
      </c>
      <c r="BR28" s="11" t="s">
        <v>97</v>
      </c>
      <c r="BS28" s="6" t="s">
        <v>97</v>
      </c>
      <c r="BT28" s="15" t="s">
        <v>203</v>
      </c>
      <c r="BU28" s="436" t="s">
        <v>99</v>
      </c>
      <c r="BV28" s="436" t="s">
        <v>100</v>
      </c>
      <c r="BW28" s="122"/>
      <c r="BX28" s="122" t="s">
        <v>590</v>
      </c>
      <c r="BY28" s="63">
        <f t="shared" si="4"/>
        <v>0</v>
      </c>
    </row>
    <row r="29" spans="1:77" ht="88.15" customHeight="1" x14ac:dyDescent="0.25">
      <c r="A29" s="450"/>
      <c r="B29" s="506"/>
      <c r="C29" s="506"/>
      <c r="D29" s="506"/>
      <c r="E29" s="508"/>
      <c r="F29" s="508"/>
      <c r="G29" s="406"/>
      <c r="H29" s="406"/>
      <c r="I29" s="406"/>
      <c r="J29" s="482"/>
      <c r="K29" s="436" t="s">
        <v>204</v>
      </c>
      <c r="L29" s="436" t="s">
        <v>76</v>
      </c>
      <c r="M29" s="438">
        <v>0</v>
      </c>
      <c r="N29" s="436" t="s">
        <v>205</v>
      </c>
      <c r="O29" s="438"/>
      <c r="P29" s="438" t="s">
        <v>80</v>
      </c>
      <c r="Q29" s="436"/>
      <c r="R29" s="438">
        <v>1</v>
      </c>
      <c r="S29" s="438" t="s">
        <v>120</v>
      </c>
      <c r="T29" s="438" t="s">
        <v>527</v>
      </c>
      <c r="U29" s="438" t="s">
        <v>527</v>
      </c>
      <c r="V29" s="438" t="s">
        <v>527</v>
      </c>
      <c r="W29" s="438" t="s">
        <v>527</v>
      </c>
      <c r="X29" s="573" t="s">
        <v>527</v>
      </c>
      <c r="Y29" s="464" t="s">
        <v>527</v>
      </c>
      <c r="Z29" s="464" t="s">
        <v>527</v>
      </c>
      <c r="AA29" s="464" t="s">
        <v>527</v>
      </c>
      <c r="AB29" s="438">
        <v>1</v>
      </c>
      <c r="AC29" s="495"/>
      <c r="AD29" s="495"/>
      <c r="AE29" s="495"/>
      <c r="AF29" s="495"/>
      <c r="AG29" s="438"/>
      <c r="AH29" s="438"/>
      <c r="AI29" s="438"/>
      <c r="AJ29" s="64" t="s">
        <v>206</v>
      </c>
      <c r="AK29" s="4" t="s">
        <v>200</v>
      </c>
      <c r="AL29" s="11">
        <v>1</v>
      </c>
      <c r="AM29" s="106">
        <v>0.05</v>
      </c>
      <c r="AN29" s="186">
        <v>0.4</v>
      </c>
      <c r="AO29" s="186">
        <v>0.65</v>
      </c>
      <c r="AP29" s="107" t="s">
        <v>201</v>
      </c>
      <c r="AQ29" s="108">
        <v>45291</v>
      </c>
      <c r="AR29" s="11">
        <v>365</v>
      </c>
      <c r="AS29" s="81">
        <v>1028736</v>
      </c>
      <c r="AT29" s="81">
        <v>1028736</v>
      </c>
      <c r="AU29" s="11" t="s">
        <v>91</v>
      </c>
      <c r="AV29" s="11" t="s">
        <v>92</v>
      </c>
      <c r="AW29" s="11" t="s">
        <v>184</v>
      </c>
      <c r="AX29" s="109">
        <v>0</v>
      </c>
      <c r="AY29" s="109">
        <v>0</v>
      </c>
      <c r="AZ29" s="102">
        <f t="shared" si="0"/>
        <v>0</v>
      </c>
      <c r="BA29" s="102">
        <v>0</v>
      </c>
      <c r="BB29" s="102">
        <v>0</v>
      </c>
      <c r="BC29" s="86">
        <f t="shared" si="1"/>
        <v>0</v>
      </c>
      <c r="BD29" s="102">
        <v>0</v>
      </c>
      <c r="BE29" s="102">
        <v>0</v>
      </c>
      <c r="BF29" s="102">
        <v>0</v>
      </c>
      <c r="BG29" s="102">
        <f t="shared" si="2"/>
        <v>0</v>
      </c>
      <c r="BH29" s="102">
        <v>0</v>
      </c>
      <c r="BI29" s="102">
        <v>0</v>
      </c>
      <c r="BJ29" s="102">
        <v>0</v>
      </c>
      <c r="BK29" s="102">
        <f t="shared" si="3"/>
        <v>0</v>
      </c>
      <c r="BL29" s="555"/>
      <c r="BM29" s="436"/>
      <c r="BN29" s="556"/>
      <c r="BO29" s="11" t="s">
        <v>97</v>
      </c>
      <c r="BP29" s="14" t="s">
        <v>97</v>
      </c>
      <c r="BQ29" s="11" t="s">
        <v>97</v>
      </c>
      <c r="BR29" s="11" t="s">
        <v>97</v>
      </c>
      <c r="BS29" s="6" t="s">
        <v>97</v>
      </c>
      <c r="BT29" s="15" t="s">
        <v>207</v>
      </c>
      <c r="BU29" s="436"/>
      <c r="BV29" s="436"/>
      <c r="BW29" s="122" t="s">
        <v>542</v>
      </c>
      <c r="BX29" s="122" t="s">
        <v>591</v>
      </c>
      <c r="BY29" s="63">
        <f t="shared" si="4"/>
        <v>0</v>
      </c>
    </row>
    <row r="30" spans="1:77" ht="99.75" x14ac:dyDescent="0.25">
      <c r="A30" s="450"/>
      <c r="B30" s="506"/>
      <c r="C30" s="506"/>
      <c r="D30" s="506"/>
      <c r="E30" s="508"/>
      <c r="F30" s="508"/>
      <c r="G30" s="406"/>
      <c r="H30" s="406"/>
      <c r="I30" s="406"/>
      <c r="J30" s="482"/>
      <c r="K30" s="436"/>
      <c r="L30" s="436"/>
      <c r="M30" s="438"/>
      <c r="N30" s="436"/>
      <c r="O30" s="438"/>
      <c r="P30" s="438"/>
      <c r="Q30" s="436"/>
      <c r="R30" s="438"/>
      <c r="S30" s="438"/>
      <c r="T30" s="438"/>
      <c r="U30" s="438"/>
      <c r="V30" s="438"/>
      <c r="W30" s="438"/>
      <c r="X30" s="574"/>
      <c r="Y30" s="464"/>
      <c r="Z30" s="464"/>
      <c r="AA30" s="464"/>
      <c r="AB30" s="438"/>
      <c r="AC30" s="495"/>
      <c r="AD30" s="495"/>
      <c r="AE30" s="495"/>
      <c r="AF30" s="495"/>
      <c r="AG30" s="438"/>
      <c r="AH30" s="438"/>
      <c r="AI30" s="438"/>
      <c r="AJ30" s="64" t="s">
        <v>208</v>
      </c>
      <c r="AK30" s="4" t="s">
        <v>200</v>
      </c>
      <c r="AL30" s="11">
        <v>50</v>
      </c>
      <c r="AM30" s="106">
        <v>0.05</v>
      </c>
      <c r="AN30" s="186">
        <v>0.2</v>
      </c>
      <c r="AO30" s="186">
        <v>0.8</v>
      </c>
      <c r="AP30" s="107" t="s">
        <v>201</v>
      </c>
      <c r="AQ30" s="108">
        <v>45291</v>
      </c>
      <c r="AR30" s="11">
        <v>365</v>
      </c>
      <c r="AS30" s="81">
        <v>1028736</v>
      </c>
      <c r="AT30" s="81">
        <v>1028736</v>
      </c>
      <c r="AU30" s="11" t="s">
        <v>91</v>
      </c>
      <c r="AV30" s="11" t="s">
        <v>92</v>
      </c>
      <c r="AW30" s="11" t="s">
        <v>184</v>
      </c>
      <c r="AX30" s="109">
        <v>0</v>
      </c>
      <c r="AY30" s="109">
        <v>0</v>
      </c>
      <c r="AZ30" s="102">
        <f t="shared" si="0"/>
        <v>0</v>
      </c>
      <c r="BA30" s="102">
        <v>0</v>
      </c>
      <c r="BB30" s="102">
        <v>0</v>
      </c>
      <c r="BC30" s="86">
        <f t="shared" si="1"/>
        <v>0</v>
      </c>
      <c r="BD30" s="102">
        <v>0</v>
      </c>
      <c r="BE30" s="102">
        <v>0</v>
      </c>
      <c r="BF30" s="102">
        <v>0</v>
      </c>
      <c r="BG30" s="102">
        <f t="shared" si="2"/>
        <v>0</v>
      </c>
      <c r="BH30" s="102">
        <v>0</v>
      </c>
      <c r="BI30" s="102">
        <v>0</v>
      </c>
      <c r="BJ30" s="102">
        <v>0</v>
      </c>
      <c r="BK30" s="102">
        <f t="shared" si="3"/>
        <v>0</v>
      </c>
      <c r="BL30" s="555"/>
      <c r="BM30" s="436"/>
      <c r="BN30" s="556"/>
      <c r="BO30" s="11" t="s">
        <v>97</v>
      </c>
      <c r="BP30" s="14" t="s">
        <v>97</v>
      </c>
      <c r="BQ30" s="11" t="s">
        <v>97</v>
      </c>
      <c r="BR30" s="11" t="s">
        <v>97</v>
      </c>
      <c r="BS30" s="6" t="s">
        <v>97</v>
      </c>
      <c r="BT30" s="16" t="s">
        <v>209</v>
      </c>
      <c r="BU30" s="436"/>
      <c r="BV30" s="436"/>
      <c r="BW30" s="122"/>
      <c r="BX30" s="122" t="s">
        <v>592</v>
      </c>
      <c r="BY30" s="63">
        <f t="shared" si="4"/>
        <v>0</v>
      </c>
    </row>
    <row r="31" spans="1:77" ht="213.75" x14ac:dyDescent="0.25">
      <c r="A31" s="450"/>
      <c r="B31" s="506"/>
      <c r="C31" s="506"/>
      <c r="D31" s="506"/>
      <c r="E31" s="508"/>
      <c r="F31" s="508"/>
      <c r="G31" s="406"/>
      <c r="H31" s="406"/>
      <c r="I31" s="406"/>
      <c r="J31" s="482"/>
      <c r="K31" s="436"/>
      <c r="L31" s="436"/>
      <c r="M31" s="438"/>
      <c r="N31" s="436"/>
      <c r="O31" s="438"/>
      <c r="P31" s="438"/>
      <c r="Q31" s="436"/>
      <c r="R31" s="438"/>
      <c r="S31" s="438"/>
      <c r="T31" s="438"/>
      <c r="U31" s="438"/>
      <c r="V31" s="438"/>
      <c r="W31" s="438"/>
      <c r="X31" s="574"/>
      <c r="Y31" s="464"/>
      <c r="Z31" s="464"/>
      <c r="AA31" s="464"/>
      <c r="AB31" s="438"/>
      <c r="AC31" s="495"/>
      <c r="AD31" s="495"/>
      <c r="AE31" s="495"/>
      <c r="AF31" s="495"/>
      <c r="AG31" s="438"/>
      <c r="AH31" s="438"/>
      <c r="AI31" s="438"/>
      <c r="AJ31" s="64" t="s">
        <v>210</v>
      </c>
      <c r="AK31" s="4" t="s">
        <v>114</v>
      </c>
      <c r="AL31" s="18">
        <v>1</v>
      </c>
      <c r="AM31" s="106">
        <v>0.05</v>
      </c>
      <c r="AN31" s="186">
        <v>0.25</v>
      </c>
      <c r="AO31" s="186">
        <v>0.5</v>
      </c>
      <c r="AP31" s="108">
        <v>44927</v>
      </c>
      <c r="AQ31" s="108">
        <v>45291</v>
      </c>
      <c r="AR31" s="11">
        <v>365</v>
      </c>
      <c r="AS31" s="18" t="s">
        <v>97</v>
      </c>
      <c r="AT31" s="18" t="s">
        <v>97</v>
      </c>
      <c r="AU31" s="11" t="s">
        <v>91</v>
      </c>
      <c r="AV31" s="11" t="s">
        <v>92</v>
      </c>
      <c r="AW31" s="11" t="s">
        <v>184</v>
      </c>
      <c r="AX31" s="109">
        <v>53003500</v>
      </c>
      <c r="AY31" s="109">
        <v>0</v>
      </c>
      <c r="AZ31" s="102">
        <f t="shared" si="0"/>
        <v>53003500</v>
      </c>
      <c r="BA31" s="102">
        <v>0</v>
      </c>
      <c r="BB31" s="102">
        <v>0</v>
      </c>
      <c r="BC31" s="86">
        <f t="shared" si="1"/>
        <v>53003500</v>
      </c>
      <c r="BD31" s="102">
        <v>0</v>
      </c>
      <c r="BE31" s="102">
        <v>0</v>
      </c>
      <c r="BF31" s="102">
        <v>4300000</v>
      </c>
      <c r="BG31" s="102">
        <f t="shared" si="2"/>
        <v>4300000</v>
      </c>
      <c r="BH31" s="102">
        <v>4300000</v>
      </c>
      <c r="BI31" s="102">
        <v>4300000</v>
      </c>
      <c r="BJ31" s="102">
        <v>4300000</v>
      </c>
      <c r="BK31" s="102">
        <f t="shared" si="3"/>
        <v>12900000</v>
      </c>
      <c r="BL31" s="555"/>
      <c r="BM31" s="436"/>
      <c r="BN31" s="556"/>
      <c r="BO31" s="18" t="s">
        <v>211</v>
      </c>
      <c r="BP31" s="17" t="s">
        <v>212</v>
      </c>
      <c r="BQ31" s="18" t="s">
        <v>147</v>
      </c>
      <c r="BR31" s="18" t="s">
        <v>111</v>
      </c>
      <c r="BS31" s="6">
        <v>44947</v>
      </c>
      <c r="BT31" s="16" t="s">
        <v>213</v>
      </c>
      <c r="BU31" s="436"/>
      <c r="BV31" s="436"/>
      <c r="BW31" s="122" t="s">
        <v>545</v>
      </c>
      <c r="BX31" s="122" t="s">
        <v>593</v>
      </c>
      <c r="BY31" s="63">
        <f t="shared" si="4"/>
        <v>17200000</v>
      </c>
    </row>
    <row r="32" spans="1:77" ht="63" customHeight="1" x14ac:dyDescent="0.25">
      <c r="A32" s="450"/>
      <c r="B32" s="506"/>
      <c r="C32" s="506"/>
      <c r="D32" s="506"/>
      <c r="E32" s="508"/>
      <c r="F32" s="508"/>
      <c r="G32" s="406"/>
      <c r="H32" s="406"/>
      <c r="I32" s="406"/>
      <c r="J32" s="482"/>
      <c r="K32" s="436"/>
      <c r="L32" s="436"/>
      <c r="M32" s="438"/>
      <c r="N32" s="436"/>
      <c r="O32" s="438"/>
      <c r="P32" s="438"/>
      <c r="Q32" s="436"/>
      <c r="R32" s="438"/>
      <c r="S32" s="438"/>
      <c r="T32" s="438"/>
      <c r="U32" s="438"/>
      <c r="V32" s="438"/>
      <c r="W32" s="438"/>
      <c r="X32" s="574"/>
      <c r="Y32" s="464"/>
      <c r="Z32" s="464"/>
      <c r="AA32" s="464"/>
      <c r="AB32" s="438"/>
      <c r="AC32" s="495"/>
      <c r="AD32" s="495"/>
      <c r="AE32" s="495"/>
      <c r="AF32" s="495"/>
      <c r="AG32" s="438"/>
      <c r="AH32" s="438"/>
      <c r="AI32" s="438"/>
      <c r="AJ32" s="64" t="s">
        <v>214</v>
      </c>
      <c r="AK32" s="4" t="s">
        <v>200</v>
      </c>
      <c r="AL32" s="11">
        <v>1</v>
      </c>
      <c r="AM32" s="106">
        <v>0.2</v>
      </c>
      <c r="AN32" s="186">
        <v>0.25</v>
      </c>
      <c r="AO32" s="186">
        <v>0.65</v>
      </c>
      <c r="AP32" s="108">
        <v>44927</v>
      </c>
      <c r="AQ32" s="108">
        <v>45291</v>
      </c>
      <c r="AR32" s="11">
        <v>365</v>
      </c>
      <c r="AS32" s="81">
        <v>1028736</v>
      </c>
      <c r="AT32" s="81">
        <v>1028736</v>
      </c>
      <c r="AU32" s="11" t="s">
        <v>91</v>
      </c>
      <c r="AV32" s="11" t="s">
        <v>92</v>
      </c>
      <c r="AW32" s="11" t="s">
        <v>184</v>
      </c>
      <c r="AX32" s="109">
        <v>2109564500</v>
      </c>
      <c r="AY32" s="109">
        <v>0</v>
      </c>
      <c r="AZ32" s="102">
        <f t="shared" si="0"/>
        <v>2109564500</v>
      </c>
      <c r="BA32" s="102">
        <v>0</v>
      </c>
      <c r="BB32" s="102">
        <v>0</v>
      </c>
      <c r="BC32" s="86">
        <f t="shared" si="1"/>
        <v>2109564500</v>
      </c>
      <c r="BD32" s="102">
        <v>0</v>
      </c>
      <c r="BE32" s="102">
        <v>0</v>
      </c>
      <c r="BF32" s="102">
        <v>0</v>
      </c>
      <c r="BG32" s="102">
        <f t="shared" si="2"/>
        <v>0</v>
      </c>
      <c r="BH32" s="102">
        <v>0</v>
      </c>
      <c r="BI32" s="102">
        <v>0</v>
      </c>
      <c r="BJ32" s="102">
        <v>0</v>
      </c>
      <c r="BK32" s="102">
        <f t="shared" si="3"/>
        <v>0</v>
      </c>
      <c r="BL32" s="555"/>
      <c r="BM32" s="436"/>
      <c r="BN32" s="556"/>
      <c r="BO32" s="11" t="s">
        <v>211</v>
      </c>
      <c r="BP32" s="19" t="s">
        <v>215</v>
      </c>
      <c r="BQ32" s="12" t="s">
        <v>216</v>
      </c>
      <c r="BR32" s="12" t="s">
        <v>111</v>
      </c>
      <c r="BS32" s="6">
        <v>44957</v>
      </c>
      <c r="BT32" s="15" t="s">
        <v>207</v>
      </c>
      <c r="BU32" s="436"/>
      <c r="BV32" s="436"/>
      <c r="BW32" s="553" t="s">
        <v>543</v>
      </c>
      <c r="BX32" s="553" t="s">
        <v>582</v>
      </c>
      <c r="BY32" s="63">
        <f t="shared" si="4"/>
        <v>0</v>
      </c>
    </row>
    <row r="33" spans="1:77" ht="42.75" x14ac:dyDescent="0.25">
      <c r="A33" s="450"/>
      <c r="B33" s="506"/>
      <c r="C33" s="506"/>
      <c r="D33" s="506"/>
      <c r="E33" s="508"/>
      <c r="F33" s="508"/>
      <c r="G33" s="406"/>
      <c r="H33" s="406"/>
      <c r="I33" s="406"/>
      <c r="J33" s="482"/>
      <c r="K33" s="436"/>
      <c r="L33" s="436"/>
      <c r="M33" s="438"/>
      <c r="N33" s="436"/>
      <c r="O33" s="438"/>
      <c r="P33" s="438"/>
      <c r="Q33" s="436"/>
      <c r="R33" s="438"/>
      <c r="S33" s="438"/>
      <c r="T33" s="438"/>
      <c r="U33" s="438"/>
      <c r="V33" s="438"/>
      <c r="W33" s="438"/>
      <c r="X33" s="574"/>
      <c r="Y33" s="464"/>
      <c r="Z33" s="464"/>
      <c r="AA33" s="464"/>
      <c r="AB33" s="438"/>
      <c r="AC33" s="495"/>
      <c r="AD33" s="495"/>
      <c r="AE33" s="495"/>
      <c r="AF33" s="495"/>
      <c r="AG33" s="438"/>
      <c r="AH33" s="438"/>
      <c r="AI33" s="438"/>
      <c r="AJ33" s="64" t="s">
        <v>217</v>
      </c>
      <c r="AK33" s="4" t="s">
        <v>218</v>
      </c>
      <c r="AL33" s="11">
        <v>1</v>
      </c>
      <c r="AM33" s="106">
        <v>0.05</v>
      </c>
      <c r="AN33" s="186">
        <v>0.25</v>
      </c>
      <c r="AO33" s="186">
        <v>0.5</v>
      </c>
      <c r="AP33" s="108">
        <v>44927</v>
      </c>
      <c r="AQ33" s="108">
        <v>45291</v>
      </c>
      <c r="AR33" s="11">
        <v>365</v>
      </c>
      <c r="AS33" s="11" t="s">
        <v>219</v>
      </c>
      <c r="AT33" s="11" t="s">
        <v>219</v>
      </c>
      <c r="AU33" s="11" t="s">
        <v>91</v>
      </c>
      <c r="AV33" s="11" t="s">
        <v>92</v>
      </c>
      <c r="AW33" s="11" t="s">
        <v>184</v>
      </c>
      <c r="AX33" s="109">
        <v>34500000</v>
      </c>
      <c r="AY33" s="109">
        <v>0</v>
      </c>
      <c r="AZ33" s="102">
        <f t="shared" si="0"/>
        <v>34500000</v>
      </c>
      <c r="BA33" s="102">
        <v>0</v>
      </c>
      <c r="BB33" s="102">
        <v>0</v>
      </c>
      <c r="BC33" s="86">
        <f t="shared" si="1"/>
        <v>34500000</v>
      </c>
      <c r="BD33" s="102">
        <v>0</v>
      </c>
      <c r="BE33" s="102">
        <v>0</v>
      </c>
      <c r="BF33" s="102">
        <v>3000000</v>
      </c>
      <c r="BG33" s="102">
        <f t="shared" si="2"/>
        <v>3000000</v>
      </c>
      <c r="BH33" s="102">
        <v>3000000</v>
      </c>
      <c r="BI33" s="102">
        <v>3000000</v>
      </c>
      <c r="BJ33" s="102">
        <v>3000000</v>
      </c>
      <c r="BK33" s="102">
        <f t="shared" si="3"/>
        <v>9000000</v>
      </c>
      <c r="BL33" s="555"/>
      <c r="BM33" s="436"/>
      <c r="BN33" s="556"/>
      <c r="BO33" s="11" t="s">
        <v>211</v>
      </c>
      <c r="BP33" s="10" t="s">
        <v>220</v>
      </c>
      <c r="BQ33" s="12" t="s">
        <v>147</v>
      </c>
      <c r="BR33" s="12" t="s">
        <v>111</v>
      </c>
      <c r="BS33" s="6">
        <v>44947</v>
      </c>
      <c r="BT33" s="16" t="s">
        <v>213</v>
      </c>
      <c r="BU33" s="436"/>
      <c r="BV33" s="436"/>
      <c r="BW33" s="553"/>
      <c r="BX33" s="553"/>
      <c r="BY33" s="63">
        <f t="shared" si="4"/>
        <v>12000000</v>
      </c>
    </row>
    <row r="34" spans="1:77" ht="71.25" x14ac:dyDescent="0.25">
      <c r="A34" s="450"/>
      <c r="B34" s="506"/>
      <c r="C34" s="506"/>
      <c r="D34" s="506"/>
      <c r="E34" s="508"/>
      <c r="F34" s="508"/>
      <c r="G34" s="406"/>
      <c r="H34" s="406"/>
      <c r="I34" s="406"/>
      <c r="J34" s="482"/>
      <c r="K34" s="436"/>
      <c r="L34" s="436"/>
      <c r="M34" s="438"/>
      <c r="N34" s="436"/>
      <c r="O34" s="438"/>
      <c r="P34" s="438"/>
      <c r="Q34" s="436"/>
      <c r="R34" s="438"/>
      <c r="S34" s="438"/>
      <c r="T34" s="438"/>
      <c r="U34" s="438"/>
      <c r="V34" s="438"/>
      <c r="W34" s="438"/>
      <c r="X34" s="574"/>
      <c r="Y34" s="464"/>
      <c r="Z34" s="464"/>
      <c r="AA34" s="464"/>
      <c r="AB34" s="438"/>
      <c r="AC34" s="495"/>
      <c r="AD34" s="495"/>
      <c r="AE34" s="495"/>
      <c r="AF34" s="495"/>
      <c r="AG34" s="438"/>
      <c r="AH34" s="438"/>
      <c r="AI34" s="438"/>
      <c r="AJ34" s="64" t="s">
        <v>221</v>
      </c>
      <c r="AK34" s="4" t="s">
        <v>222</v>
      </c>
      <c r="AL34" s="11">
        <v>1</v>
      </c>
      <c r="AM34" s="106">
        <v>0.1</v>
      </c>
      <c r="AN34" s="186">
        <v>0</v>
      </c>
      <c r="AO34" s="186">
        <v>1</v>
      </c>
      <c r="AP34" s="108">
        <v>44927</v>
      </c>
      <c r="AQ34" s="108">
        <v>45291</v>
      </c>
      <c r="AR34" s="11">
        <v>365</v>
      </c>
      <c r="AS34" s="81">
        <v>1028736</v>
      </c>
      <c r="AT34" s="81">
        <v>1028736</v>
      </c>
      <c r="AU34" s="11" t="s">
        <v>91</v>
      </c>
      <c r="AV34" s="11" t="s">
        <v>92</v>
      </c>
      <c r="AW34" s="11" t="s">
        <v>184</v>
      </c>
      <c r="AX34" s="110">
        <v>1296932000</v>
      </c>
      <c r="AY34" s="155">
        <v>-1281932000</v>
      </c>
      <c r="AZ34" s="102">
        <f t="shared" si="0"/>
        <v>15000000</v>
      </c>
      <c r="BA34" s="102">
        <v>0</v>
      </c>
      <c r="BB34" s="102">
        <v>0</v>
      </c>
      <c r="BC34" s="86">
        <f t="shared" si="1"/>
        <v>15000000</v>
      </c>
      <c r="BD34" s="102">
        <v>0</v>
      </c>
      <c r="BE34" s="102">
        <v>0</v>
      </c>
      <c r="BF34" s="102">
        <v>0</v>
      </c>
      <c r="BG34" s="102">
        <f t="shared" si="2"/>
        <v>0</v>
      </c>
      <c r="BH34" s="102">
        <v>0</v>
      </c>
      <c r="BI34" s="102">
        <v>0</v>
      </c>
      <c r="BJ34" s="102">
        <v>0</v>
      </c>
      <c r="BK34" s="102">
        <f t="shared" si="3"/>
        <v>0</v>
      </c>
      <c r="BL34" s="555"/>
      <c r="BM34" s="436"/>
      <c r="BN34" s="556"/>
      <c r="BO34" s="4" t="s">
        <v>108</v>
      </c>
      <c r="BP34" s="20" t="s">
        <v>223</v>
      </c>
      <c r="BQ34" s="21" t="s">
        <v>216</v>
      </c>
      <c r="BR34" s="21" t="s">
        <v>111</v>
      </c>
      <c r="BS34" s="6">
        <v>44958</v>
      </c>
      <c r="BT34" s="15" t="s">
        <v>224</v>
      </c>
      <c r="BU34" s="436"/>
      <c r="BV34" s="436"/>
      <c r="BW34" s="553"/>
      <c r="BX34" s="553"/>
      <c r="BY34" s="63">
        <f t="shared" si="4"/>
        <v>0</v>
      </c>
    </row>
    <row r="35" spans="1:77" ht="45" customHeight="1" x14ac:dyDescent="0.25">
      <c r="A35" s="450"/>
      <c r="B35" s="506"/>
      <c r="C35" s="506"/>
      <c r="D35" s="506"/>
      <c r="E35" s="508"/>
      <c r="F35" s="508"/>
      <c r="G35" s="406"/>
      <c r="H35" s="406"/>
      <c r="I35" s="406"/>
      <c r="J35" s="482"/>
      <c r="K35" s="436"/>
      <c r="L35" s="436"/>
      <c r="M35" s="438"/>
      <c r="N35" s="436"/>
      <c r="O35" s="438"/>
      <c r="P35" s="438"/>
      <c r="Q35" s="436"/>
      <c r="R35" s="438"/>
      <c r="S35" s="438"/>
      <c r="T35" s="438"/>
      <c r="U35" s="438"/>
      <c r="V35" s="438"/>
      <c r="W35" s="438"/>
      <c r="X35" s="575"/>
      <c r="Y35" s="464"/>
      <c r="Z35" s="464"/>
      <c r="AA35" s="464"/>
      <c r="AB35" s="438"/>
      <c r="AC35" s="495"/>
      <c r="AD35" s="495"/>
      <c r="AE35" s="495"/>
      <c r="AF35" s="495"/>
      <c r="AG35" s="438"/>
      <c r="AH35" s="438"/>
      <c r="AI35" s="438"/>
      <c r="AJ35" s="64" t="s">
        <v>225</v>
      </c>
      <c r="AK35" s="4" t="s">
        <v>200</v>
      </c>
      <c r="AL35" s="11">
        <v>1</v>
      </c>
      <c r="AM35" s="106">
        <v>0.1</v>
      </c>
      <c r="AN35" s="186">
        <v>0.25</v>
      </c>
      <c r="AO35" s="186">
        <v>0.65</v>
      </c>
      <c r="AP35" s="108">
        <v>44927</v>
      </c>
      <c r="AQ35" s="108">
        <v>45291</v>
      </c>
      <c r="AR35" s="11">
        <v>365</v>
      </c>
      <c r="AS35" s="81">
        <v>1028736</v>
      </c>
      <c r="AT35" s="81">
        <v>1028736</v>
      </c>
      <c r="AU35" s="11" t="s">
        <v>91</v>
      </c>
      <c r="AV35" s="11" t="s">
        <v>92</v>
      </c>
      <c r="AW35" s="11" t="s">
        <v>184</v>
      </c>
      <c r="AX35" s="109">
        <v>100000000</v>
      </c>
      <c r="AY35" s="109">
        <v>0</v>
      </c>
      <c r="AZ35" s="102">
        <f t="shared" si="0"/>
        <v>100000000</v>
      </c>
      <c r="BA35" s="102">
        <v>0</v>
      </c>
      <c r="BB35" s="102">
        <v>0</v>
      </c>
      <c r="BC35" s="86">
        <f t="shared" si="1"/>
        <v>100000000</v>
      </c>
      <c r="BD35" s="102">
        <v>0</v>
      </c>
      <c r="BE35" s="102">
        <v>0</v>
      </c>
      <c r="BF35" s="102">
        <v>0</v>
      </c>
      <c r="BG35" s="102">
        <f t="shared" si="2"/>
        <v>0</v>
      </c>
      <c r="BH35" s="102">
        <v>0</v>
      </c>
      <c r="BI35" s="102">
        <v>0</v>
      </c>
      <c r="BJ35" s="102">
        <v>0</v>
      </c>
      <c r="BK35" s="102">
        <f t="shared" si="3"/>
        <v>0</v>
      </c>
      <c r="BL35" s="555"/>
      <c r="BM35" s="436"/>
      <c r="BN35" s="556"/>
      <c r="BO35" s="11" t="s">
        <v>211</v>
      </c>
      <c r="BP35" s="10" t="s">
        <v>215</v>
      </c>
      <c r="BQ35" s="12" t="s">
        <v>216</v>
      </c>
      <c r="BR35" s="12" t="s">
        <v>111</v>
      </c>
      <c r="BS35" s="6">
        <v>44957</v>
      </c>
      <c r="BT35" s="15" t="s">
        <v>207</v>
      </c>
      <c r="BU35" s="436"/>
      <c r="BV35" s="436"/>
      <c r="BW35" s="553"/>
      <c r="BX35" s="553"/>
      <c r="BY35" s="63">
        <f t="shared" si="4"/>
        <v>0</v>
      </c>
    </row>
    <row r="36" spans="1:77" ht="82.9" customHeight="1" x14ac:dyDescent="0.25">
      <c r="A36" s="450"/>
      <c r="B36" s="506"/>
      <c r="C36" s="506"/>
      <c r="D36" s="506"/>
      <c r="E36" s="508"/>
      <c r="F36" s="508"/>
      <c r="G36" s="406"/>
      <c r="H36" s="406"/>
      <c r="I36" s="406"/>
      <c r="J36" s="482"/>
      <c r="K36" s="436" t="s">
        <v>226</v>
      </c>
      <c r="L36" s="438" t="s">
        <v>76</v>
      </c>
      <c r="M36" s="438">
        <v>0</v>
      </c>
      <c r="N36" s="436" t="s">
        <v>227</v>
      </c>
      <c r="O36" s="438"/>
      <c r="P36" s="438" t="s">
        <v>228</v>
      </c>
      <c r="Q36" s="436"/>
      <c r="R36" s="438">
        <v>1</v>
      </c>
      <c r="S36" s="438">
        <v>1</v>
      </c>
      <c r="T36" s="438">
        <v>0</v>
      </c>
      <c r="U36" s="438">
        <v>0</v>
      </c>
      <c r="V36" s="438">
        <v>0</v>
      </c>
      <c r="W36" s="438">
        <f>SUM(T36:V38)</f>
        <v>0</v>
      </c>
      <c r="X36" s="464">
        <v>0</v>
      </c>
      <c r="Y36" s="464">
        <v>0</v>
      </c>
      <c r="Z36" s="464">
        <v>1</v>
      </c>
      <c r="AA36" s="464">
        <f>SUM(X36:Z38)</f>
        <v>1</v>
      </c>
      <c r="AB36" s="438">
        <v>0</v>
      </c>
      <c r="AC36" s="495"/>
      <c r="AD36" s="495"/>
      <c r="AE36" s="495"/>
      <c r="AF36" s="495"/>
      <c r="AG36" s="438"/>
      <c r="AH36" s="438"/>
      <c r="AI36" s="438"/>
      <c r="AJ36" s="64" t="s">
        <v>229</v>
      </c>
      <c r="AK36" s="4" t="s">
        <v>230</v>
      </c>
      <c r="AL36" s="11">
        <v>1</v>
      </c>
      <c r="AM36" s="106">
        <v>0.05</v>
      </c>
      <c r="AN36" s="186">
        <v>0</v>
      </c>
      <c r="AO36" s="186">
        <v>1</v>
      </c>
      <c r="AP36" s="108">
        <v>44927</v>
      </c>
      <c r="AQ36" s="108">
        <v>45291</v>
      </c>
      <c r="AR36" s="11">
        <v>365</v>
      </c>
      <c r="AS36" s="11" t="s">
        <v>219</v>
      </c>
      <c r="AT36" s="11" t="s">
        <v>219</v>
      </c>
      <c r="AU36" s="11" t="s">
        <v>91</v>
      </c>
      <c r="AV36" s="11" t="s">
        <v>92</v>
      </c>
      <c r="AW36" s="11" t="s">
        <v>184</v>
      </c>
      <c r="AX36" s="40">
        <v>60000000</v>
      </c>
      <c r="AY36" s="156">
        <v>-2742230</v>
      </c>
      <c r="AZ36" s="102">
        <f t="shared" si="0"/>
        <v>57257770</v>
      </c>
      <c r="BA36" s="102">
        <v>0</v>
      </c>
      <c r="BB36" s="102">
        <v>0</v>
      </c>
      <c r="BC36" s="86">
        <f t="shared" si="1"/>
        <v>57257770</v>
      </c>
      <c r="BD36" s="102">
        <v>0</v>
      </c>
      <c r="BE36" s="102">
        <v>0</v>
      </c>
      <c r="BF36" s="102">
        <v>0</v>
      </c>
      <c r="BG36" s="102">
        <f t="shared" si="2"/>
        <v>0</v>
      </c>
      <c r="BH36" s="102">
        <v>0</v>
      </c>
      <c r="BI36" s="102">
        <v>0</v>
      </c>
      <c r="BJ36" s="102">
        <v>0</v>
      </c>
      <c r="BK36" s="102">
        <f t="shared" si="3"/>
        <v>0</v>
      </c>
      <c r="BL36" s="555"/>
      <c r="BM36" s="436"/>
      <c r="BN36" s="556"/>
      <c r="BO36" s="11" t="s">
        <v>211</v>
      </c>
      <c r="BP36" s="10" t="s">
        <v>231</v>
      </c>
      <c r="BQ36" s="12" t="s">
        <v>216</v>
      </c>
      <c r="BR36" s="12" t="s">
        <v>111</v>
      </c>
      <c r="BS36" s="6">
        <v>44972</v>
      </c>
      <c r="BT36" s="15" t="s">
        <v>232</v>
      </c>
      <c r="BU36" s="436"/>
      <c r="BV36" s="436"/>
      <c r="BW36" s="553" t="s">
        <v>541</v>
      </c>
      <c r="BX36" s="553" t="s">
        <v>594</v>
      </c>
      <c r="BY36" s="63">
        <f t="shared" si="4"/>
        <v>0</v>
      </c>
    </row>
    <row r="37" spans="1:77" ht="71.25" x14ac:dyDescent="0.25">
      <c r="A37" s="450"/>
      <c r="B37" s="506"/>
      <c r="C37" s="506"/>
      <c r="D37" s="506"/>
      <c r="E37" s="508"/>
      <c r="F37" s="508"/>
      <c r="G37" s="406"/>
      <c r="H37" s="406"/>
      <c r="I37" s="406"/>
      <c r="J37" s="482"/>
      <c r="K37" s="436"/>
      <c r="L37" s="438"/>
      <c r="M37" s="438"/>
      <c r="N37" s="436"/>
      <c r="O37" s="438"/>
      <c r="P37" s="438"/>
      <c r="Q37" s="436"/>
      <c r="R37" s="438"/>
      <c r="S37" s="438"/>
      <c r="T37" s="438"/>
      <c r="U37" s="438"/>
      <c r="V37" s="438"/>
      <c r="W37" s="438"/>
      <c r="X37" s="464"/>
      <c r="Y37" s="464"/>
      <c r="Z37" s="464"/>
      <c r="AA37" s="464"/>
      <c r="AB37" s="438"/>
      <c r="AC37" s="495"/>
      <c r="AD37" s="495"/>
      <c r="AE37" s="495"/>
      <c r="AF37" s="495"/>
      <c r="AG37" s="438"/>
      <c r="AH37" s="438"/>
      <c r="AI37" s="438"/>
      <c r="AJ37" s="64" t="s">
        <v>233</v>
      </c>
      <c r="AK37" s="4" t="s">
        <v>234</v>
      </c>
      <c r="AL37" s="11">
        <v>1</v>
      </c>
      <c r="AM37" s="106">
        <v>0.2</v>
      </c>
      <c r="AN37" s="186">
        <v>0</v>
      </c>
      <c r="AO37" s="186">
        <v>1</v>
      </c>
      <c r="AP37" s="108">
        <v>44927</v>
      </c>
      <c r="AQ37" s="108">
        <v>45291</v>
      </c>
      <c r="AR37" s="11">
        <v>365</v>
      </c>
      <c r="AS37" s="81">
        <v>1028736</v>
      </c>
      <c r="AT37" s="81">
        <v>1028736</v>
      </c>
      <c r="AU37" s="11" t="s">
        <v>91</v>
      </c>
      <c r="AV37" s="11" t="s">
        <v>92</v>
      </c>
      <c r="AW37" s="11" t="s">
        <v>184</v>
      </c>
      <c r="AX37" s="111">
        <f>410000000</f>
        <v>410000000</v>
      </c>
      <c r="AY37" s="111">
        <v>0</v>
      </c>
      <c r="AZ37" s="102">
        <f t="shared" si="0"/>
        <v>410000000</v>
      </c>
      <c r="BA37" s="102">
        <v>0</v>
      </c>
      <c r="BB37" s="102">
        <v>0</v>
      </c>
      <c r="BC37" s="86">
        <f t="shared" si="1"/>
        <v>410000000</v>
      </c>
      <c r="BD37" s="102">
        <v>0</v>
      </c>
      <c r="BE37" s="102">
        <v>0</v>
      </c>
      <c r="BF37" s="102">
        <v>0</v>
      </c>
      <c r="BG37" s="102">
        <f t="shared" si="2"/>
        <v>0</v>
      </c>
      <c r="BH37" s="102">
        <v>0</v>
      </c>
      <c r="BI37" s="102">
        <v>0</v>
      </c>
      <c r="BJ37" s="102">
        <v>0</v>
      </c>
      <c r="BK37" s="102">
        <f t="shared" si="3"/>
        <v>0</v>
      </c>
      <c r="BL37" s="555"/>
      <c r="BM37" s="436"/>
      <c r="BN37" s="556"/>
      <c r="BO37" s="11" t="s">
        <v>211</v>
      </c>
      <c r="BP37" s="10" t="s">
        <v>231</v>
      </c>
      <c r="BQ37" s="12" t="s">
        <v>216</v>
      </c>
      <c r="BR37" s="12" t="s">
        <v>111</v>
      </c>
      <c r="BS37" s="6">
        <v>44972</v>
      </c>
      <c r="BT37" s="15" t="s">
        <v>207</v>
      </c>
      <c r="BU37" s="436"/>
      <c r="BV37" s="436"/>
      <c r="BW37" s="553"/>
      <c r="BX37" s="553"/>
      <c r="BY37" s="63">
        <f t="shared" si="4"/>
        <v>0</v>
      </c>
    </row>
    <row r="38" spans="1:77" ht="57" x14ac:dyDescent="0.25">
      <c r="A38" s="450"/>
      <c r="B38" s="506"/>
      <c r="C38" s="506"/>
      <c r="D38" s="506"/>
      <c r="E38" s="508"/>
      <c r="F38" s="508"/>
      <c r="G38" s="406"/>
      <c r="H38" s="406"/>
      <c r="I38" s="406"/>
      <c r="J38" s="482"/>
      <c r="K38" s="436"/>
      <c r="L38" s="438"/>
      <c r="M38" s="438"/>
      <c r="N38" s="436"/>
      <c r="O38" s="438"/>
      <c r="P38" s="438"/>
      <c r="Q38" s="436"/>
      <c r="R38" s="438"/>
      <c r="S38" s="438"/>
      <c r="T38" s="438"/>
      <c r="U38" s="438"/>
      <c r="V38" s="438"/>
      <c r="W38" s="438"/>
      <c r="X38" s="464"/>
      <c r="Y38" s="464"/>
      <c r="Z38" s="464"/>
      <c r="AA38" s="464"/>
      <c r="AB38" s="438"/>
      <c r="AC38" s="495"/>
      <c r="AD38" s="495"/>
      <c r="AE38" s="495"/>
      <c r="AF38" s="495"/>
      <c r="AG38" s="438"/>
      <c r="AH38" s="438"/>
      <c r="AI38" s="438"/>
      <c r="AJ38" s="64" t="s">
        <v>235</v>
      </c>
      <c r="AK38" s="4" t="s">
        <v>234</v>
      </c>
      <c r="AL38" s="11">
        <v>1</v>
      </c>
      <c r="AM38" s="106">
        <v>0.05</v>
      </c>
      <c r="AN38" s="186">
        <v>0</v>
      </c>
      <c r="AO38" s="186">
        <v>0.25</v>
      </c>
      <c r="AP38" s="108">
        <v>44927</v>
      </c>
      <c r="AQ38" s="108">
        <v>45291</v>
      </c>
      <c r="AR38" s="11">
        <v>365</v>
      </c>
      <c r="AS38" s="81">
        <v>1028736</v>
      </c>
      <c r="AT38" s="81">
        <v>1028736</v>
      </c>
      <c r="AU38" s="11" t="s">
        <v>91</v>
      </c>
      <c r="AV38" s="11" t="s">
        <v>92</v>
      </c>
      <c r="AW38" s="11" t="s">
        <v>184</v>
      </c>
      <c r="AX38" s="111">
        <v>30000000</v>
      </c>
      <c r="AY38" s="111">
        <v>0</v>
      </c>
      <c r="AZ38" s="102">
        <f t="shared" si="0"/>
        <v>30000000</v>
      </c>
      <c r="BA38" s="102">
        <v>0</v>
      </c>
      <c r="BB38" s="102">
        <v>0</v>
      </c>
      <c r="BC38" s="86">
        <f t="shared" si="1"/>
        <v>30000000</v>
      </c>
      <c r="BD38" s="102">
        <v>0</v>
      </c>
      <c r="BE38" s="102">
        <v>0</v>
      </c>
      <c r="BF38" s="102">
        <v>0</v>
      </c>
      <c r="BG38" s="102">
        <f t="shared" si="2"/>
        <v>0</v>
      </c>
      <c r="BH38" s="102">
        <v>0</v>
      </c>
      <c r="BI38" s="102">
        <v>0</v>
      </c>
      <c r="BJ38" s="102">
        <v>0</v>
      </c>
      <c r="BK38" s="102">
        <f t="shared" si="3"/>
        <v>0</v>
      </c>
      <c r="BL38" s="555"/>
      <c r="BM38" s="436"/>
      <c r="BN38" s="556"/>
      <c r="BO38" s="11" t="s">
        <v>211</v>
      </c>
      <c r="BP38" s="10" t="s">
        <v>231</v>
      </c>
      <c r="BQ38" s="12" t="s">
        <v>216</v>
      </c>
      <c r="BR38" s="12" t="s">
        <v>111</v>
      </c>
      <c r="BS38" s="6">
        <v>44972</v>
      </c>
      <c r="BT38" s="16" t="s">
        <v>236</v>
      </c>
      <c r="BU38" s="436"/>
      <c r="BV38" s="436"/>
      <c r="BW38" s="553"/>
      <c r="BX38" s="553"/>
      <c r="BY38" s="63">
        <f t="shared" si="4"/>
        <v>0</v>
      </c>
    </row>
    <row r="39" spans="1:77" ht="85.5" x14ac:dyDescent="0.25">
      <c r="A39" s="450"/>
      <c r="B39" s="506"/>
      <c r="C39" s="506"/>
      <c r="D39" s="506"/>
      <c r="E39" s="508"/>
      <c r="F39" s="508"/>
      <c r="G39" s="406"/>
      <c r="H39" s="406"/>
      <c r="I39" s="406"/>
      <c r="J39" s="482"/>
      <c r="K39" s="64" t="s">
        <v>237</v>
      </c>
      <c r="L39" s="64" t="s">
        <v>76</v>
      </c>
      <c r="M39" s="64">
        <v>0</v>
      </c>
      <c r="N39" s="4" t="s">
        <v>238</v>
      </c>
      <c r="O39" s="64"/>
      <c r="P39" s="64" t="s">
        <v>228</v>
      </c>
      <c r="Q39" s="436"/>
      <c r="R39" s="64">
        <v>40</v>
      </c>
      <c r="S39" s="64">
        <v>40</v>
      </c>
      <c r="T39" s="64">
        <v>0</v>
      </c>
      <c r="U39" s="64">
        <v>0</v>
      </c>
      <c r="V39" s="64">
        <v>0</v>
      </c>
      <c r="W39" s="64">
        <f>SUM(T39:V39)</f>
        <v>0</v>
      </c>
      <c r="X39" s="148">
        <v>0</v>
      </c>
      <c r="Y39" s="148">
        <v>0</v>
      </c>
      <c r="Z39" s="148">
        <v>0</v>
      </c>
      <c r="AA39" s="148">
        <f>SUM(X39:Z39)</f>
        <v>0</v>
      </c>
      <c r="AB39" s="64">
        <v>0</v>
      </c>
      <c r="AC39" s="495"/>
      <c r="AD39" s="495"/>
      <c r="AE39" s="495"/>
      <c r="AF39" s="495"/>
      <c r="AG39" s="438"/>
      <c r="AH39" s="438"/>
      <c r="AI39" s="438"/>
      <c r="AJ39" s="64" t="s">
        <v>239</v>
      </c>
      <c r="AK39" s="4" t="s">
        <v>234</v>
      </c>
      <c r="AL39" s="11">
        <v>1</v>
      </c>
      <c r="AM39" s="106">
        <v>0.05</v>
      </c>
      <c r="AN39" s="186">
        <v>0</v>
      </c>
      <c r="AO39" s="186">
        <v>0.3</v>
      </c>
      <c r="AP39" s="108">
        <v>44927</v>
      </c>
      <c r="AQ39" s="108">
        <v>45291</v>
      </c>
      <c r="AR39" s="11">
        <v>365</v>
      </c>
      <c r="AS39" s="81">
        <v>1028736</v>
      </c>
      <c r="AT39" s="81">
        <v>1028736</v>
      </c>
      <c r="AU39" s="11" t="s">
        <v>91</v>
      </c>
      <c r="AV39" s="11" t="s">
        <v>92</v>
      </c>
      <c r="AW39" s="11" t="s">
        <v>184</v>
      </c>
      <c r="AX39" s="111">
        <v>100000000</v>
      </c>
      <c r="AY39" s="111">
        <v>0</v>
      </c>
      <c r="AZ39" s="102">
        <f t="shared" si="0"/>
        <v>100000000</v>
      </c>
      <c r="BA39" s="157">
        <v>493976000</v>
      </c>
      <c r="BB39" s="102">
        <v>0</v>
      </c>
      <c r="BC39" s="152">
        <f t="shared" si="1"/>
        <v>593976000</v>
      </c>
      <c r="BD39" s="102">
        <v>0</v>
      </c>
      <c r="BE39" s="102">
        <v>0</v>
      </c>
      <c r="BF39" s="102">
        <v>0</v>
      </c>
      <c r="BG39" s="102">
        <f t="shared" si="2"/>
        <v>0</v>
      </c>
      <c r="BH39" s="102">
        <v>0</v>
      </c>
      <c r="BI39" s="102">
        <v>0</v>
      </c>
      <c r="BJ39" s="102">
        <v>0</v>
      </c>
      <c r="BK39" s="102">
        <f t="shared" si="3"/>
        <v>0</v>
      </c>
      <c r="BL39" s="555"/>
      <c r="BM39" s="436"/>
      <c r="BN39" s="556"/>
      <c r="BO39" s="11" t="s">
        <v>211</v>
      </c>
      <c r="BP39" s="10" t="s">
        <v>231</v>
      </c>
      <c r="BQ39" s="12" t="s">
        <v>216</v>
      </c>
      <c r="BR39" s="12" t="s">
        <v>111</v>
      </c>
      <c r="BS39" s="6">
        <v>44972</v>
      </c>
      <c r="BT39" s="15" t="s">
        <v>207</v>
      </c>
      <c r="BU39" s="436"/>
      <c r="BV39" s="436"/>
      <c r="BW39" s="553"/>
      <c r="BX39" s="553"/>
      <c r="BY39" s="63">
        <f t="shared" si="4"/>
        <v>0</v>
      </c>
    </row>
    <row r="40" spans="1:77" ht="82.15" customHeight="1" x14ac:dyDescent="0.25">
      <c r="A40" s="450"/>
      <c r="B40" s="506"/>
      <c r="C40" s="506"/>
      <c r="D40" s="506"/>
      <c r="E40" s="508"/>
      <c r="F40" s="508"/>
      <c r="G40" s="406"/>
      <c r="H40" s="406"/>
      <c r="I40" s="406"/>
      <c r="J40" s="437" t="s">
        <v>240</v>
      </c>
      <c r="K40" s="436" t="s">
        <v>241</v>
      </c>
      <c r="L40" s="436" t="s">
        <v>76</v>
      </c>
      <c r="M40" s="438">
        <v>0</v>
      </c>
      <c r="N40" s="436" t="s">
        <v>242</v>
      </c>
      <c r="O40" s="436"/>
      <c r="P40" s="436" t="s">
        <v>228</v>
      </c>
      <c r="Q40" s="436" t="s">
        <v>243</v>
      </c>
      <c r="R40" s="476">
        <v>6</v>
      </c>
      <c r="S40" s="438" t="s">
        <v>120</v>
      </c>
      <c r="T40" s="438" t="s">
        <v>527</v>
      </c>
      <c r="U40" s="438" t="s">
        <v>527</v>
      </c>
      <c r="V40" s="438" t="s">
        <v>527</v>
      </c>
      <c r="W40" s="438" t="s">
        <v>527</v>
      </c>
      <c r="X40" s="464" t="s">
        <v>527</v>
      </c>
      <c r="Y40" s="464" t="s">
        <v>527</v>
      </c>
      <c r="Z40" s="464" t="s">
        <v>527</v>
      </c>
      <c r="AA40" s="464" t="s">
        <v>527</v>
      </c>
      <c r="AB40" s="476">
        <v>6</v>
      </c>
      <c r="AC40" s="481" t="s">
        <v>82</v>
      </c>
      <c r="AD40" s="481" t="s">
        <v>194</v>
      </c>
      <c r="AE40" s="481" t="s">
        <v>84</v>
      </c>
      <c r="AF40" s="481" t="s">
        <v>85</v>
      </c>
      <c r="AG40" s="436" t="s">
        <v>244</v>
      </c>
      <c r="AH40" s="477" t="s">
        <v>245</v>
      </c>
      <c r="AI40" s="436" t="s">
        <v>246</v>
      </c>
      <c r="AJ40" s="4" t="s">
        <v>247</v>
      </c>
      <c r="AK40" s="4" t="s">
        <v>248</v>
      </c>
      <c r="AL40" s="4">
        <v>1</v>
      </c>
      <c r="AM40" s="112">
        <v>0.2</v>
      </c>
      <c r="AN40" s="187">
        <v>0.25</v>
      </c>
      <c r="AO40" s="187">
        <v>0.25</v>
      </c>
      <c r="AP40" s="113">
        <v>44927</v>
      </c>
      <c r="AQ40" s="113">
        <v>45291</v>
      </c>
      <c r="AR40" s="4">
        <v>365</v>
      </c>
      <c r="AS40" s="22">
        <v>1028736</v>
      </c>
      <c r="AT40" s="22">
        <v>1028736</v>
      </c>
      <c r="AU40" s="4" t="s">
        <v>91</v>
      </c>
      <c r="AV40" s="4" t="s">
        <v>92</v>
      </c>
      <c r="AW40" s="4" t="s">
        <v>184</v>
      </c>
      <c r="AX40" s="114">
        <v>0</v>
      </c>
      <c r="AY40" s="114">
        <v>0</v>
      </c>
      <c r="AZ40" s="102">
        <f t="shared" si="0"/>
        <v>0</v>
      </c>
      <c r="BA40" s="102">
        <v>0</v>
      </c>
      <c r="BB40" s="102">
        <v>0</v>
      </c>
      <c r="BC40" s="86">
        <f t="shared" si="1"/>
        <v>0</v>
      </c>
      <c r="BD40" s="102">
        <v>0</v>
      </c>
      <c r="BE40" s="102">
        <v>0</v>
      </c>
      <c r="BF40" s="102">
        <v>0</v>
      </c>
      <c r="BG40" s="102">
        <f>SUM(BD40:BF40)</f>
        <v>0</v>
      </c>
      <c r="BH40" s="102">
        <v>0</v>
      </c>
      <c r="BI40" s="102">
        <v>0</v>
      </c>
      <c r="BJ40" s="102">
        <v>0</v>
      </c>
      <c r="BK40" s="102">
        <f>SUM(BH40:BJ40)</f>
        <v>0</v>
      </c>
      <c r="BL40" s="489" t="s">
        <v>561</v>
      </c>
      <c r="BM40" s="491" t="s">
        <v>244</v>
      </c>
      <c r="BN40" s="493" t="s">
        <v>249</v>
      </c>
      <c r="BO40" s="23" t="s">
        <v>96</v>
      </c>
      <c r="BP40" s="24" t="s">
        <v>97</v>
      </c>
      <c r="BQ40" s="24" t="s">
        <v>97</v>
      </c>
      <c r="BR40" s="24" t="s">
        <v>97</v>
      </c>
      <c r="BS40" s="6" t="s">
        <v>97</v>
      </c>
      <c r="BT40" s="4" t="s">
        <v>250</v>
      </c>
      <c r="BU40" s="436" t="s">
        <v>99</v>
      </c>
      <c r="BV40" s="405" t="s">
        <v>100</v>
      </c>
      <c r="BW40" s="122"/>
      <c r="BX40" s="122" t="s">
        <v>595</v>
      </c>
      <c r="BY40" s="63">
        <f t="shared" si="4"/>
        <v>0</v>
      </c>
    </row>
    <row r="41" spans="1:77" ht="127.5" customHeight="1" x14ac:dyDescent="0.25">
      <c r="A41" s="450"/>
      <c r="B41" s="506"/>
      <c r="C41" s="506"/>
      <c r="D41" s="506"/>
      <c r="E41" s="508"/>
      <c r="F41" s="508"/>
      <c r="G41" s="406"/>
      <c r="H41" s="406"/>
      <c r="I41" s="406"/>
      <c r="J41" s="482"/>
      <c r="K41" s="438"/>
      <c r="L41" s="436"/>
      <c r="M41" s="438"/>
      <c r="N41" s="438"/>
      <c r="O41" s="438"/>
      <c r="P41" s="438"/>
      <c r="Q41" s="436"/>
      <c r="R41" s="438"/>
      <c r="S41" s="438"/>
      <c r="T41" s="438"/>
      <c r="U41" s="438"/>
      <c r="V41" s="438"/>
      <c r="W41" s="438"/>
      <c r="X41" s="464"/>
      <c r="Y41" s="464"/>
      <c r="Z41" s="464"/>
      <c r="AA41" s="464"/>
      <c r="AB41" s="438"/>
      <c r="AC41" s="438"/>
      <c r="AD41" s="438"/>
      <c r="AE41" s="438"/>
      <c r="AF41" s="438"/>
      <c r="AG41" s="438"/>
      <c r="AH41" s="438"/>
      <c r="AI41" s="438"/>
      <c r="AJ41" s="4" t="s">
        <v>251</v>
      </c>
      <c r="AK41" s="4" t="s">
        <v>252</v>
      </c>
      <c r="AL41" s="13">
        <v>1</v>
      </c>
      <c r="AM41" s="112">
        <v>0.2</v>
      </c>
      <c r="AN41" s="187">
        <v>0</v>
      </c>
      <c r="AO41" s="187">
        <v>0.5</v>
      </c>
      <c r="AP41" s="115">
        <v>44927</v>
      </c>
      <c r="AQ41" s="115">
        <v>45291</v>
      </c>
      <c r="AR41" s="4">
        <v>365</v>
      </c>
      <c r="AS41" s="13">
        <v>1028736</v>
      </c>
      <c r="AT41" s="13">
        <v>1028736</v>
      </c>
      <c r="AU41" s="13" t="s">
        <v>91</v>
      </c>
      <c r="AV41" s="13" t="s">
        <v>92</v>
      </c>
      <c r="AW41" s="13" t="s">
        <v>184</v>
      </c>
      <c r="AX41" s="110">
        <v>37940500</v>
      </c>
      <c r="AY41" s="110">
        <v>0</v>
      </c>
      <c r="AZ41" s="102">
        <f t="shared" si="0"/>
        <v>37940500</v>
      </c>
      <c r="BA41" s="158">
        <v>50474580</v>
      </c>
      <c r="BB41" s="102">
        <v>0</v>
      </c>
      <c r="BC41" s="152">
        <f t="shared" si="1"/>
        <v>88415080</v>
      </c>
      <c r="BD41" s="102">
        <v>0</v>
      </c>
      <c r="BE41" s="102">
        <v>0</v>
      </c>
      <c r="BF41" s="102">
        <v>0</v>
      </c>
      <c r="BG41" s="102">
        <f>SUM(BD41:BF41)</f>
        <v>0</v>
      </c>
      <c r="BH41" s="102">
        <v>0</v>
      </c>
      <c r="BI41" s="102">
        <v>0</v>
      </c>
      <c r="BJ41" s="102">
        <v>0</v>
      </c>
      <c r="BK41" s="102">
        <f>SUM(BH41:BJ41)</f>
        <v>0</v>
      </c>
      <c r="BL41" s="490"/>
      <c r="BM41" s="492"/>
      <c r="BN41" s="493"/>
      <c r="BO41" s="13" t="s">
        <v>108</v>
      </c>
      <c r="BP41" s="25" t="s">
        <v>253</v>
      </c>
      <c r="BQ41" s="23" t="s">
        <v>147</v>
      </c>
      <c r="BR41" s="26" t="s">
        <v>111</v>
      </c>
      <c r="BS41" s="6">
        <v>44957</v>
      </c>
      <c r="BT41" s="4" t="s">
        <v>254</v>
      </c>
      <c r="BU41" s="436"/>
      <c r="BV41" s="406"/>
      <c r="BW41" s="122" t="s">
        <v>534</v>
      </c>
      <c r="BX41" s="122" t="s">
        <v>582</v>
      </c>
      <c r="BY41" s="63">
        <f t="shared" si="4"/>
        <v>0</v>
      </c>
    </row>
    <row r="42" spans="1:77" ht="299.25" x14ac:dyDescent="0.25">
      <c r="A42" s="450"/>
      <c r="B42" s="506"/>
      <c r="C42" s="506"/>
      <c r="D42" s="506"/>
      <c r="E42" s="508"/>
      <c r="F42" s="508"/>
      <c r="G42" s="406"/>
      <c r="H42" s="406"/>
      <c r="I42" s="406"/>
      <c r="J42" s="482"/>
      <c r="K42" s="438"/>
      <c r="L42" s="436"/>
      <c r="M42" s="438"/>
      <c r="N42" s="438"/>
      <c r="O42" s="438"/>
      <c r="P42" s="438"/>
      <c r="Q42" s="438" t="s">
        <v>255</v>
      </c>
      <c r="R42" s="438"/>
      <c r="S42" s="438"/>
      <c r="T42" s="438"/>
      <c r="U42" s="438"/>
      <c r="V42" s="438"/>
      <c r="W42" s="438"/>
      <c r="X42" s="464"/>
      <c r="Y42" s="464"/>
      <c r="Z42" s="464"/>
      <c r="AA42" s="464"/>
      <c r="AB42" s="438"/>
      <c r="AC42" s="438"/>
      <c r="AD42" s="438"/>
      <c r="AE42" s="438"/>
      <c r="AF42" s="438"/>
      <c r="AG42" s="438"/>
      <c r="AH42" s="438"/>
      <c r="AI42" s="438"/>
      <c r="AJ42" s="4" t="s">
        <v>256</v>
      </c>
      <c r="AK42" s="4" t="s">
        <v>257</v>
      </c>
      <c r="AL42" s="13">
        <v>1</v>
      </c>
      <c r="AM42" s="112">
        <v>0.15</v>
      </c>
      <c r="AN42" s="187">
        <v>0.25</v>
      </c>
      <c r="AO42" s="187">
        <v>0.25</v>
      </c>
      <c r="AP42" s="115">
        <v>44947</v>
      </c>
      <c r="AQ42" s="115">
        <v>45291</v>
      </c>
      <c r="AR42" s="4">
        <v>365</v>
      </c>
      <c r="AS42" s="13">
        <v>1028736</v>
      </c>
      <c r="AT42" s="13">
        <v>1028736</v>
      </c>
      <c r="AU42" s="13" t="s">
        <v>91</v>
      </c>
      <c r="AV42" s="13" t="s">
        <v>92</v>
      </c>
      <c r="AW42" s="13" t="s">
        <v>184</v>
      </c>
      <c r="AX42" s="110">
        <f>53003500+63710000+25346000</f>
        <v>142059500</v>
      </c>
      <c r="AY42" s="110">
        <v>0</v>
      </c>
      <c r="AZ42" s="102">
        <f t="shared" si="0"/>
        <v>142059500</v>
      </c>
      <c r="BA42" s="102">
        <v>0</v>
      </c>
      <c r="BB42" s="102">
        <v>0</v>
      </c>
      <c r="BC42" s="86">
        <f t="shared" si="1"/>
        <v>142059500</v>
      </c>
      <c r="BD42" s="102">
        <v>0</v>
      </c>
      <c r="BE42" s="102">
        <v>0</v>
      </c>
      <c r="BF42" s="102">
        <v>11300000</v>
      </c>
      <c r="BG42" s="102">
        <f>SUM(BD42:BF42)</f>
        <v>11300000</v>
      </c>
      <c r="BH42" s="102">
        <v>11300000</v>
      </c>
      <c r="BI42" s="102">
        <v>11300000</v>
      </c>
      <c r="BJ42" s="102">
        <v>11300000</v>
      </c>
      <c r="BK42" s="102">
        <f>SUM(BH42:BJ42)</f>
        <v>33900000</v>
      </c>
      <c r="BL42" s="490"/>
      <c r="BM42" s="492"/>
      <c r="BN42" s="493"/>
      <c r="BO42" s="13" t="s">
        <v>108</v>
      </c>
      <c r="BP42" s="27" t="s">
        <v>258</v>
      </c>
      <c r="BQ42" s="24" t="s">
        <v>147</v>
      </c>
      <c r="BR42" s="26" t="s">
        <v>111</v>
      </c>
      <c r="BS42" s="6">
        <v>44927</v>
      </c>
      <c r="BT42" s="4" t="s">
        <v>259</v>
      </c>
      <c r="BU42" s="436"/>
      <c r="BV42" s="406"/>
      <c r="BW42" s="122" t="s">
        <v>546</v>
      </c>
      <c r="BX42" s="122" t="s">
        <v>596</v>
      </c>
      <c r="BY42" s="63">
        <f t="shared" si="4"/>
        <v>45200000</v>
      </c>
    </row>
    <row r="43" spans="1:77" ht="171" customHeight="1" x14ac:dyDescent="0.25">
      <c r="A43" s="450"/>
      <c r="B43" s="506"/>
      <c r="C43" s="506"/>
      <c r="D43" s="506"/>
      <c r="E43" s="508"/>
      <c r="F43" s="508"/>
      <c r="G43" s="406"/>
      <c r="H43" s="406"/>
      <c r="I43" s="406"/>
      <c r="J43" s="482"/>
      <c r="K43" s="438"/>
      <c r="L43" s="436"/>
      <c r="M43" s="438"/>
      <c r="N43" s="438"/>
      <c r="O43" s="438"/>
      <c r="P43" s="438"/>
      <c r="Q43" s="438"/>
      <c r="R43" s="438"/>
      <c r="S43" s="438"/>
      <c r="T43" s="438"/>
      <c r="U43" s="438"/>
      <c r="V43" s="438"/>
      <c r="W43" s="438"/>
      <c r="X43" s="464"/>
      <c r="Y43" s="464"/>
      <c r="Z43" s="464"/>
      <c r="AA43" s="464"/>
      <c r="AB43" s="438"/>
      <c r="AC43" s="438"/>
      <c r="AD43" s="438"/>
      <c r="AE43" s="438"/>
      <c r="AF43" s="438"/>
      <c r="AG43" s="438"/>
      <c r="AH43" s="438"/>
      <c r="AI43" s="438"/>
      <c r="AJ43" s="4" t="s">
        <v>260</v>
      </c>
      <c r="AK43" s="4" t="s">
        <v>261</v>
      </c>
      <c r="AL43" s="13">
        <v>1</v>
      </c>
      <c r="AM43" s="112">
        <v>0.1</v>
      </c>
      <c r="AN43" s="187">
        <v>0</v>
      </c>
      <c r="AO43" s="187">
        <v>0</v>
      </c>
      <c r="AP43" s="115">
        <v>44927</v>
      </c>
      <c r="AQ43" s="115">
        <v>45291</v>
      </c>
      <c r="AR43" s="4">
        <v>365</v>
      </c>
      <c r="AS43" s="13">
        <v>0</v>
      </c>
      <c r="AT43" s="13">
        <v>6</v>
      </c>
      <c r="AU43" s="13" t="s">
        <v>91</v>
      </c>
      <c r="AV43" s="13" t="s">
        <v>92</v>
      </c>
      <c r="AW43" s="13" t="s">
        <v>184</v>
      </c>
      <c r="AX43" s="114">
        <v>0</v>
      </c>
      <c r="AY43" s="114">
        <v>0</v>
      </c>
      <c r="AZ43" s="102">
        <f t="shared" si="0"/>
        <v>0</v>
      </c>
      <c r="BA43" s="102">
        <v>0</v>
      </c>
      <c r="BB43" s="102">
        <v>0</v>
      </c>
      <c r="BC43" s="86">
        <f t="shared" si="1"/>
        <v>0</v>
      </c>
      <c r="BD43" s="102">
        <v>0</v>
      </c>
      <c r="BE43" s="102">
        <v>0</v>
      </c>
      <c r="BF43" s="102">
        <v>0</v>
      </c>
      <c r="BG43" s="102">
        <f>SUM(BD43:BF43)</f>
        <v>0</v>
      </c>
      <c r="BH43" s="102">
        <v>0</v>
      </c>
      <c r="BI43" s="102">
        <v>0</v>
      </c>
      <c r="BJ43" s="102">
        <v>0</v>
      </c>
      <c r="BK43" s="102">
        <f>SUM(BH43:BJ43)</f>
        <v>0</v>
      </c>
      <c r="BL43" s="490"/>
      <c r="BM43" s="492"/>
      <c r="BN43" s="493"/>
      <c r="BO43" s="22" t="s">
        <v>96</v>
      </c>
      <c r="BP43" s="22" t="s">
        <v>97</v>
      </c>
      <c r="BQ43" s="22" t="s">
        <v>97</v>
      </c>
      <c r="BR43" s="22" t="s">
        <v>97</v>
      </c>
      <c r="BS43" s="6" t="s">
        <v>97</v>
      </c>
      <c r="BT43" s="4" t="s">
        <v>262</v>
      </c>
      <c r="BU43" s="436"/>
      <c r="BV43" s="406"/>
      <c r="BW43" s="122" t="s">
        <v>535</v>
      </c>
      <c r="BX43" s="122" t="s">
        <v>597</v>
      </c>
      <c r="BY43" s="63">
        <f t="shared" si="4"/>
        <v>0</v>
      </c>
    </row>
    <row r="44" spans="1:77" ht="115.9" customHeight="1" x14ac:dyDescent="0.25">
      <c r="A44" s="450"/>
      <c r="B44" s="506"/>
      <c r="C44" s="506"/>
      <c r="D44" s="506"/>
      <c r="E44" s="508"/>
      <c r="F44" s="508"/>
      <c r="G44" s="406"/>
      <c r="H44" s="406"/>
      <c r="I44" s="406"/>
      <c r="J44" s="482"/>
      <c r="K44" s="436" t="s">
        <v>263</v>
      </c>
      <c r="L44" s="438" t="s">
        <v>76</v>
      </c>
      <c r="M44" s="438">
        <v>0</v>
      </c>
      <c r="N44" s="436" t="s">
        <v>264</v>
      </c>
      <c r="O44" s="436"/>
      <c r="P44" s="436" t="s">
        <v>228</v>
      </c>
      <c r="Q44" s="438" t="s">
        <v>265</v>
      </c>
      <c r="R44" s="476">
        <v>800</v>
      </c>
      <c r="S44" s="488">
        <f>R44-AB44</f>
        <v>312</v>
      </c>
      <c r="T44" s="488">
        <v>41</v>
      </c>
      <c r="U44" s="488">
        <v>113</v>
      </c>
      <c r="V44" s="488">
        <v>101</v>
      </c>
      <c r="W44" s="488">
        <f>SUM(T44:V46)</f>
        <v>255</v>
      </c>
      <c r="X44" s="572">
        <v>0</v>
      </c>
      <c r="Y44" s="572">
        <v>0</v>
      </c>
      <c r="Z44" s="572">
        <v>214</v>
      </c>
      <c r="AA44" s="572">
        <f>SUM(X44:Z46)</f>
        <v>214</v>
      </c>
      <c r="AB44" s="476">
        <f>199+205+84</f>
        <v>488</v>
      </c>
      <c r="AC44" s="438"/>
      <c r="AD44" s="438"/>
      <c r="AE44" s="438"/>
      <c r="AF44" s="438"/>
      <c r="AG44" s="438"/>
      <c r="AH44" s="438"/>
      <c r="AI44" s="438"/>
      <c r="AJ44" s="4" t="s">
        <v>266</v>
      </c>
      <c r="AK44" s="4" t="s">
        <v>267</v>
      </c>
      <c r="AL44" s="13">
        <v>1</v>
      </c>
      <c r="AM44" s="112">
        <v>0.05</v>
      </c>
      <c r="AN44" s="187">
        <v>0</v>
      </c>
      <c r="AO44" s="187">
        <v>0</v>
      </c>
      <c r="AP44" s="115">
        <v>44927</v>
      </c>
      <c r="AQ44" s="115">
        <v>45291</v>
      </c>
      <c r="AR44" s="4">
        <v>365</v>
      </c>
      <c r="AS44" s="13">
        <v>1028736</v>
      </c>
      <c r="AT44" s="13">
        <v>1028736</v>
      </c>
      <c r="AU44" s="13" t="s">
        <v>91</v>
      </c>
      <c r="AV44" s="13" t="s">
        <v>92</v>
      </c>
      <c r="AW44" s="13" t="s">
        <v>184</v>
      </c>
      <c r="AX44" s="114">
        <v>0</v>
      </c>
      <c r="AY44" s="114">
        <v>0</v>
      </c>
      <c r="AZ44" s="102">
        <f t="shared" si="0"/>
        <v>0</v>
      </c>
      <c r="BA44" s="102">
        <v>0</v>
      </c>
      <c r="BB44" s="102">
        <v>0</v>
      </c>
      <c r="BC44" s="86">
        <f t="shared" si="1"/>
        <v>0</v>
      </c>
      <c r="BD44" s="102">
        <v>0</v>
      </c>
      <c r="BE44" s="102">
        <v>0</v>
      </c>
      <c r="BF44" s="102">
        <v>0</v>
      </c>
      <c r="BG44" s="102">
        <f t="shared" si="2"/>
        <v>0</v>
      </c>
      <c r="BH44" s="102">
        <v>0</v>
      </c>
      <c r="BI44" s="102">
        <v>0</v>
      </c>
      <c r="BJ44" s="102">
        <v>0</v>
      </c>
      <c r="BK44" s="102">
        <f t="shared" ref="BK44:BK65" si="5">SUM(BH44:BJ44)</f>
        <v>0</v>
      </c>
      <c r="BL44" s="490"/>
      <c r="BM44" s="492"/>
      <c r="BN44" s="493"/>
      <c r="BO44" s="22" t="s">
        <v>96</v>
      </c>
      <c r="BP44" s="22" t="s">
        <v>97</v>
      </c>
      <c r="BQ44" s="22" t="s">
        <v>97</v>
      </c>
      <c r="BR44" s="22" t="s">
        <v>97</v>
      </c>
      <c r="BS44" s="6" t="s">
        <v>97</v>
      </c>
      <c r="BT44" s="4" t="s">
        <v>268</v>
      </c>
      <c r="BU44" s="436"/>
      <c r="BV44" s="406"/>
      <c r="BW44" s="122"/>
      <c r="BX44" s="122" t="s">
        <v>597</v>
      </c>
      <c r="BY44" s="63">
        <f t="shared" si="4"/>
        <v>0</v>
      </c>
    </row>
    <row r="45" spans="1:77" ht="57" x14ac:dyDescent="0.25">
      <c r="A45" s="450"/>
      <c r="B45" s="506"/>
      <c r="C45" s="506"/>
      <c r="D45" s="506"/>
      <c r="E45" s="508"/>
      <c r="F45" s="508"/>
      <c r="G45" s="406"/>
      <c r="H45" s="406"/>
      <c r="I45" s="406"/>
      <c r="J45" s="482"/>
      <c r="K45" s="438"/>
      <c r="L45" s="438"/>
      <c r="M45" s="438"/>
      <c r="N45" s="438"/>
      <c r="O45" s="438"/>
      <c r="P45" s="438"/>
      <c r="Q45" s="438"/>
      <c r="R45" s="438"/>
      <c r="S45" s="438"/>
      <c r="T45" s="438"/>
      <c r="U45" s="438"/>
      <c r="V45" s="438"/>
      <c r="W45" s="438"/>
      <c r="X45" s="464"/>
      <c r="Y45" s="464"/>
      <c r="Z45" s="464"/>
      <c r="AA45" s="464"/>
      <c r="AB45" s="438"/>
      <c r="AC45" s="438"/>
      <c r="AD45" s="438"/>
      <c r="AE45" s="438"/>
      <c r="AF45" s="438"/>
      <c r="AG45" s="438"/>
      <c r="AH45" s="438"/>
      <c r="AI45" s="438"/>
      <c r="AJ45" s="4" t="s">
        <v>269</v>
      </c>
      <c r="AK45" s="4" t="s">
        <v>270</v>
      </c>
      <c r="AL45" s="13">
        <v>1</v>
      </c>
      <c r="AM45" s="112">
        <v>0.2</v>
      </c>
      <c r="AN45" s="187">
        <v>0</v>
      </c>
      <c r="AO45" s="187">
        <v>0.5</v>
      </c>
      <c r="AP45" s="115">
        <v>44927</v>
      </c>
      <c r="AQ45" s="115">
        <v>45291</v>
      </c>
      <c r="AR45" s="4">
        <v>365</v>
      </c>
      <c r="AS45" s="13">
        <v>1028736</v>
      </c>
      <c r="AT45" s="13">
        <v>1028736</v>
      </c>
      <c r="AU45" s="13" t="s">
        <v>91</v>
      </c>
      <c r="AV45" s="13" t="s">
        <v>92</v>
      </c>
      <c r="AW45" s="13" t="s">
        <v>184</v>
      </c>
      <c r="AX45" s="114">
        <v>0</v>
      </c>
      <c r="AY45" s="114">
        <v>0</v>
      </c>
      <c r="AZ45" s="102">
        <f t="shared" si="0"/>
        <v>0</v>
      </c>
      <c r="BA45" s="102">
        <v>0</v>
      </c>
      <c r="BB45" s="102">
        <v>0</v>
      </c>
      <c r="BC45" s="86">
        <f t="shared" si="1"/>
        <v>0</v>
      </c>
      <c r="BD45" s="102">
        <v>0</v>
      </c>
      <c r="BE45" s="102">
        <v>0</v>
      </c>
      <c r="BF45" s="102">
        <v>0</v>
      </c>
      <c r="BG45" s="102">
        <f t="shared" si="2"/>
        <v>0</v>
      </c>
      <c r="BH45" s="102">
        <v>0</v>
      </c>
      <c r="BI45" s="102">
        <v>0</v>
      </c>
      <c r="BJ45" s="102">
        <v>0</v>
      </c>
      <c r="BK45" s="102">
        <f t="shared" si="5"/>
        <v>0</v>
      </c>
      <c r="BL45" s="490"/>
      <c r="BM45" s="492"/>
      <c r="BN45" s="493"/>
      <c r="BO45" s="22" t="s">
        <v>96</v>
      </c>
      <c r="BP45" s="22" t="s">
        <v>97</v>
      </c>
      <c r="BQ45" s="22" t="s">
        <v>97</v>
      </c>
      <c r="BR45" s="22" t="s">
        <v>97</v>
      </c>
      <c r="BS45" s="6" t="s">
        <v>97</v>
      </c>
      <c r="BT45" s="4" t="s">
        <v>271</v>
      </c>
      <c r="BU45" s="436"/>
      <c r="BV45" s="406"/>
      <c r="BW45" s="122"/>
      <c r="BX45" s="122" t="s">
        <v>582</v>
      </c>
      <c r="BY45" s="63">
        <f t="shared" si="4"/>
        <v>0</v>
      </c>
    </row>
    <row r="46" spans="1:77" ht="71.25" x14ac:dyDescent="0.25">
      <c r="A46" s="450"/>
      <c r="B46" s="506"/>
      <c r="C46" s="506"/>
      <c r="D46" s="506"/>
      <c r="E46" s="508"/>
      <c r="F46" s="508"/>
      <c r="G46" s="406"/>
      <c r="H46" s="406"/>
      <c r="I46" s="406"/>
      <c r="J46" s="482"/>
      <c r="K46" s="438"/>
      <c r="L46" s="438"/>
      <c r="M46" s="438"/>
      <c r="N46" s="438"/>
      <c r="O46" s="438"/>
      <c r="P46" s="438"/>
      <c r="Q46" s="438"/>
      <c r="R46" s="438"/>
      <c r="S46" s="438"/>
      <c r="T46" s="438"/>
      <c r="U46" s="438"/>
      <c r="V46" s="438"/>
      <c r="W46" s="438"/>
      <c r="X46" s="464"/>
      <c r="Y46" s="464"/>
      <c r="Z46" s="464"/>
      <c r="AA46" s="464"/>
      <c r="AB46" s="438"/>
      <c r="AC46" s="438"/>
      <c r="AD46" s="438"/>
      <c r="AE46" s="438"/>
      <c r="AF46" s="438"/>
      <c r="AG46" s="438"/>
      <c r="AH46" s="438"/>
      <c r="AI46" s="438"/>
      <c r="AJ46" s="4" t="s">
        <v>272</v>
      </c>
      <c r="AK46" s="4" t="s">
        <v>273</v>
      </c>
      <c r="AL46" s="13">
        <v>1</v>
      </c>
      <c r="AM46" s="112">
        <v>0.1</v>
      </c>
      <c r="AN46" s="187">
        <v>0</v>
      </c>
      <c r="AO46" s="187">
        <v>0</v>
      </c>
      <c r="AP46" s="115">
        <v>44927</v>
      </c>
      <c r="AQ46" s="115">
        <v>45291</v>
      </c>
      <c r="AR46" s="4">
        <v>365</v>
      </c>
      <c r="AS46" s="13">
        <v>1028736</v>
      </c>
      <c r="AT46" s="13">
        <v>1028736</v>
      </c>
      <c r="AU46" s="13" t="s">
        <v>91</v>
      </c>
      <c r="AV46" s="13" t="s">
        <v>92</v>
      </c>
      <c r="AW46" s="13" t="s">
        <v>184</v>
      </c>
      <c r="AX46" s="114">
        <v>0</v>
      </c>
      <c r="AY46" s="114">
        <v>0</v>
      </c>
      <c r="AZ46" s="102">
        <f t="shared" si="0"/>
        <v>0</v>
      </c>
      <c r="BA46" s="102">
        <v>0</v>
      </c>
      <c r="BB46" s="102">
        <v>0</v>
      </c>
      <c r="BC46" s="86">
        <f t="shared" si="1"/>
        <v>0</v>
      </c>
      <c r="BD46" s="102">
        <v>0</v>
      </c>
      <c r="BE46" s="102">
        <v>0</v>
      </c>
      <c r="BF46" s="102">
        <v>0</v>
      </c>
      <c r="BG46" s="102">
        <f t="shared" si="2"/>
        <v>0</v>
      </c>
      <c r="BH46" s="102">
        <v>0</v>
      </c>
      <c r="BI46" s="102">
        <v>0</v>
      </c>
      <c r="BJ46" s="102">
        <v>0</v>
      </c>
      <c r="BK46" s="102">
        <f t="shared" si="5"/>
        <v>0</v>
      </c>
      <c r="BL46" s="490"/>
      <c r="BM46" s="492"/>
      <c r="BN46" s="494"/>
      <c r="BO46" s="22" t="s">
        <v>96</v>
      </c>
      <c r="BP46" s="22" t="s">
        <v>97</v>
      </c>
      <c r="BQ46" s="22" t="s">
        <v>97</v>
      </c>
      <c r="BR46" s="22" t="s">
        <v>97</v>
      </c>
      <c r="BS46" s="6" t="s">
        <v>97</v>
      </c>
      <c r="BT46" s="4" t="s">
        <v>274</v>
      </c>
      <c r="BU46" s="436"/>
      <c r="BV46" s="407"/>
      <c r="BW46" s="122"/>
      <c r="BX46" s="122" t="s">
        <v>582</v>
      </c>
      <c r="BY46" s="63">
        <f t="shared" si="4"/>
        <v>0</v>
      </c>
    </row>
    <row r="47" spans="1:77" ht="409.5" x14ac:dyDescent="0.25">
      <c r="A47" s="450"/>
      <c r="B47" s="506"/>
      <c r="C47" s="506"/>
      <c r="D47" s="506"/>
      <c r="E47" s="508"/>
      <c r="F47" s="508"/>
      <c r="G47" s="406"/>
      <c r="H47" s="406"/>
      <c r="I47" s="406"/>
      <c r="J47" s="437" t="s">
        <v>275</v>
      </c>
      <c r="K47" s="436" t="s">
        <v>276</v>
      </c>
      <c r="L47" s="436" t="s">
        <v>76</v>
      </c>
      <c r="M47" s="436">
        <v>0</v>
      </c>
      <c r="N47" s="436" t="s">
        <v>277</v>
      </c>
      <c r="O47" s="436"/>
      <c r="P47" s="436" t="s">
        <v>80</v>
      </c>
      <c r="Q47" s="487" t="s">
        <v>278</v>
      </c>
      <c r="R47" s="436">
        <v>1</v>
      </c>
      <c r="S47" s="436" t="s">
        <v>120</v>
      </c>
      <c r="T47" s="436" t="s">
        <v>527</v>
      </c>
      <c r="U47" s="436" t="s">
        <v>527</v>
      </c>
      <c r="V47" s="436" t="s">
        <v>527</v>
      </c>
      <c r="W47" s="436" t="s">
        <v>527</v>
      </c>
      <c r="X47" s="565" t="s">
        <v>527</v>
      </c>
      <c r="Y47" s="565" t="s">
        <v>527</v>
      </c>
      <c r="Z47" s="565" t="s">
        <v>527</v>
      </c>
      <c r="AA47" s="565" t="s">
        <v>527</v>
      </c>
      <c r="AB47" s="436">
        <v>1</v>
      </c>
      <c r="AC47" s="436" t="s">
        <v>82</v>
      </c>
      <c r="AD47" s="436" t="s">
        <v>279</v>
      </c>
      <c r="AE47" s="436" t="s">
        <v>84</v>
      </c>
      <c r="AF47" s="436" t="s">
        <v>85</v>
      </c>
      <c r="AG47" s="486" t="s">
        <v>280</v>
      </c>
      <c r="AH47" s="438" t="s">
        <v>281</v>
      </c>
      <c r="AI47" s="486" t="s">
        <v>282</v>
      </c>
      <c r="AJ47" s="26" t="s">
        <v>283</v>
      </c>
      <c r="AK47" s="82" t="s">
        <v>284</v>
      </c>
      <c r="AL47" s="82">
        <v>1</v>
      </c>
      <c r="AM47" s="83">
        <v>0.05</v>
      </c>
      <c r="AN47" s="188">
        <v>0</v>
      </c>
      <c r="AO47" s="188">
        <v>1</v>
      </c>
      <c r="AP47" s="84">
        <v>44927</v>
      </c>
      <c r="AQ47" s="84">
        <v>45291</v>
      </c>
      <c r="AR47" s="82">
        <v>365</v>
      </c>
      <c r="AS47" s="66">
        <v>10345</v>
      </c>
      <c r="AT47" s="66">
        <v>0</v>
      </c>
      <c r="AU47" s="26" t="s">
        <v>285</v>
      </c>
      <c r="AV47" s="26" t="s">
        <v>286</v>
      </c>
      <c r="AW47" s="26" t="s">
        <v>184</v>
      </c>
      <c r="AX47" s="114">
        <v>0</v>
      </c>
      <c r="AY47" s="114">
        <v>0</v>
      </c>
      <c r="AZ47" s="102">
        <f t="shared" si="0"/>
        <v>0</v>
      </c>
      <c r="BA47" s="102">
        <v>0</v>
      </c>
      <c r="BB47" s="102">
        <v>0</v>
      </c>
      <c r="BC47" s="86">
        <f t="shared" si="1"/>
        <v>0</v>
      </c>
      <c r="BD47" s="102">
        <v>0</v>
      </c>
      <c r="BE47" s="102">
        <v>0</v>
      </c>
      <c r="BF47" s="102">
        <v>0</v>
      </c>
      <c r="BG47" s="102">
        <f t="shared" si="2"/>
        <v>0</v>
      </c>
      <c r="BH47" s="102">
        <v>0</v>
      </c>
      <c r="BI47" s="102">
        <v>0</v>
      </c>
      <c r="BJ47" s="102">
        <v>0</v>
      </c>
      <c r="BK47" s="102">
        <f t="shared" si="5"/>
        <v>0</v>
      </c>
      <c r="BL47" s="557" t="s">
        <v>94</v>
      </c>
      <c r="BM47" s="486" t="s">
        <v>280</v>
      </c>
      <c r="BN47" s="483" t="s">
        <v>287</v>
      </c>
      <c r="BO47" s="26" t="s">
        <v>96</v>
      </c>
      <c r="BP47" s="26" t="s">
        <v>219</v>
      </c>
      <c r="BQ47" s="26" t="s">
        <v>219</v>
      </c>
      <c r="BR47" s="26" t="s">
        <v>219</v>
      </c>
      <c r="BS47" s="6" t="s">
        <v>219</v>
      </c>
      <c r="BT47" s="26" t="s">
        <v>288</v>
      </c>
      <c r="BU47" s="406" t="s">
        <v>99</v>
      </c>
      <c r="BV47" s="483" t="s">
        <v>100</v>
      </c>
      <c r="BW47" s="122" t="s">
        <v>549</v>
      </c>
      <c r="BX47" s="122" t="s">
        <v>598</v>
      </c>
      <c r="BY47" s="63">
        <f t="shared" si="4"/>
        <v>0</v>
      </c>
    </row>
    <row r="48" spans="1:77" ht="99.75" x14ac:dyDescent="0.25">
      <c r="A48" s="450"/>
      <c r="B48" s="506"/>
      <c r="C48" s="506"/>
      <c r="D48" s="506"/>
      <c r="E48" s="508"/>
      <c r="F48" s="508"/>
      <c r="G48" s="406"/>
      <c r="H48" s="406"/>
      <c r="I48" s="406"/>
      <c r="J48" s="437"/>
      <c r="K48" s="436"/>
      <c r="L48" s="436"/>
      <c r="M48" s="436"/>
      <c r="N48" s="436"/>
      <c r="O48" s="436"/>
      <c r="P48" s="436"/>
      <c r="Q48" s="487"/>
      <c r="R48" s="436"/>
      <c r="S48" s="436"/>
      <c r="T48" s="436"/>
      <c r="U48" s="436"/>
      <c r="V48" s="436"/>
      <c r="W48" s="436"/>
      <c r="X48" s="565"/>
      <c r="Y48" s="565"/>
      <c r="Z48" s="565"/>
      <c r="AA48" s="565"/>
      <c r="AB48" s="436"/>
      <c r="AC48" s="436"/>
      <c r="AD48" s="436"/>
      <c r="AE48" s="436"/>
      <c r="AF48" s="436"/>
      <c r="AG48" s="486"/>
      <c r="AH48" s="438"/>
      <c r="AI48" s="486"/>
      <c r="AJ48" s="26" t="s">
        <v>289</v>
      </c>
      <c r="AK48" s="82" t="s">
        <v>290</v>
      </c>
      <c r="AL48" s="82">
        <v>1</v>
      </c>
      <c r="AM48" s="83">
        <v>0.15</v>
      </c>
      <c r="AN48" s="188">
        <v>0.25</v>
      </c>
      <c r="AO48" s="188">
        <v>0.25</v>
      </c>
      <c r="AP48" s="84">
        <v>44927</v>
      </c>
      <c r="AQ48" s="84">
        <v>45291</v>
      </c>
      <c r="AR48" s="82">
        <v>365</v>
      </c>
      <c r="AS48" s="66">
        <v>10345</v>
      </c>
      <c r="AT48" s="66">
        <v>0</v>
      </c>
      <c r="AU48" s="26" t="s">
        <v>285</v>
      </c>
      <c r="AV48" s="26" t="s">
        <v>286</v>
      </c>
      <c r="AW48" s="26" t="s">
        <v>184</v>
      </c>
      <c r="AX48" s="114">
        <v>0</v>
      </c>
      <c r="AY48" s="114">
        <v>0</v>
      </c>
      <c r="AZ48" s="102">
        <f t="shared" si="0"/>
        <v>0</v>
      </c>
      <c r="BA48" s="102">
        <v>0</v>
      </c>
      <c r="BB48" s="102">
        <v>0</v>
      </c>
      <c r="BC48" s="86">
        <f t="shared" si="1"/>
        <v>0</v>
      </c>
      <c r="BD48" s="102">
        <v>0</v>
      </c>
      <c r="BE48" s="102">
        <v>0</v>
      </c>
      <c r="BF48" s="102">
        <v>0</v>
      </c>
      <c r="BG48" s="102">
        <f t="shared" si="2"/>
        <v>0</v>
      </c>
      <c r="BH48" s="102">
        <v>0</v>
      </c>
      <c r="BI48" s="102">
        <v>0</v>
      </c>
      <c r="BJ48" s="102">
        <v>0</v>
      </c>
      <c r="BK48" s="102">
        <f t="shared" si="5"/>
        <v>0</v>
      </c>
      <c r="BL48" s="558"/>
      <c r="BM48" s="486"/>
      <c r="BN48" s="484"/>
      <c r="BO48" s="26" t="s">
        <v>96</v>
      </c>
      <c r="BP48" s="26" t="s">
        <v>219</v>
      </c>
      <c r="BQ48" s="26" t="s">
        <v>219</v>
      </c>
      <c r="BR48" s="26" t="s">
        <v>219</v>
      </c>
      <c r="BS48" s="6" t="s">
        <v>219</v>
      </c>
      <c r="BT48" s="26" t="s">
        <v>291</v>
      </c>
      <c r="BU48" s="406"/>
      <c r="BV48" s="484"/>
      <c r="BW48" s="122"/>
      <c r="BX48" s="122" t="s">
        <v>599</v>
      </c>
      <c r="BY48" s="63">
        <f t="shared" si="4"/>
        <v>0</v>
      </c>
    </row>
    <row r="49" spans="1:77" ht="409.5" x14ac:dyDescent="0.25">
      <c r="A49" s="450"/>
      <c r="B49" s="506"/>
      <c r="C49" s="506"/>
      <c r="D49" s="506"/>
      <c r="E49" s="508"/>
      <c r="F49" s="508"/>
      <c r="G49" s="406"/>
      <c r="H49" s="406"/>
      <c r="I49" s="406"/>
      <c r="J49" s="437"/>
      <c r="K49" s="436"/>
      <c r="L49" s="436"/>
      <c r="M49" s="436"/>
      <c r="N49" s="436"/>
      <c r="O49" s="436"/>
      <c r="P49" s="436"/>
      <c r="Q49" s="487"/>
      <c r="R49" s="436"/>
      <c r="S49" s="436"/>
      <c r="T49" s="436"/>
      <c r="U49" s="436"/>
      <c r="V49" s="436"/>
      <c r="W49" s="436"/>
      <c r="X49" s="565"/>
      <c r="Y49" s="565"/>
      <c r="Z49" s="565"/>
      <c r="AA49" s="565"/>
      <c r="AB49" s="436"/>
      <c r="AC49" s="436"/>
      <c r="AD49" s="436"/>
      <c r="AE49" s="436"/>
      <c r="AF49" s="436"/>
      <c r="AG49" s="486"/>
      <c r="AH49" s="438"/>
      <c r="AI49" s="486"/>
      <c r="AJ49" s="26" t="s">
        <v>292</v>
      </c>
      <c r="AK49" s="82" t="s">
        <v>293</v>
      </c>
      <c r="AL49" s="82">
        <v>1</v>
      </c>
      <c r="AM49" s="83">
        <v>0.2</v>
      </c>
      <c r="AN49" s="188">
        <v>0.25</v>
      </c>
      <c r="AO49" s="188">
        <v>0.25</v>
      </c>
      <c r="AP49" s="84">
        <v>44927</v>
      </c>
      <c r="AQ49" s="84">
        <v>45291</v>
      </c>
      <c r="AR49" s="82">
        <v>365</v>
      </c>
      <c r="AS49" s="66">
        <v>1028736</v>
      </c>
      <c r="AT49" s="66">
        <v>0</v>
      </c>
      <c r="AU49" s="26" t="s">
        <v>285</v>
      </c>
      <c r="AV49" s="26" t="s">
        <v>286</v>
      </c>
      <c r="AW49" s="26" t="s">
        <v>184</v>
      </c>
      <c r="AX49" s="114">
        <v>0</v>
      </c>
      <c r="AY49" s="114">
        <v>0</v>
      </c>
      <c r="AZ49" s="102">
        <f t="shared" si="0"/>
        <v>0</v>
      </c>
      <c r="BA49" s="102">
        <v>0</v>
      </c>
      <c r="BB49" s="102">
        <v>0</v>
      </c>
      <c r="BC49" s="86">
        <f t="shared" si="1"/>
        <v>0</v>
      </c>
      <c r="BD49" s="102">
        <v>0</v>
      </c>
      <c r="BE49" s="102">
        <v>0</v>
      </c>
      <c r="BF49" s="102">
        <v>0</v>
      </c>
      <c r="BG49" s="102">
        <f t="shared" si="2"/>
        <v>0</v>
      </c>
      <c r="BH49" s="102">
        <v>0</v>
      </c>
      <c r="BI49" s="102">
        <v>0</v>
      </c>
      <c r="BJ49" s="102">
        <v>0</v>
      </c>
      <c r="BK49" s="102">
        <f t="shared" si="5"/>
        <v>0</v>
      </c>
      <c r="BL49" s="558"/>
      <c r="BM49" s="486"/>
      <c r="BN49" s="484"/>
      <c r="BO49" s="26" t="s">
        <v>96</v>
      </c>
      <c r="BP49" s="26" t="s">
        <v>219</v>
      </c>
      <c r="BQ49" s="26" t="s">
        <v>219</v>
      </c>
      <c r="BR49" s="26" t="s">
        <v>219</v>
      </c>
      <c r="BS49" s="6" t="s">
        <v>219</v>
      </c>
      <c r="BT49" s="26" t="s">
        <v>294</v>
      </c>
      <c r="BU49" s="406"/>
      <c r="BV49" s="484"/>
      <c r="BW49" s="122" t="s">
        <v>548</v>
      </c>
      <c r="BX49" s="122" t="s">
        <v>600</v>
      </c>
      <c r="BY49" s="63">
        <f t="shared" si="4"/>
        <v>0</v>
      </c>
    </row>
    <row r="50" spans="1:77" ht="51" x14ac:dyDescent="0.25">
      <c r="A50" s="450"/>
      <c r="B50" s="506"/>
      <c r="C50" s="506"/>
      <c r="D50" s="506"/>
      <c r="E50" s="508"/>
      <c r="F50" s="508"/>
      <c r="G50" s="406"/>
      <c r="H50" s="406"/>
      <c r="I50" s="406"/>
      <c r="J50" s="437"/>
      <c r="K50" s="436" t="s">
        <v>295</v>
      </c>
      <c r="L50" s="436" t="s">
        <v>76</v>
      </c>
      <c r="M50" s="436">
        <v>0</v>
      </c>
      <c r="N50" s="436" t="s">
        <v>296</v>
      </c>
      <c r="O50" s="436"/>
      <c r="P50" s="436" t="s">
        <v>80</v>
      </c>
      <c r="Q50" s="487" t="s">
        <v>297</v>
      </c>
      <c r="R50" s="436">
        <v>6</v>
      </c>
      <c r="S50" s="436">
        <v>1</v>
      </c>
      <c r="T50" s="436">
        <v>0</v>
      </c>
      <c r="U50" s="436">
        <v>0</v>
      </c>
      <c r="V50" s="436">
        <v>0</v>
      </c>
      <c r="W50" s="436">
        <f>SUM(T50:V51)</f>
        <v>0</v>
      </c>
      <c r="X50" s="565">
        <v>0</v>
      </c>
      <c r="Y50" s="565">
        <v>0</v>
      </c>
      <c r="Z50" s="565">
        <v>0</v>
      </c>
      <c r="AA50" s="565">
        <f>SUM(X50:Z51)</f>
        <v>0</v>
      </c>
      <c r="AB50" s="436">
        <v>6</v>
      </c>
      <c r="AC50" s="436"/>
      <c r="AD50" s="436"/>
      <c r="AE50" s="436"/>
      <c r="AF50" s="436"/>
      <c r="AG50" s="486"/>
      <c r="AH50" s="438"/>
      <c r="AI50" s="486"/>
      <c r="AJ50" s="26" t="s">
        <v>298</v>
      </c>
      <c r="AK50" s="82" t="s">
        <v>299</v>
      </c>
      <c r="AL50" s="82">
        <v>1</v>
      </c>
      <c r="AM50" s="83">
        <v>0.05</v>
      </c>
      <c r="AN50" s="188">
        <v>0</v>
      </c>
      <c r="AO50" s="188">
        <v>0</v>
      </c>
      <c r="AP50" s="84">
        <v>44927</v>
      </c>
      <c r="AQ50" s="84">
        <v>45291</v>
      </c>
      <c r="AR50" s="82">
        <v>365</v>
      </c>
      <c r="AS50" s="66">
        <v>1028736</v>
      </c>
      <c r="AT50" s="66">
        <v>500</v>
      </c>
      <c r="AU50" s="26" t="s">
        <v>285</v>
      </c>
      <c r="AV50" s="26" t="s">
        <v>286</v>
      </c>
      <c r="AW50" s="26" t="s">
        <v>184</v>
      </c>
      <c r="AX50" s="114">
        <v>0</v>
      </c>
      <c r="AY50" s="114">
        <v>0</v>
      </c>
      <c r="AZ50" s="102">
        <f t="shared" si="0"/>
        <v>0</v>
      </c>
      <c r="BA50" s="102">
        <v>0</v>
      </c>
      <c r="BB50" s="102">
        <v>0</v>
      </c>
      <c r="BC50" s="86">
        <f t="shared" si="1"/>
        <v>0</v>
      </c>
      <c r="BD50" s="102">
        <v>0</v>
      </c>
      <c r="BE50" s="102">
        <v>0</v>
      </c>
      <c r="BF50" s="102">
        <v>0</v>
      </c>
      <c r="BG50" s="102">
        <f t="shared" si="2"/>
        <v>0</v>
      </c>
      <c r="BH50" s="102">
        <v>0</v>
      </c>
      <c r="BI50" s="102">
        <v>0</v>
      </c>
      <c r="BJ50" s="102">
        <v>0</v>
      </c>
      <c r="BK50" s="102">
        <f t="shared" si="5"/>
        <v>0</v>
      </c>
      <c r="BL50" s="558"/>
      <c r="BM50" s="486"/>
      <c r="BN50" s="484"/>
      <c r="BO50" s="26" t="s">
        <v>96</v>
      </c>
      <c r="BP50" s="26" t="s">
        <v>219</v>
      </c>
      <c r="BQ50" s="26" t="s">
        <v>219</v>
      </c>
      <c r="BR50" s="26" t="s">
        <v>219</v>
      </c>
      <c r="BS50" s="6" t="s">
        <v>219</v>
      </c>
      <c r="BT50" s="26" t="s">
        <v>300</v>
      </c>
      <c r="BU50" s="406"/>
      <c r="BV50" s="484"/>
      <c r="BW50" s="122"/>
      <c r="BX50" s="122" t="s">
        <v>582</v>
      </c>
      <c r="BY50" s="63">
        <f t="shared" si="4"/>
        <v>0</v>
      </c>
    </row>
    <row r="51" spans="1:77" ht="171" x14ac:dyDescent="0.25">
      <c r="A51" s="450"/>
      <c r="B51" s="506"/>
      <c r="C51" s="506"/>
      <c r="D51" s="506"/>
      <c r="E51" s="508"/>
      <c r="F51" s="508"/>
      <c r="G51" s="406"/>
      <c r="H51" s="406"/>
      <c r="I51" s="406"/>
      <c r="J51" s="437"/>
      <c r="K51" s="436"/>
      <c r="L51" s="436" t="s">
        <v>76</v>
      </c>
      <c r="M51" s="436"/>
      <c r="N51" s="436"/>
      <c r="O51" s="436"/>
      <c r="P51" s="436"/>
      <c r="Q51" s="487"/>
      <c r="R51" s="436"/>
      <c r="S51" s="436"/>
      <c r="T51" s="436"/>
      <c r="U51" s="436"/>
      <c r="V51" s="436"/>
      <c r="W51" s="436"/>
      <c r="X51" s="565"/>
      <c r="Y51" s="565"/>
      <c r="Z51" s="565"/>
      <c r="AA51" s="565"/>
      <c r="AB51" s="436"/>
      <c r="AC51" s="436"/>
      <c r="AD51" s="436"/>
      <c r="AE51" s="436"/>
      <c r="AF51" s="436"/>
      <c r="AG51" s="486"/>
      <c r="AH51" s="438"/>
      <c r="AI51" s="486"/>
      <c r="AJ51" s="26" t="s">
        <v>301</v>
      </c>
      <c r="AK51" s="82" t="s">
        <v>302</v>
      </c>
      <c r="AL51" s="82">
        <v>1</v>
      </c>
      <c r="AM51" s="83">
        <v>0.05</v>
      </c>
      <c r="AN51" s="188">
        <v>0.1</v>
      </c>
      <c r="AO51" s="188">
        <v>0.1</v>
      </c>
      <c r="AP51" s="84">
        <v>44927</v>
      </c>
      <c r="AQ51" s="84">
        <v>45291</v>
      </c>
      <c r="AR51" s="82">
        <v>365</v>
      </c>
      <c r="AS51" s="66">
        <v>1028736</v>
      </c>
      <c r="AT51" s="66">
        <v>0</v>
      </c>
      <c r="AU51" s="26" t="s">
        <v>285</v>
      </c>
      <c r="AV51" s="26" t="s">
        <v>286</v>
      </c>
      <c r="AW51" s="26" t="s">
        <v>184</v>
      </c>
      <c r="AX51" s="114">
        <v>0</v>
      </c>
      <c r="AY51" s="114">
        <v>0</v>
      </c>
      <c r="AZ51" s="102">
        <f t="shared" si="0"/>
        <v>0</v>
      </c>
      <c r="BA51" s="102">
        <v>0</v>
      </c>
      <c r="BB51" s="102">
        <v>0</v>
      </c>
      <c r="BC51" s="86">
        <f t="shared" si="1"/>
        <v>0</v>
      </c>
      <c r="BD51" s="102">
        <v>0</v>
      </c>
      <c r="BE51" s="102">
        <v>0</v>
      </c>
      <c r="BF51" s="102">
        <v>0</v>
      </c>
      <c r="BG51" s="102">
        <f t="shared" si="2"/>
        <v>0</v>
      </c>
      <c r="BH51" s="102">
        <v>0</v>
      </c>
      <c r="BI51" s="102">
        <v>0</v>
      </c>
      <c r="BJ51" s="102">
        <v>0</v>
      </c>
      <c r="BK51" s="102">
        <f t="shared" si="5"/>
        <v>0</v>
      </c>
      <c r="BL51" s="558"/>
      <c r="BM51" s="486"/>
      <c r="BN51" s="484"/>
      <c r="BO51" s="26" t="s">
        <v>96</v>
      </c>
      <c r="BP51" s="26" t="s">
        <v>219</v>
      </c>
      <c r="BQ51" s="26" t="s">
        <v>219</v>
      </c>
      <c r="BR51" s="26" t="s">
        <v>219</v>
      </c>
      <c r="BS51" s="6" t="s">
        <v>219</v>
      </c>
      <c r="BT51" s="26" t="s">
        <v>119</v>
      </c>
      <c r="BU51" s="406"/>
      <c r="BV51" s="484"/>
      <c r="BW51" s="122"/>
      <c r="BX51" s="122" t="s">
        <v>601</v>
      </c>
      <c r="BY51" s="63">
        <f t="shared" si="4"/>
        <v>0</v>
      </c>
    </row>
    <row r="52" spans="1:77" ht="63.75" x14ac:dyDescent="0.25">
      <c r="A52" s="450"/>
      <c r="B52" s="506"/>
      <c r="C52" s="506"/>
      <c r="D52" s="506"/>
      <c r="E52" s="508"/>
      <c r="F52" s="508"/>
      <c r="G52" s="406"/>
      <c r="H52" s="406"/>
      <c r="I52" s="406"/>
      <c r="J52" s="437"/>
      <c r="K52" s="436" t="s">
        <v>303</v>
      </c>
      <c r="L52" s="436" t="s">
        <v>76</v>
      </c>
      <c r="M52" s="436">
        <v>0</v>
      </c>
      <c r="N52" s="436" t="s">
        <v>304</v>
      </c>
      <c r="O52" s="436"/>
      <c r="P52" s="436" t="s">
        <v>80</v>
      </c>
      <c r="Q52" s="487"/>
      <c r="R52" s="436">
        <v>1</v>
      </c>
      <c r="S52" s="436" t="s">
        <v>120</v>
      </c>
      <c r="T52" s="436" t="s">
        <v>527</v>
      </c>
      <c r="U52" s="436" t="s">
        <v>527</v>
      </c>
      <c r="V52" s="436" t="s">
        <v>527</v>
      </c>
      <c r="W52" s="436" t="s">
        <v>527</v>
      </c>
      <c r="X52" s="565" t="s">
        <v>527</v>
      </c>
      <c r="Y52" s="565" t="s">
        <v>527</v>
      </c>
      <c r="Z52" s="565" t="s">
        <v>527</v>
      </c>
      <c r="AA52" s="565" t="s">
        <v>527</v>
      </c>
      <c r="AB52" s="436">
        <v>1</v>
      </c>
      <c r="AC52" s="436"/>
      <c r="AD52" s="436"/>
      <c r="AE52" s="436"/>
      <c r="AF52" s="436"/>
      <c r="AG52" s="486"/>
      <c r="AH52" s="438"/>
      <c r="AI52" s="486"/>
      <c r="AJ52" s="26" t="s">
        <v>305</v>
      </c>
      <c r="AK52" s="82" t="s">
        <v>306</v>
      </c>
      <c r="AL52" s="82">
        <v>1</v>
      </c>
      <c r="AM52" s="83">
        <v>0.05</v>
      </c>
      <c r="AN52" s="188">
        <v>0</v>
      </c>
      <c r="AO52" s="188">
        <v>0</v>
      </c>
      <c r="AP52" s="84">
        <v>44927</v>
      </c>
      <c r="AQ52" s="84">
        <v>45291</v>
      </c>
      <c r="AR52" s="82">
        <v>365</v>
      </c>
      <c r="AS52" s="66">
        <v>1028736</v>
      </c>
      <c r="AT52" s="66">
        <v>59</v>
      </c>
      <c r="AU52" s="26" t="s">
        <v>285</v>
      </c>
      <c r="AV52" s="26" t="s">
        <v>286</v>
      </c>
      <c r="AW52" s="26" t="s">
        <v>184</v>
      </c>
      <c r="AX52" s="114">
        <v>79706500</v>
      </c>
      <c r="AY52" s="159">
        <v>-79706500</v>
      </c>
      <c r="AZ52" s="102">
        <f t="shared" si="0"/>
        <v>0</v>
      </c>
      <c r="BA52" s="102">
        <v>0</v>
      </c>
      <c r="BB52" s="102">
        <v>0</v>
      </c>
      <c r="BC52" s="86">
        <f t="shared" si="1"/>
        <v>0</v>
      </c>
      <c r="BD52" s="102">
        <v>0</v>
      </c>
      <c r="BE52" s="102">
        <v>0</v>
      </c>
      <c r="BF52" s="102">
        <v>0</v>
      </c>
      <c r="BG52" s="102">
        <f t="shared" si="2"/>
        <v>0</v>
      </c>
      <c r="BH52" s="102">
        <v>0</v>
      </c>
      <c r="BI52" s="102">
        <v>0</v>
      </c>
      <c r="BJ52" s="102">
        <v>0</v>
      </c>
      <c r="BK52" s="102">
        <f t="shared" si="5"/>
        <v>0</v>
      </c>
      <c r="BL52" s="558"/>
      <c r="BM52" s="486"/>
      <c r="BN52" s="484"/>
      <c r="BO52" s="26" t="s">
        <v>108</v>
      </c>
      <c r="BP52" s="26" t="s">
        <v>307</v>
      </c>
      <c r="BQ52" s="26" t="s">
        <v>147</v>
      </c>
      <c r="BR52" s="26" t="s">
        <v>111</v>
      </c>
      <c r="BS52" s="6">
        <v>44927</v>
      </c>
      <c r="BT52" s="26" t="s">
        <v>308</v>
      </c>
      <c r="BU52" s="406"/>
      <c r="BV52" s="484"/>
      <c r="BW52" s="122"/>
      <c r="BX52" s="122" t="s">
        <v>582</v>
      </c>
      <c r="BY52" s="63">
        <f t="shared" si="4"/>
        <v>0</v>
      </c>
    </row>
    <row r="53" spans="1:77" ht="63.75" x14ac:dyDescent="0.25">
      <c r="A53" s="450"/>
      <c r="B53" s="506"/>
      <c r="C53" s="506"/>
      <c r="D53" s="506"/>
      <c r="E53" s="508"/>
      <c r="F53" s="508"/>
      <c r="G53" s="406"/>
      <c r="H53" s="406"/>
      <c r="I53" s="406"/>
      <c r="J53" s="437"/>
      <c r="K53" s="436"/>
      <c r="L53" s="436"/>
      <c r="M53" s="436"/>
      <c r="N53" s="436"/>
      <c r="O53" s="436"/>
      <c r="P53" s="436"/>
      <c r="Q53" s="487"/>
      <c r="R53" s="436"/>
      <c r="S53" s="436"/>
      <c r="T53" s="436"/>
      <c r="U53" s="436"/>
      <c r="V53" s="436"/>
      <c r="W53" s="436"/>
      <c r="X53" s="565"/>
      <c r="Y53" s="565"/>
      <c r="Z53" s="565"/>
      <c r="AA53" s="565"/>
      <c r="AB53" s="436"/>
      <c r="AC53" s="436"/>
      <c r="AD53" s="436"/>
      <c r="AE53" s="436"/>
      <c r="AF53" s="436"/>
      <c r="AG53" s="486"/>
      <c r="AH53" s="438"/>
      <c r="AI53" s="486"/>
      <c r="AJ53" s="26" t="s">
        <v>309</v>
      </c>
      <c r="AK53" s="82" t="s">
        <v>310</v>
      </c>
      <c r="AL53" s="82">
        <v>1</v>
      </c>
      <c r="AM53" s="83">
        <v>0.1</v>
      </c>
      <c r="AN53" s="188">
        <v>0</v>
      </c>
      <c r="AO53" s="188">
        <v>0</v>
      </c>
      <c r="AP53" s="84">
        <v>44927</v>
      </c>
      <c r="AQ53" s="84">
        <v>45291</v>
      </c>
      <c r="AR53" s="82">
        <v>365</v>
      </c>
      <c r="AS53" s="66">
        <v>1028736</v>
      </c>
      <c r="AT53" s="66">
        <v>59</v>
      </c>
      <c r="AU53" s="26" t="s">
        <v>285</v>
      </c>
      <c r="AV53" s="26" t="s">
        <v>286</v>
      </c>
      <c r="AW53" s="26" t="s">
        <v>184</v>
      </c>
      <c r="AX53" s="114">
        <v>163000000</v>
      </c>
      <c r="AY53" s="159">
        <v>-163000000</v>
      </c>
      <c r="AZ53" s="102">
        <f t="shared" si="0"/>
        <v>0</v>
      </c>
      <c r="BA53" s="102">
        <v>0</v>
      </c>
      <c r="BB53" s="102">
        <v>0</v>
      </c>
      <c r="BC53" s="86">
        <f t="shared" si="1"/>
        <v>0</v>
      </c>
      <c r="BD53" s="102">
        <v>0</v>
      </c>
      <c r="BE53" s="102">
        <v>0</v>
      </c>
      <c r="BF53" s="102">
        <v>0</v>
      </c>
      <c r="BG53" s="102">
        <f t="shared" si="2"/>
        <v>0</v>
      </c>
      <c r="BH53" s="102">
        <v>0</v>
      </c>
      <c r="BI53" s="102">
        <v>0</v>
      </c>
      <c r="BJ53" s="102">
        <v>0</v>
      </c>
      <c r="BK53" s="102">
        <f t="shared" si="5"/>
        <v>0</v>
      </c>
      <c r="BL53" s="558"/>
      <c r="BM53" s="486"/>
      <c r="BN53" s="484"/>
      <c r="BO53" s="26" t="s">
        <v>108</v>
      </c>
      <c r="BP53" s="26" t="s">
        <v>307</v>
      </c>
      <c r="BQ53" s="26" t="s">
        <v>147</v>
      </c>
      <c r="BR53" s="26" t="s">
        <v>111</v>
      </c>
      <c r="BS53" s="6">
        <v>44927</v>
      </c>
      <c r="BT53" s="26" t="s">
        <v>311</v>
      </c>
      <c r="BU53" s="406"/>
      <c r="BV53" s="484"/>
      <c r="BW53" s="122"/>
      <c r="BX53" s="122" t="s">
        <v>582</v>
      </c>
      <c r="BY53" s="63">
        <f t="shared" si="4"/>
        <v>0</v>
      </c>
    </row>
    <row r="54" spans="1:77" ht="102" x14ac:dyDescent="0.25">
      <c r="A54" s="450"/>
      <c r="B54" s="506"/>
      <c r="C54" s="506"/>
      <c r="D54" s="506"/>
      <c r="E54" s="508"/>
      <c r="F54" s="508"/>
      <c r="G54" s="406"/>
      <c r="H54" s="406"/>
      <c r="I54" s="406"/>
      <c r="J54" s="437"/>
      <c r="K54" s="436"/>
      <c r="L54" s="436"/>
      <c r="M54" s="436"/>
      <c r="N54" s="436"/>
      <c r="O54" s="436"/>
      <c r="P54" s="436"/>
      <c r="Q54" s="487"/>
      <c r="R54" s="436"/>
      <c r="S54" s="436"/>
      <c r="T54" s="436"/>
      <c r="U54" s="436"/>
      <c r="V54" s="436"/>
      <c r="W54" s="436"/>
      <c r="X54" s="565"/>
      <c r="Y54" s="565"/>
      <c r="Z54" s="565"/>
      <c r="AA54" s="565"/>
      <c r="AB54" s="436"/>
      <c r="AC54" s="436"/>
      <c r="AD54" s="436"/>
      <c r="AE54" s="436"/>
      <c r="AF54" s="436"/>
      <c r="AG54" s="486"/>
      <c r="AH54" s="438"/>
      <c r="AI54" s="486"/>
      <c r="AJ54" s="66" t="s">
        <v>312</v>
      </c>
      <c r="AK54" s="82" t="s">
        <v>313</v>
      </c>
      <c r="AL54" s="82">
        <v>1</v>
      </c>
      <c r="AM54" s="83">
        <v>0.15</v>
      </c>
      <c r="AN54" s="188">
        <v>0.25</v>
      </c>
      <c r="AO54" s="188">
        <v>0.25</v>
      </c>
      <c r="AP54" s="84">
        <v>44927</v>
      </c>
      <c r="AQ54" s="84">
        <v>45291</v>
      </c>
      <c r="AR54" s="82">
        <v>365</v>
      </c>
      <c r="AS54" s="66">
        <v>1028736</v>
      </c>
      <c r="AT54" s="66">
        <v>1028736</v>
      </c>
      <c r="AU54" s="26" t="s">
        <v>285</v>
      </c>
      <c r="AV54" s="26" t="s">
        <v>286</v>
      </c>
      <c r="AW54" s="26" t="s">
        <v>184</v>
      </c>
      <c r="AX54" s="114">
        <v>25346000</v>
      </c>
      <c r="AY54" s="159">
        <v>-1546000</v>
      </c>
      <c r="AZ54" s="102">
        <f t="shared" si="0"/>
        <v>23800000</v>
      </c>
      <c r="BA54" s="102">
        <v>0</v>
      </c>
      <c r="BB54" s="102">
        <v>0</v>
      </c>
      <c r="BC54" s="86">
        <f t="shared" si="1"/>
        <v>23800000</v>
      </c>
      <c r="BD54" s="102">
        <v>0</v>
      </c>
      <c r="BE54" s="102">
        <v>0</v>
      </c>
      <c r="BF54" s="102">
        <v>2100000</v>
      </c>
      <c r="BG54" s="102">
        <f t="shared" si="2"/>
        <v>2100000</v>
      </c>
      <c r="BH54" s="102">
        <v>2100000</v>
      </c>
      <c r="BI54" s="102">
        <v>2100000</v>
      </c>
      <c r="BJ54" s="102">
        <v>2100000</v>
      </c>
      <c r="BK54" s="102">
        <f t="shared" si="5"/>
        <v>6300000</v>
      </c>
      <c r="BL54" s="558"/>
      <c r="BM54" s="486"/>
      <c r="BN54" s="484"/>
      <c r="BO54" s="26" t="s">
        <v>108</v>
      </c>
      <c r="BP54" s="26" t="s">
        <v>314</v>
      </c>
      <c r="BQ54" s="26" t="s">
        <v>147</v>
      </c>
      <c r="BR54" s="26" t="s">
        <v>111</v>
      </c>
      <c r="BS54" s="6">
        <v>44927</v>
      </c>
      <c r="BT54" s="26" t="s">
        <v>315</v>
      </c>
      <c r="BU54" s="406"/>
      <c r="BV54" s="484"/>
      <c r="BW54" s="125"/>
      <c r="BX54" s="122" t="s">
        <v>582</v>
      </c>
      <c r="BY54" s="63">
        <f t="shared" si="4"/>
        <v>8400000</v>
      </c>
    </row>
    <row r="55" spans="1:77" ht="213.75" x14ac:dyDescent="0.25">
      <c r="A55" s="451"/>
      <c r="B55" s="506"/>
      <c r="C55" s="506"/>
      <c r="D55" s="506"/>
      <c r="E55" s="509"/>
      <c r="F55" s="509"/>
      <c r="G55" s="407"/>
      <c r="H55" s="407"/>
      <c r="I55" s="407"/>
      <c r="J55" s="437"/>
      <c r="K55" s="436"/>
      <c r="L55" s="436"/>
      <c r="M55" s="436"/>
      <c r="N55" s="436"/>
      <c r="O55" s="436"/>
      <c r="P55" s="436"/>
      <c r="Q55" s="487"/>
      <c r="R55" s="436"/>
      <c r="S55" s="436"/>
      <c r="T55" s="436"/>
      <c r="U55" s="436"/>
      <c r="V55" s="436"/>
      <c r="W55" s="436"/>
      <c r="X55" s="565"/>
      <c r="Y55" s="565"/>
      <c r="Z55" s="565"/>
      <c r="AA55" s="565"/>
      <c r="AB55" s="436"/>
      <c r="AC55" s="436"/>
      <c r="AD55" s="436"/>
      <c r="AE55" s="436"/>
      <c r="AF55" s="436"/>
      <c r="AG55" s="486"/>
      <c r="AH55" s="438"/>
      <c r="AI55" s="486"/>
      <c r="AJ55" s="66" t="s">
        <v>316</v>
      </c>
      <c r="AK55" s="82" t="s">
        <v>317</v>
      </c>
      <c r="AL55" s="82">
        <v>1</v>
      </c>
      <c r="AM55" s="83">
        <v>0.2</v>
      </c>
      <c r="AN55" s="188">
        <v>0.25</v>
      </c>
      <c r="AO55" s="188">
        <v>0.25</v>
      </c>
      <c r="AP55" s="84">
        <v>44927</v>
      </c>
      <c r="AQ55" s="84">
        <v>45291</v>
      </c>
      <c r="AR55" s="82">
        <v>365</v>
      </c>
      <c r="AS55" s="66">
        <v>1028736</v>
      </c>
      <c r="AT55" s="66">
        <v>1028736</v>
      </c>
      <c r="AU55" s="26" t="s">
        <v>285</v>
      </c>
      <c r="AV55" s="26" t="s">
        <v>286</v>
      </c>
      <c r="AW55" s="26" t="s">
        <v>184</v>
      </c>
      <c r="AX55" s="114">
        <v>55947500</v>
      </c>
      <c r="AY55" s="159">
        <v>-3847500</v>
      </c>
      <c r="AZ55" s="102">
        <f t="shared" si="0"/>
        <v>52100000</v>
      </c>
      <c r="BA55" s="102">
        <v>0</v>
      </c>
      <c r="BB55" s="102">
        <v>0</v>
      </c>
      <c r="BC55" s="86">
        <f t="shared" si="1"/>
        <v>52100000</v>
      </c>
      <c r="BD55" s="102">
        <v>0</v>
      </c>
      <c r="BE55" s="102">
        <v>0</v>
      </c>
      <c r="BF55" s="102">
        <v>4500000</v>
      </c>
      <c r="BG55" s="102">
        <f t="shared" si="2"/>
        <v>4500000</v>
      </c>
      <c r="BH55" s="102">
        <v>4500000</v>
      </c>
      <c r="BI55" s="102">
        <v>4500000</v>
      </c>
      <c r="BJ55" s="102">
        <v>4500000</v>
      </c>
      <c r="BK55" s="102">
        <f t="shared" si="5"/>
        <v>13500000</v>
      </c>
      <c r="BL55" s="559"/>
      <c r="BM55" s="486"/>
      <c r="BN55" s="485"/>
      <c r="BO55" s="26" t="s">
        <v>108</v>
      </c>
      <c r="BP55" s="26" t="s">
        <v>318</v>
      </c>
      <c r="BQ55" s="26" t="s">
        <v>147</v>
      </c>
      <c r="BR55" s="26" t="s">
        <v>111</v>
      </c>
      <c r="BS55" s="6">
        <v>44927</v>
      </c>
      <c r="BT55" s="26" t="s">
        <v>317</v>
      </c>
      <c r="BU55" s="406"/>
      <c r="BV55" s="485"/>
      <c r="BW55" s="125" t="s">
        <v>545</v>
      </c>
      <c r="BX55" s="122" t="s">
        <v>582</v>
      </c>
      <c r="BY55" s="63">
        <f t="shared" si="4"/>
        <v>18000000</v>
      </c>
    </row>
    <row r="56" spans="1:77" ht="99.75" x14ac:dyDescent="0.25">
      <c r="A56" s="465" t="s">
        <v>319</v>
      </c>
      <c r="B56" s="506"/>
      <c r="C56" s="465" t="s">
        <v>320</v>
      </c>
      <c r="D56" s="436" t="s">
        <v>321</v>
      </c>
      <c r="E56" s="456" t="s">
        <v>322</v>
      </c>
      <c r="F56" s="436" t="s">
        <v>323</v>
      </c>
      <c r="G56" s="436">
        <v>4</v>
      </c>
      <c r="H56" s="436" t="s">
        <v>76</v>
      </c>
      <c r="I56" s="436">
        <v>1</v>
      </c>
      <c r="J56" s="437" t="s">
        <v>324</v>
      </c>
      <c r="K56" s="436" t="s">
        <v>325</v>
      </c>
      <c r="L56" s="436" t="s">
        <v>76</v>
      </c>
      <c r="M56" s="466" t="s">
        <v>322</v>
      </c>
      <c r="N56" s="436" t="s">
        <v>323</v>
      </c>
      <c r="O56" s="436"/>
      <c r="P56" s="436" t="s">
        <v>80</v>
      </c>
      <c r="Q56" s="438" t="s">
        <v>326</v>
      </c>
      <c r="R56" s="474">
        <v>4</v>
      </c>
      <c r="S56" s="475">
        <v>1</v>
      </c>
      <c r="T56" s="475">
        <v>0</v>
      </c>
      <c r="U56" s="475">
        <v>0</v>
      </c>
      <c r="V56" s="475">
        <v>0</v>
      </c>
      <c r="W56" s="475">
        <f>SUM(T56:V58)</f>
        <v>0</v>
      </c>
      <c r="X56" s="472">
        <v>0</v>
      </c>
      <c r="Y56" s="472">
        <v>0</v>
      </c>
      <c r="Z56" s="472">
        <v>0</v>
      </c>
      <c r="AA56" s="472">
        <f>SUM(X56:Z58)</f>
        <v>0</v>
      </c>
      <c r="AB56" s="476">
        <v>4</v>
      </c>
      <c r="AC56" s="481" t="s">
        <v>327</v>
      </c>
      <c r="AD56" s="481" t="s">
        <v>194</v>
      </c>
      <c r="AE56" s="481" t="s">
        <v>84</v>
      </c>
      <c r="AF56" s="481" t="s">
        <v>85</v>
      </c>
      <c r="AG56" s="436" t="s">
        <v>328</v>
      </c>
      <c r="AH56" s="477" t="s">
        <v>329</v>
      </c>
      <c r="AI56" s="436" t="s">
        <v>330</v>
      </c>
      <c r="AJ56" s="4" t="s">
        <v>331</v>
      </c>
      <c r="AK56" s="4" t="s">
        <v>332</v>
      </c>
      <c r="AL56" s="4">
        <v>1</v>
      </c>
      <c r="AM56" s="65">
        <v>0.2</v>
      </c>
      <c r="AN56" s="184">
        <v>0</v>
      </c>
      <c r="AO56" s="184" t="s">
        <v>614</v>
      </c>
      <c r="AP56" s="85">
        <v>44927</v>
      </c>
      <c r="AQ56" s="85">
        <v>45291</v>
      </c>
      <c r="AR56" s="4">
        <v>365</v>
      </c>
      <c r="AS56" s="4">
        <v>200</v>
      </c>
      <c r="AT56" s="4">
        <v>200</v>
      </c>
      <c r="AU56" s="4" t="s">
        <v>91</v>
      </c>
      <c r="AV56" s="4" t="s">
        <v>92</v>
      </c>
      <c r="AW56" s="4" t="s">
        <v>184</v>
      </c>
      <c r="AX56" s="86">
        <v>112979000</v>
      </c>
      <c r="AY56" s="86">
        <v>0</v>
      </c>
      <c r="AZ56" s="102">
        <f t="shared" si="0"/>
        <v>112979000</v>
      </c>
      <c r="BA56" s="102">
        <v>0</v>
      </c>
      <c r="BB56" s="102">
        <v>0</v>
      </c>
      <c r="BC56" s="86">
        <f t="shared" si="1"/>
        <v>112979000</v>
      </c>
      <c r="BD56" s="102">
        <v>0</v>
      </c>
      <c r="BE56" s="102">
        <v>0</v>
      </c>
      <c r="BF56" s="102">
        <v>0</v>
      </c>
      <c r="BG56" s="102">
        <f t="shared" si="2"/>
        <v>0</v>
      </c>
      <c r="BH56" s="102">
        <v>0</v>
      </c>
      <c r="BI56" s="102">
        <v>0</v>
      </c>
      <c r="BJ56" s="102">
        <v>0</v>
      </c>
      <c r="BK56" s="102">
        <f t="shared" si="5"/>
        <v>0</v>
      </c>
      <c r="BL56" s="443" t="s">
        <v>94</v>
      </c>
      <c r="BM56" s="405" t="s">
        <v>328</v>
      </c>
      <c r="BN56" s="405" t="s">
        <v>333</v>
      </c>
      <c r="BO56" s="4" t="s">
        <v>108</v>
      </c>
      <c r="BP56" s="478" t="s">
        <v>334</v>
      </c>
      <c r="BQ56" s="405" t="s">
        <v>216</v>
      </c>
      <c r="BR56" s="405" t="s">
        <v>111</v>
      </c>
      <c r="BS56" s="6">
        <v>44958</v>
      </c>
      <c r="BT56" s="7" t="s">
        <v>335</v>
      </c>
      <c r="BU56" s="406" t="s">
        <v>99</v>
      </c>
      <c r="BV56" s="405" t="s">
        <v>100</v>
      </c>
      <c r="BW56" s="122" t="s">
        <v>536</v>
      </c>
      <c r="BX56" s="405" t="s">
        <v>602</v>
      </c>
      <c r="BY56" s="63">
        <f t="shared" si="4"/>
        <v>0</v>
      </c>
    </row>
    <row r="57" spans="1:77" ht="71.25" x14ac:dyDescent="0.25">
      <c r="A57" s="465"/>
      <c r="B57" s="506"/>
      <c r="C57" s="465"/>
      <c r="D57" s="436"/>
      <c r="E57" s="461"/>
      <c r="F57" s="436"/>
      <c r="G57" s="436"/>
      <c r="H57" s="436"/>
      <c r="I57" s="436"/>
      <c r="J57" s="482"/>
      <c r="K57" s="436"/>
      <c r="L57" s="436"/>
      <c r="M57" s="466"/>
      <c r="N57" s="436"/>
      <c r="O57" s="436"/>
      <c r="P57" s="436"/>
      <c r="Q57" s="438"/>
      <c r="R57" s="474"/>
      <c r="S57" s="475"/>
      <c r="T57" s="475"/>
      <c r="U57" s="475"/>
      <c r="V57" s="475"/>
      <c r="W57" s="475"/>
      <c r="X57" s="472"/>
      <c r="Y57" s="472"/>
      <c r="Z57" s="472"/>
      <c r="AA57" s="472"/>
      <c r="AB57" s="476"/>
      <c r="AC57" s="438"/>
      <c r="AD57" s="438"/>
      <c r="AE57" s="438"/>
      <c r="AF57" s="438"/>
      <c r="AG57" s="438"/>
      <c r="AH57" s="438"/>
      <c r="AI57" s="438"/>
      <c r="AJ57" s="4" t="s">
        <v>336</v>
      </c>
      <c r="AK57" s="4" t="s">
        <v>337</v>
      </c>
      <c r="AL57" s="4">
        <v>1</v>
      </c>
      <c r="AM57" s="65">
        <v>0.15</v>
      </c>
      <c r="AN57" s="184">
        <v>0</v>
      </c>
      <c r="AO57" s="184" t="s">
        <v>614</v>
      </c>
      <c r="AP57" s="85">
        <v>44927</v>
      </c>
      <c r="AQ57" s="85">
        <v>45291</v>
      </c>
      <c r="AR57" s="4">
        <v>365</v>
      </c>
      <c r="AS57" s="4">
        <v>200</v>
      </c>
      <c r="AT57" s="4">
        <v>200</v>
      </c>
      <c r="AU57" s="4" t="s">
        <v>91</v>
      </c>
      <c r="AV57" s="4" t="s">
        <v>92</v>
      </c>
      <c r="AW57" s="4" t="s">
        <v>184</v>
      </c>
      <c r="AX57" s="86">
        <v>65000000</v>
      </c>
      <c r="AY57" s="86">
        <v>0</v>
      </c>
      <c r="AZ57" s="102">
        <f t="shared" si="0"/>
        <v>65000000</v>
      </c>
      <c r="BA57" s="102">
        <v>0</v>
      </c>
      <c r="BB57" s="102">
        <v>0</v>
      </c>
      <c r="BC57" s="86">
        <f t="shared" si="1"/>
        <v>65000000</v>
      </c>
      <c r="BD57" s="102">
        <v>0</v>
      </c>
      <c r="BE57" s="102">
        <v>0</v>
      </c>
      <c r="BF57" s="102">
        <v>0</v>
      </c>
      <c r="BG57" s="102">
        <f t="shared" si="2"/>
        <v>0</v>
      </c>
      <c r="BH57" s="102">
        <v>0</v>
      </c>
      <c r="BI57" s="102">
        <v>0</v>
      </c>
      <c r="BJ57" s="102">
        <v>0</v>
      </c>
      <c r="BK57" s="102">
        <f t="shared" si="5"/>
        <v>0</v>
      </c>
      <c r="BL57" s="444"/>
      <c r="BM57" s="406"/>
      <c r="BN57" s="406"/>
      <c r="BO57" s="4" t="s">
        <v>108</v>
      </c>
      <c r="BP57" s="479"/>
      <c r="BQ57" s="406"/>
      <c r="BR57" s="406"/>
      <c r="BS57" s="6">
        <v>44958</v>
      </c>
      <c r="BT57" s="7" t="s">
        <v>338</v>
      </c>
      <c r="BU57" s="406"/>
      <c r="BV57" s="406"/>
      <c r="BW57" s="122" t="s">
        <v>536</v>
      </c>
      <c r="BX57" s="406"/>
      <c r="BY57" s="63">
        <f t="shared" si="4"/>
        <v>0</v>
      </c>
    </row>
    <row r="58" spans="1:77" ht="85.5" x14ac:dyDescent="0.25">
      <c r="A58" s="465"/>
      <c r="B58" s="506"/>
      <c r="C58" s="465"/>
      <c r="D58" s="436"/>
      <c r="E58" s="461"/>
      <c r="F58" s="436"/>
      <c r="G58" s="436"/>
      <c r="H58" s="436"/>
      <c r="I58" s="436"/>
      <c r="J58" s="482"/>
      <c r="K58" s="436"/>
      <c r="L58" s="436"/>
      <c r="M58" s="466"/>
      <c r="N58" s="436"/>
      <c r="O58" s="436"/>
      <c r="P58" s="436"/>
      <c r="Q58" s="438"/>
      <c r="R58" s="474"/>
      <c r="S58" s="475"/>
      <c r="T58" s="475"/>
      <c r="U58" s="475"/>
      <c r="V58" s="475"/>
      <c r="W58" s="475"/>
      <c r="X58" s="472"/>
      <c r="Y58" s="472"/>
      <c r="Z58" s="472"/>
      <c r="AA58" s="472"/>
      <c r="AB58" s="476"/>
      <c r="AC58" s="438"/>
      <c r="AD58" s="438"/>
      <c r="AE58" s="438"/>
      <c r="AF58" s="438"/>
      <c r="AG58" s="438"/>
      <c r="AH58" s="438"/>
      <c r="AI58" s="438"/>
      <c r="AJ58" s="4" t="s">
        <v>339</v>
      </c>
      <c r="AK58" s="4" t="s">
        <v>340</v>
      </c>
      <c r="AL58" s="4">
        <v>1</v>
      </c>
      <c r="AM58" s="65">
        <v>0.2</v>
      </c>
      <c r="AN58" s="184">
        <v>0</v>
      </c>
      <c r="AO58" s="184" t="s">
        <v>613</v>
      </c>
      <c r="AP58" s="85">
        <v>44927</v>
      </c>
      <c r="AQ58" s="85">
        <v>45291</v>
      </c>
      <c r="AR58" s="4">
        <v>365</v>
      </c>
      <c r="AS58" s="4">
        <v>200</v>
      </c>
      <c r="AT58" s="4">
        <v>200</v>
      </c>
      <c r="AU58" s="4" t="s">
        <v>91</v>
      </c>
      <c r="AV58" s="4" t="s">
        <v>92</v>
      </c>
      <c r="AW58" s="4" t="s">
        <v>184</v>
      </c>
      <c r="AX58" s="86">
        <v>40000000</v>
      </c>
      <c r="AY58" s="86">
        <v>0</v>
      </c>
      <c r="AZ58" s="102">
        <f t="shared" si="0"/>
        <v>40000000</v>
      </c>
      <c r="BA58" s="102">
        <v>0</v>
      </c>
      <c r="BB58" s="102">
        <v>0</v>
      </c>
      <c r="BC58" s="86">
        <f t="shared" si="1"/>
        <v>40000000</v>
      </c>
      <c r="BD58" s="102">
        <v>0</v>
      </c>
      <c r="BE58" s="102">
        <v>0</v>
      </c>
      <c r="BF58" s="102">
        <v>0</v>
      </c>
      <c r="BG58" s="102">
        <f t="shared" si="2"/>
        <v>0</v>
      </c>
      <c r="BH58" s="102">
        <v>0</v>
      </c>
      <c r="BI58" s="102">
        <v>0</v>
      </c>
      <c r="BJ58" s="102">
        <v>0</v>
      </c>
      <c r="BK58" s="102">
        <f t="shared" si="5"/>
        <v>0</v>
      </c>
      <c r="BL58" s="444"/>
      <c r="BM58" s="406"/>
      <c r="BN58" s="406"/>
      <c r="BO58" s="4" t="s">
        <v>108</v>
      </c>
      <c r="BP58" s="479"/>
      <c r="BQ58" s="406"/>
      <c r="BR58" s="406"/>
      <c r="BS58" s="6">
        <v>44958</v>
      </c>
      <c r="BT58" s="7" t="s">
        <v>341</v>
      </c>
      <c r="BU58" s="406"/>
      <c r="BV58" s="406"/>
      <c r="BW58" s="122" t="s">
        <v>536</v>
      </c>
      <c r="BX58" s="407"/>
      <c r="BY58" s="63">
        <f t="shared" si="4"/>
        <v>0</v>
      </c>
    </row>
    <row r="59" spans="1:77" ht="142.5" customHeight="1" x14ac:dyDescent="0.25">
      <c r="A59" s="465"/>
      <c r="B59" s="506"/>
      <c r="C59" s="465"/>
      <c r="D59" s="436"/>
      <c r="E59" s="461"/>
      <c r="F59" s="436" t="s">
        <v>342</v>
      </c>
      <c r="G59" s="436">
        <v>4</v>
      </c>
      <c r="H59" s="436" t="s">
        <v>76</v>
      </c>
      <c r="I59" s="436">
        <v>1</v>
      </c>
      <c r="J59" s="482"/>
      <c r="K59" s="436" t="s">
        <v>343</v>
      </c>
      <c r="L59" s="436" t="s">
        <v>76</v>
      </c>
      <c r="M59" s="466" t="s">
        <v>322</v>
      </c>
      <c r="N59" s="436" t="s">
        <v>342</v>
      </c>
      <c r="O59" s="436" t="s">
        <v>80</v>
      </c>
      <c r="P59" s="436"/>
      <c r="Q59" s="438" t="s">
        <v>344</v>
      </c>
      <c r="R59" s="474">
        <v>4</v>
      </c>
      <c r="S59" s="475">
        <v>2</v>
      </c>
      <c r="T59" s="475">
        <v>0</v>
      </c>
      <c r="U59" s="475">
        <v>0</v>
      </c>
      <c r="V59" s="475">
        <v>0</v>
      </c>
      <c r="W59" s="475">
        <f>SUM(T59:V62)</f>
        <v>0</v>
      </c>
      <c r="X59" s="472">
        <v>0</v>
      </c>
      <c r="Y59" s="472">
        <v>0</v>
      </c>
      <c r="Z59" s="472">
        <v>1</v>
      </c>
      <c r="AA59" s="472">
        <f>SUM(X59:Z62)</f>
        <v>1</v>
      </c>
      <c r="AB59" s="476">
        <v>2</v>
      </c>
      <c r="AC59" s="438"/>
      <c r="AD59" s="438"/>
      <c r="AE59" s="438"/>
      <c r="AF59" s="438"/>
      <c r="AG59" s="438"/>
      <c r="AH59" s="438"/>
      <c r="AI59" s="438"/>
      <c r="AJ59" s="4" t="s">
        <v>345</v>
      </c>
      <c r="AK59" s="64" t="s">
        <v>346</v>
      </c>
      <c r="AL59" s="4">
        <v>2</v>
      </c>
      <c r="AM59" s="65">
        <v>0.05</v>
      </c>
      <c r="AN59" s="184">
        <v>0</v>
      </c>
      <c r="AO59" s="184">
        <v>1</v>
      </c>
      <c r="AP59" s="85">
        <v>44927</v>
      </c>
      <c r="AQ59" s="85">
        <v>45291</v>
      </c>
      <c r="AR59" s="4">
        <v>365</v>
      </c>
      <c r="AS59" s="4">
        <v>200</v>
      </c>
      <c r="AT59" s="4">
        <v>200</v>
      </c>
      <c r="AU59" s="4" t="s">
        <v>91</v>
      </c>
      <c r="AV59" s="4" t="s">
        <v>92</v>
      </c>
      <c r="AW59" s="4" t="s">
        <v>184</v>
      </c>
      <c r="AX59" s="86">
        <v>25000000</v>
      </c>
      <c r="AY59" s="86">
        <v>0</v>
      </c>
      <c r="AZ59" s="102">
        <f t="shared" si="0"/>
        <v>25000000</v>
      </c>
      <c r="BA59" s="102">
        <v>0</v>
      </c>
      <c r="BB59" s="102">
        <v>0</v>
      </c>
      <c r="BC59" s="86">
        <f t="shared" si="1"/>
        <v>25000000</v>
      </c>
      <c r="BD59" s="102">
        <v>0</v>
      </c>
      <c r="BE59" s="102">
        <v>0</v>
      </c>
      <c r="BF59" s="102">
        <v>0</v>
      </c>
      <c r="BG59" s="102">
        <f t="shared" si="2"/>
        <v>0</v>
      </c>
      <c r="BH59" s="102">
        <v>0</v>
      </c>
      <c r="BI59" s="102">
        <v>0</v>
      </c>
      <c r="BJ59" s="102">
        <v>0</v>
      </c>
      <c r="BK59" s="102">
        <f t="shared" si="5"/>
        <v>0</v>
      </c>
      <c r="BL59" s="444"/>
      <c r="BM59" s="406"/>
      <c r="BN59" s="406"/>
      <c r="BO59" s="4" t="s">
        <v>108</v>
      </c>
      <c r="BP59" s="479"/>
      <c r="BQ59" s="406"/>
      <c r="BR59" s="406"/>
      <c r="BS59" s="6">
        <v>44927</v>
      </c>
      <c r="BT59" s="7" t="s">
        <v>347</v>
      </c>
      <c r="BU59" s="406"/>
      <c r="BV59" s="406"/>
      <c r="BW59" s="122" t="s">
        <v>536</v>
      </c>
      <c r="BX59" s="408" t="s">
        <v>603</v>
      </c>
      <c r="BY59" s="63">
        <f t="shared" si="4"/>
        <v>0</v>
      </c>
    </row>
    <row r="60" spans="1:77" ht="71.25" x14ac:dyDescent="0.25">
      <c r="A60" s="465"/>
      <c r="B60" s="506"/>
      <c r="C60" s="465"/>
      <c r="D60" s="436"/>
      <c r="E60" s="461"/>
      <c r="F60" s="436"/>
      <c r="G60" s="436"/>
      <c r="H60" s="436"/>
      <c r="I60" s="436"/>
      <c r="J60" s="482"/>
      <c r="K60" s="436"/>
      <c r="L60" s="436"/>
      <c r="M60" s="466"/>
      <c r="N60" s="436"/>
      <c r="O60" s="436"/>
      <c r="P60" s="436"/>
      <c r="Q60" s="438"/>
      <c r="R60" s="474"/>
      <c r="S60" s="475"/>
      <c r="T60" s="475"/>
      <c r="U60" s="475"/>
      <c r="V60" s="475"/>
      <c r="W60" s="475"/>
      <c r="X60" s="472"/>
      <c r="Y60" s="472"/>
      <c r="Z60" s="472"/>
      <c r="AA60" s="472"/>
      <c r="AB60" s="476"/>
      <c r="AC60" s="438"/>
      <c r="AD60" s="438"/>
      <c r="AE60" s="438"/>
      <c r="AF60" s="438"/>
      <c r="AG60" s="438"/>
      <c r="AH60" s="438"/>
      <c r="AI60" s="438"/>
      <c r="AJ60" s="4" t="s">
        <v>348</v>
      </c>
      <c r="AK60" s="64" t="s">
        <v>349</v>
      </c>
      <c r="AL60" s="4">
        <v>2</v>
      </c>
      <c r="AM60" s="65">
        <v>0.1</v>
      </c>
      <c r="AN60" s="184">
        <v>0</v>
      </c>
      <c r="AO60" s="184">
        <v>1</v>
      </c>
      <c r="AP60" s="85">
        <v>44927</v>
      </c>
      <c r="AQ60" s="85">
        <v>45291</v>
      </c>
      <c r="AR60" s="4">
        <v>365</v>
      </c>
      <c r="AS60" s="4">
        <v>300</v>
      </c>
      <c r="AT60" s="4">
        <v>300</v>
      </c>
      <c r="AU60" s="4" t="s">
        <v>91</v>
      </c>
      <c r="AV60" s="4" t="s">
        <v>92</v>
      </c>
      <c r="AW60" s="4" t="s">
        <v>184</v>
      </c>
      <c r="AX60" s="86">
        <v>16000000</v>
      </c>
      <c r="AY60" s="86">
        <v>0</v>
      </c>
      <c r="AZ60" s="102">
        <f t="shared" si="0"/>
        <v>16000000</v>
      </c>
      <c r="BA60" s="102">
        <v>0</v>
      </c>
      <c r="BB60" s="102">
        <v>0</v>
      </c>
      <c r="BC60" s="86">
        <f t="shared" si="1"/>
        <v>16000000</v>
      </c>
      <c r="BD60" s="102">
        <v>0</v>
      </c>
      <c r="BE60" s="102">
        <v>0</v>
      </c>
      <c r="BF60" s="102">
        <v>0</v>
      </c>
      <c r="BG60" s="102">
        <f t="shared" si="2"/>
        <v>0</v>
      </c>
      <c r="BH60" s="102">
        <v>0</v>
      </c>
      <c r="BI60" s="102">
        <v>0</v>
      </c>
      <c r="BJ60" s="102">
        <v>0</v>
      </c>
      <c r="BK60" s="102">
        <f t="shared" si="5"/>
        <v>0</v>
      </c>
      <c r="BL60" s="444"/>
      <c r="BM60" s="406"/>
      <c r="BN60" s="406"/>
      <c r="BO60" s="4" t="s">
        <v>108</v>
      </c>
      <c r="BP60" s="479"/>
      <c r="BQ60" s="406"/>
      <c r="BR60" s="406"/>
      <c r="BS60" s="6">
        <v>44927</v>
      </c>
      <c r="BT60" s="28" t="s">
        <v>350</v>
      </c>
      <c r="BU60" s="406"/>
      <c r="BV60" s="406"/>
      <c r="BW60" s="122" t="s">
        <v>536</v>
      </c>
      <c r="BX60" s="409"/>
      <c r="BY60" s="63">
        <f t="shared" si="4"/>
        <v>0</v>
      </c>
    </row>
    <row r="61" spans="1:77" ht="71.25" x14ac:dyDescent="0.25">
      <c r="A61" s="465"/>
      <c r="B61" s="506"/>
      <c r="C61" s="465"/>
      <c r="D61" s="436"/>
      <c r="E61" s="461"/>
      <c r="F61" s="436"/>
      <c r="G61" s="436"/>
      <c r="H61" s="436"/>
      <c r="I61" s="436"/>
      <c r="J61" s="482"/>
      <c r="K61" s="436"/>
      <c r="L61" s="436"/>
      <c r="M61" s="466"/>
      <c r="N61" s="436"/>
      <c r="O61" s="436"/>
      <c r="P61" s="436"/>
      <c r="Q61" s="438"/>
      <c r="R61" s="474"/>
      <c r="S61" s="475"/>
      <c r="T61" s="475"/>
      <c r="U61" s="475"/>
      <c r="V61" s="475"/>
      <c r="W61" s="475"/>
      <c r="X61" s="472"/>
      <c r="Y61" s="472"/>
      <c r="Z61" s="472"/>
      <c r="AA61" s="472"/>
      <c r="AB61" s="476"/>
      <c r="AC61" s="438"/>
      <c r="AD61" s="438"/>
      <c r="AE61" s="438"/>
      <c r="AF61" s="438"/>
      <c r="AG61" s="438"/>
      <c r="AH61" s="438"/>
      <c r="AI61" s="438"/>
      <c r="AJ61" s="4" t="s">
        <v>351</v>
      </c>
      <c r="AK61" s="64" t="s">
        <v>349</v>
      </c>
      <c r="AL61" s="4">
        <v>3</v>
      </c>
      <c r="AM61" s="65">
        <v>0.1</v>
      </c>
      <c r="AN61" s="184">
        <v>0</v>
      </c>
      <c r="AO61" s="184">
        <v>1</v>
      </c>
      <c r="AP61" s="85">
        <v>44927</v>
      </c>
      <c r="AQ61" s="85">
        <v>45291</v>
      </c>
      <c r="AR61" s="4">
        <v>365</v>
      </c>
      <c r="AS61" s="4">
        <v>300</v>
      </c>
      <c r="AT61" s="4">
        <v>300</v>
      </c>
      <c r="AU61" s="4" t="s">
        <v>91</v>
      </c>
      <c r="AV61" s="4" t="s">
        <v>92</v>
      </c>
      <c r="AW61" s="4" t="s">
        <v>184</v>
      </c>
      <c r="AX61" s="86">
        <v>100140000</v>
      </c>
      <c r="AY61" s="86">
        <v>0</v>
      </c>
      <c r="AZ61" s="102">
        <f t="shared" si="0"/>
        <v>100140000</v>
      </c>
      <c r="BA61" s="102">
        <v>0</v>
      </c>
      <c r="BB61" s="102">
        <v>0</v>
      </c>
      <c r="BC61" s="86">
        <f t="shared" si="1"/>
        <v>100140000</v>
      </c>
      <c r="BD61" s="102">
        <v>0</v>
      </c>
      <c r="BE61" s="102">
        <v>0</v>
      </c>
      <c r="BF61" s="102">
        <v>0</v>
      </c>
      <c r="BG61" s="102">
        <f t="shared" si="2"/>
        <v>0</v>
      </c>
      <c r="BH61" s="102">
        <v>0</v>
      </c>
      <c r="BI61" s="102">
        <v>0</v>
      </c>
      <c r="BJ61" s="102">
        <v>0</v>
      </c>
      <c r="BK61" s="102">
        <f t="shared" si="5"/>
        <v>0</v>
      </c>
      <c r="BL61" s="444"/>
      <c r="BM61" s="406"/>
      <c r="BN61" s="406"/>
      <c r="BO61" s="4" t="s">
        <v>108</v>
      </c>
      <c r="BP61" s="479"/>
      <c r="BQ61" s="406"/>
      <c r="BR61" s="406"/>
      <c r="BS61" s="6">
        <v>44927</v>
      </c>
      <c r="BT61" s="28" t="s">
        <v>350</v>
      </c>
      <c r="BU61" s="406"/>
      <c r="BV61" s="406"/>
      <c r="BW61" s="122" t="s">
        <v>536</v>
      </c>
      <c r="BX61" s="409"/>
      <c r="BY61" s="63">
        <f t="shared" si="4"/>
        <v>0</v>
      </c>
    </row>
    <row r="62" spans="1:77" ht="71.25" x14ac:dyDescent="0.25">
      <c r="A62" s="465"/>
      <c r="B62" s="506"/>
      <c r="C62" s="465"/>
      <c r="D62" s="436"/>
      <c r="E62" s="461"/>
      <c r="F62" s="436"/>
      <c r="G62" s="436"/>
      <c r="H62" s="436"/>
      <c r="I62" s="436"/>
      <c r="J62" s="482"/>
      <c r="K62" s="436"/>
      <c r="L62" s="436"/>
      <c r="M62" s="466"/>
      <c r="N62" s="436"/>
      <c r="O62" s="436"/>
      <c r="P62" s="436"/>
      <c r="Q62" s="438"/>
      <c r="R62" s="474"/>
      <c r="S62" s="475"/>
      <c r="T62" s="475"/>
      <c r="U62" s="475"/>
      <c r="V62" s="475"/>
      <c r="W62" s="475"/>
      <c r="X62" s="472"/>
      <c r="Y62" s="472"/>
      <c r="Z62" s="472"/>
      <c r="AA62" s="472"/>
      <c r="AB62" s="476"/>
      <c r="AC62" s="438"/>
      <c r="AD62" s="438"/>
      <c r="AE62" s="438"/>
      <c r="AF62" s="438"/>
      <c r="AG62" s="438"/>
      <c r="AH62" s="438"/>
      <c r="AI62" s="438"/>
      <c r="AJ62" s="4" t="s">
        <v>352</v>
      </c>
      <c r="AK62" s="64" t="s">
        <v>353</v>
      </c>
      <c r="AL62" s="4">
        <v>2</v>
      </c>
      <c r="AM62" s="65">
        <v>0.05</v>
      </c>
      <c r="AN62" s="184">
        <v>0</v>
      </c>
      <c r="AO62" s="184">
        <v>0</v>
      </c>
      <c r="AP62" s="85">
        <v>44927</v>
      </c>
      <c r="AQ62" s="85">
        <v>45291</v>
      </c>
      <c r="AR62" s="4">
        <v>365</v>
      </c>
      <c r="AS62" s="4">
        <v>50</v>
      </c>
      <c r="AT62" s="4">
        <v>50</v>
      </c>
      <c r="AU62" s="4" t="s">
        <v>91</v>
      </c>
      <c r="AV62" s="4" t="s">
        <v>92</v>
      </c>
      <c r="AW62" s="4" t="s">
        <v>184</v>
      </c>
      <c r="AX62" s="86">
        <v>0</v>
      </c>
      <c r="AY62" s="86">
        <v>0</v>
      </c>
      <c r="AZ62" s="102">
        <f t="shared" si="0"/>
        <v>0</v>
      </c>
      <c r="BA62" s="102">
        <v>0</v>
      </c>
      <c r="BB62" s="102">
        <v>0</v>
      </c>
      <c r="BC62" s="86">
        <f t="shared" si="1"/>
        <v>0</v>
      </c>
      <c r="BD62" s="102">
        <v>0</v>
      </c>
      <c r="BE62" s="102">
        <v>0</v>
      </c>
      <c r="BF62" s="102">
        <v>0</v>
      </c>
      <c r="BG62" s="102">
        <f t="shared" si="2"/>
        <v>0</v>
      </c>
      <c r="BH62" s="102">
        <v>0</v>
      </c>
      <c r="BI62" s="102">
        <v>0</v>
      </c>
      <c r="BJ62" s="102">
        <v>0</v>
      </c>
      <c r="BK62" s="102">
        <f t="shared" si="5"/>
        <v>0</v>
      </c>
      <c r="BL62" s="444"/>
      <c r="BM62" s="406"/>
      <c r="BN62" s="406"/>
      <c r="BO62" s="4" t="s">
        <v>108</v>
      </c>
      <c r="BP62" s="480"/>
      <c r="BQ62" s="407"/>
      <c r="BR62" s="407"/>
      <c r="BS62" s="6">
        <v>44927</v>
      </c>
      <c r="BT62" s="7" t="s">
        <v>354</v>
      </c>
      <c r="BU62" s="406"/>
      <c r="BV62" s="406"/>
      <c r="BW62" s="122" t="s">
        <v>536</v>
      </c>
      <c r="BX62" s="410"/>
      <c r="BY62" s="63">
        <f t="shared" si="4"/>
        <v>0</v>
      </c>
    </row>
    <row r="63" spans="1:77" ht="85.5" x14ac:dyDescent="0.25">
      <c r="A63" s="465"/>
      <c r="B63" s="506"/>
      <c r="C63" s="465"/>
      <c r="D63" s="436"/>
      <c r="E63" s="461"/>
      <c r="F63" s="4" t="s">
        <v>355</v>
      </c>
      <c r="G63" s="4">
        <v>1</v>
      </c>
      <c r="H63" s="29" t="s">
        <v>76</v>
      </c>
      <c r="I63" s="4" t="s">
        <v>120</v>
      </c>
      <c r="J63" s="482"/>
      <c r="K63" s="4" t="s">
        <v>356</v>
      </c>
      <c r="L63" s="4" t="s">
        <v>76</v>
      </c>
      <c r="M63" s="29" t="s">
        <v>322</v>
      </c>
      <c r="N63" s="4" t="s">
        <v>355</v>
      </c>
      <c r="O63" s="4" t="s">
        <v>219</v>
      </c>
      <c r="P63" s="4" t="s">
        <v>219</v>
      </c>
      <c r="Q63" s="64" t="s">
        <v>357</v>
      </c>
      <c r="R63" s="72" t="s">
        <v>97</v>
      </c>
      <c r="S63" s="71" t="s">
        <v>97</v>
      </c>
      <c r="T63" s="71">
        <v>0</v>
      </c>
      <c r="U63" s="71">
        <v>0</v>
      </c>
      <c r="V63" s="71">
        <v>0</v>
      </c>
      <c r="W63" s="71">
        <f>SUM(T63:V63)</f>
        <v>0</v>
      </c>
      <c r="X63" s="166" t="s">
        <v>120</v>
      </c>
      <c r="Y63" s="166" t="s">
        <v>120</v>
      </c>
      <c r="Z63" s="166" t="s">
        <v>120</v>
      </c>
      <c r="AA63" s="166" t="s">
        <v>120</v>
      </c>
      <c r="AB63" s="67" t="s">
        <v>97</v>
      </c>
      <c r="AC63" s="438"/>
      <c r="AD63" s="438"/>
      <c r="AE63" s="438"/>
      <c r="AF63" s="438"/>
      <c r="AG63" s="438"/>
      <c r="AH63" s="438"/>
      <c r="AI63" s="438"/>
      <c r="AJ63" s="4" t="s">
        <v>358</v>
      </c>
      <c r="AK63" s="64" t="s">
        <v>97</v>
      </c>
      <c r="AL63" s="4">
        <v>0</v>
      </c>
      <c r="AM63" s="4" t="s">
        <v>120</v>
      </c>
      <c r="AN63" s="175" t="s">
        <v>120</v>
      </c>
      <c r="AO63" s="175" t="s">
        <v>120</v>
      </c>
      <c r="AP63" s="4" t="s">
        <v>120</v>
      </c>
      <c r="AQ63" s="4" t="s">
        <v>120</v>
      </c>
      <c r="AR63" s="4" t="s">
        <v>120</v>
      </c>
      <c r="AS63" s="4" t="s">
        <v>120</v>
      </c>
      <c r="AT63" s="4" t="s">
        <v>120</v>
      </c>
      <c r="AU63" s="4" t="s">
        <v>91</v>
      </c>
      <c r="AV63" s="4" t="s">
        <v>92</v>
      </c>
      <c r="AW63" s="4" t="s">
        <v>184</v>
      </c>
      <c r="AX63" s="86">
        <v>0</v>
      </c>
      <c r="AY63" s="86">
        <v>0</v>
      </c>
      <c r="AZ63" s="86">
        <f t="shared" si="0"/>
        <v>0</v>
      </c>
      <c r="BA63" s="86">
        <v>0</v>
      </c>
      <c r="BB63" s="102">
        <v>0</v>
      </c>
      <c r="BC63" s="86">
        <f t="shared" si="1"/>
        <v>0</v>
      </c>
      <c r="BD63" s="102">
        <v>0</v>
      </c>
      <c r="BE63" s="102">
        <v>0</v>
      </c>
      <c r="BF63" s="102">
        <v>0</v>
      </c>
      <c r="BG63" s="102">
        <f t="shared" si="2"/>
        <v>0</v>
      </c>
      <c r="BH63" s="102">
        <v>0</v>
      </c>
      <c r="BI63" s="102">
        <v>0</v>
      </c>
      <c r="BJ63" s="102">
        <v>0</v>
      </c>
      <c r="BK63" s="102">
        <f t="shared" si="5"/>
        <v>0</v>
      </c>
      <c r="BL63" s="444"/>
      <c r="BM63" s="406"/>
      <c r="BN63" s="406"/>
      <c r="BO63" s="4" t="s">
        <v>97</v>
      </c>
      <c r="BP63" s="4" t="s">
        <v>97</v>
      </c>
      <c r="BQ63" s="6" t="s">
        <v>97</v>
      </c>
      <c r="BR63" s="4" t="s">
        <v>97</v>
      </c>
      <c r="BS63" s="6" t="s">
        <v>97</v>
      </c>
      <c r="BT63" s="4" t="s">
        <v>97</v>
      </c>
      <c r="BU63" s="406"/>
      <c r="BV63" s="406"/>
      <c r="BW63" s="122"/>
      <c r="BX63" s="122" t="s">
        <v>582</v>
      </c>
      <c r="BY63" s="63">
        <f t="shared" si="4"/>
        <v>0</v>
      </c>
    </row>
    <row r="64" spans="1:77" ht="137.25" customHeight="1" x14ac:dyDescent="0.25">
      <c r="A64" s="465"/>
      <c r="B64" s="506"/>
      <c r="C64" s="465"/>
      <c r="D64" s="436"/>
      <c r="E64" s="461"/>
      <c r="F64" s="405" t="s">
        <v>359</v>
      </c>
      <c r="G64" s="405">
        <v>1</v>
      </c>
      <c r="H64" s="456" t="s">
        <v>76</v>
      </c>
      <c r="I64" s="405">
        <v>1</v>
      </c>
      <c r="J64" s="482"/>
      <c r="K64" s="436" t="s">
        <v>360</v>
      </c>
      <c r="L64" s="438" t="s">
        <v>76</v>
      </c>
      <c r="M64" s="466" t="s">
        <v>322</v>
      </c>
      <c r="N64" s="436" t="s">
        <v>359</v>
      </c>
      <c r="O64" s="436"/>
      <c r="P64" s="436" t="s">
        <v>80</v>
      </c>
      <c r="Q64" s="438" t="s">
        <v>361</v>
      </c>
      <c r="R64" s="474">
        <v>1</v>
      </c>
      <c r="S64" s="475" t="s">
        <v>120</v>
      </c>
      <c r="T64" s="475">
        <v>0</v>
      </c>
      <c r="U64" s="475">
        <v>0</v>
      </c>
      <c r="V64" s="475">
        <v>0</v>
      </c>
      <c r="W64" s="475">
        <f>SUM(T64:V65)</f>
        <v>0</v>
      </c>
      <c r="X64" s="472" t="s">
        <v>527</v>
      </c>
      <c r="Y64" s="472" t="s">
        <v>527</v>
      </c>
      <c r="Z64" s="472" t="s">
        <v>527</v>
      </c>
      <c r="AA64" s="472" t="s">
        <v>527</v>
      </c>
      <c r="AB64" s="476">
        <v>1</v>
      </c>
      <c r="AC64" s="438"/>
      <c r="AD64" s="438"/>
      <c r="AE64" s="438"/>
      <c r="AF64" s="438"/>
      <c r="AG64" s="438"/>
      <c r="AH64" s="438"/>
      <c r="AI64" s="438"/>
      <c r="AJ64" s="64" t="s">
        <v>362</v>
      </c>
      <c r="AK64" s="64" t="s">
        <v>363</v>
      </c>
      <c r="AL64" s="64">
        <v>4</v>
      </c>
      <c r="AM64" s="80">
        <v>0.05</v>
      </c>
      <c r="AN64" s="189">
        <v>0.25</v>
      </c>
      <c r="AO64" s="189">
        <v>0</v>
      </c>
      <c r="AP64" s="87">
        <v>44927</v>
      </c>
      <c r="AQ64" s="87">
        <v>45291</v>
      </c>
      <c r="AR64" s="64">
        <v>365</v>
      </c>
      <c r="AS64" s="64">
        <v>50</v>
      </c>
      <c r="AT64" s="64">
        <v>50</v>
      </c>
      <c r="AU64" s="64" t="s">
        <v>91</v>
      </c>
      <c r="AV64" s="64" t="s">
        <v>92</v>
      </c>
      <c r="AW64" s="64" t="s">
        <v>184</v>
      </c>
      <c r="AX64" s="86">
        <v>0</v>
      </c>
      <c r="AY64" s="86">
        <v>0</v>
      </c>
      <c r="AZ64" s="86">
        <f t="shared" si="0"/>
        <v>0</v>
      </c>
      <c r="BA64" s="86">
        <v>0</v>
      </c>
      <c r="BB64" s="102">
        <v>0</v>
      </c>
      <c r="BC64" s="86">
        <f t="shared" si="1"/>
        <v>0</v>
      </c>
      <c r="BD64" s="102">
        <v>0</v>
      </c>
      <c r="BE64" s="102">
        <v>0</v>
      </c>
      <c r="BF64" s="102">
        <v>0</v>
      </c>
      <c r="BG64" s="102">
        <f t="shared" si="2"/>
        <v>0</v>
      </c>
      <c r="BH64" s="102">
        <v>0</v>
      </c>
      <c r="BI64" s="102">
        <v>0</v>
      </c>
      <c r="BJ64" s="102">
        <v>0</v>
      </c>
      <c r="BK64" s="102">
        <f t="shared" si="5"/>
        <v>0</v>
      </c>
      <c r="BL64" s="444"/>
      <c r="BM64" s="406"/>
      <c r="BN64" s="406"/>
      <c r="BO64" s="4" t="s">
        <v>108</v>
      </c>
      <c r="BP64" s="9" t="s">
        <v>364</v>
      </c>
      <c r="BQ64" s="4" t="s">
        <v>365</v>
      </c>
      <c r="BR64" s="4" t="s">
        <v>111</v>
      </c>
      <c r="BS64" s="6">
        <v>44927</v>
      </c>
      <c r="BT64" s="4" t="s">
        <v>366</v>
      </c>
      <c r="BU64" s="406"/>
      <c r="BV64" s="406"/>
      <c r="BW64" s="122" t="s">
        <v>537</v>
      </c>
      <c r="BX64" s="122" t="s">
        <v>604</v>
      </c>
      <c r="BY64" s="63">
        <f t="shared" si="4"/>
        <v>0</v>
      </c>
    </row>
    <row r="65" spans="1:78" ht="71.25" x14ac:dyDescent="0.25">
      <c r="A65" s="465"/>
      <c r="B65" s="506"/>
      <c r="C65" s="465"/>
      <c r="D65" s="436"/>
      <c r="E65" s="457"/>
      <c r="F65" s="407"/>
      <c r="G65" s="407"/>
      <c r="H65" s="457"/>
      <c r="I65" s="407"/>
      <c r="J65" s="482"/>
      <c r="K65" s="436"/>
      <c r="L65" s="438"/>
      <c r="M65" s="466"/>
      <c r="N65" s="436"/>
      <c r="O65" s="436"/>
      <c r="P65" s="436"/>
      <c r="Q65" s="438"/>
      <c r="R65" s="474"/>
      <c r="S65" s="475"/>
      <c r="T65" s="475"/>
      <c r="U65" s="475"/>
      <c r="V65" s="475"/>
      <c r="W65" s="475"/>
      <c r="X65" s="472"/>
      <c r="Y65" s="472"/>
      <c r="Z65" s="472"/>
      <c r="AA65" s="472"/>
      <c r="AB65" s="476"/>
      <c r="AC65" s="438"/>
      <c r="AD65" s="438"/>
      <c r="AE65" s="438"/>
      <c r="AF65" s="438"/>
      <c r="AG65" s="438"/>
      <c r="AH65" s="438"/>
      <c r="AI65" s="438"/>
      <c r="AJ65" s="4" t="s">
        <v>367</v>
      </c>
      <c r="AK65" s="4" t="s">
        <v>368</v>
      </c>
      <c r="AL65" s="4">
        <v>1</v>
      </c>
      <c r="AM65" s="65">
        <v>0.1</v>
      </c>
      <c r="AN65" s="184">
        <v>0.25</v>
      </c>
      <c r="AO65" s="184">
        <v>0.25</v>
      </c>
      <c r="AP65" s="85">
        <v>44927</v>
      </c>
      <c r="AQ65" s="85">
        <v>45291</v>
      </c>
      <c r="AR65" s="4">
        <v>365</v>
      </c>
      <c r="AS65" s="4">
        <v>200</v>
      </c>
      <c r="AT65" s="4">
        <v>200</v>
      </c>
      <c r="AU65" s="4" t="s">
        <v>91</v>
      </c>
      <c r="AV65" s="4" t="s">
        <v>92</v>
      </c>
      <c r="AW65" s="4" t="s">
        <v>184</v>
      </c>
      <c r="AX65" s="86">
        <f>5294000*11.5</f>
        <v>60881000</v>
      </c>
      <c r="AY65" s="86">
        <v>0</v>
      </c>
      <c r="AZ65" s="102">
        <f t="shared" si="0"/>
        <v>60881000</v>
      </c>
      <c r="BA65" s="102">
        <v>0</v>
      </c>
      <c r="BB65" s="102">
        <v>0</v>
      </c>
      <c r="BC65" s="86">
        <f t="shared" si="1"/>
        <v>60881000</v>
      </c>
      <c r="BD65" s="102">
        <v>0</v>
      </c>
      <c r="BE65" s="102">
        <v>0</v>
      </c>
      <c r="BF65" s="102">
        <v>5000000</v>
      </c>
      <c r="BG65" s="102">
        <f t="shared" si="2"/>
        <v>5000000</v>
      </c>
      <c r="BH65" s="102">
        <v>5000000</v>
      </c>
      <c r="BI65" s="102">
        <v>5000000</v>
      </c>
      <c r="BJ65" s="102">
        <v>5000000</v>
      </c>
      <c r="BK65" s="102">
        <f t="shared" si="5"/>
        <v>15000000</v>
      </c>
      <c r="BL65" s="445"/>
      <c r="BM65" s="407"/>
      <c r="BN65" s="407"/>
      <c r="BO65" s="4" t="s">
        <v>108</v>
      </c>
      <c r="BP65" s="9" t="s">
        <v>364</v>
      </c>
      <c r="BQ65" s="4" t="s">
        <v>365</v>
      </c>
      <c r="BR65" s="4" t="s">
        <v>111</v>
      </c>
      <c r="BS65" s="6">
        <v>44927</v>
      </c>
      <c r="BT65" s="4" t="s">
        <v>366</v>
      </c>
      <c r="BU65" s="407"/>
      <c r="BV65" s="407"/>
      <c r="BW65" s="122"/>
      <c r="BX65" s="122" t="s">
        <v>582</v>
      </c>
      <c r="BY65" s="63">
        <f t="shared" si="4"/>
        <v>20000000</v>
      </c>
    </row>
    <row r="66" spans="1:78" ht="87" customHeight="1" x14ac:dyDescent="0.25">
      <c r="A66" s="465"/>
      <c r="B66" s="506"/>
      <c r="C66" s="465"/>
      <c r="D66" s="436"/>
      <c r="E66" s="456" t="s">
        <v>322</v>
      </c>
      <c r="F66" s="29" t="s">
        <v>369</v>
      </c>
      <c r="G66" s="29">
        <v>1</v>
      </c>
      <c r="H66" s="29" t="s">
        <v>76</v>
      </c>
      <c r="I66" s="29">
        <v>1</v>
      </c>
      <c r="J66" s="470" t="s">
        <v>370</v>
      </c>
      <c r="K66" s="29" t="s">
        <v>371</v>
      </c>
      <c r="L66" s="29" t="s">
        <v>76</v>
      </c>
      <c r="M66" s="29" t="s">
        <v>322</v>
      </c>
      <c r="N66" s="29" t="s">
        <v>369</v>
      </c>
      <c r="O66" s="29"/>
      <c r="P66" s="29" t="s">
        <v>228</v>
      </c>
      <c r="Q66" s="88" t="s">
        <v>372</v>
      </c>
      <c r="R66" s="89">
        <v>1</v>
      </c>
      <c r="S66" s="77" t="s">
        <v>120</v>
      </c>
      <c r="T66" s="77" t="s">
        <v>527</v>
      </c>
      <c r="U66" s="77" t="s">
        <v>527</v>
      </c>
      <c r="V66" s="77" t="s">
        <v>527</v>
      </c>
      <c r="W66" s="77" t="s">
        <v>527</v>
      </c>
      <c r="X66" s="168" t="s">
        <v>527</v>
      </c>
      <c r="Y66" s="168" t="s">
        <v>527</v>
      </c>
      <c r="Z66" s="168" t="s">
        <v>527</v>
      </c>
      <c r="AA66" s="168" t="s">
        <v>527</v>
      </c>
      <c r="AB66" s="90">
        <v>1</v>
      </c>
      <c r="AC66" s="438" t="s">
        <v>82</v>
      </c>
      <c r="AD66" s="438" t="s">
        <v>373</v>
      </c>
      <c r="AE66" s="469" t="s">
        <v>84</v>
      </c>
      <c r="AF66" s="459" t="s">
        <v>85</v>
      </c>
      <c r="AG66" s="459" t="s">
        <v>374</v>
      </c>
      <c r="AH66" s="459" t="s">
        <v>375</v>
      </c>
      <c r="AI66" s="459" t="s">
        <v>376</v>
      </c>
      <c r="AJ66" s="29" t="s">
        <v>377</v>
      </c>
      <c r="AK66" s="29" t="s">
        <v>155</v>
      </c>
      <c r="AL66" s="29">
        <v>1</v>
      </c>
      <c r="AM66" s="91">
        <v>0.2</v>
      </c>
      <c r="AN66" s="190">
        <v>0.25</v>
      </c>
      <c r="AO66" s="190">
        <v>0.25</v>
      </c>
      <c r="AP66" s="85">
        <v>44927</v>
      </c>
      <c r="AQ66" s="85">
        <v>45291</v>
      </c>
      <c r="AR66" s="4">
        <v>365</v>
      </c>
      <c r="AS66" s="29">
        <v>1028736</v>
      </c>
      <c r="AT66" s="29">
        <v>1028736</v>
      </c>
      <c r="AU66" s="29" t="s">
        <v>285</v>
      </c>
      <c r="AV66" s="29" t="s">
        <v>286</v>
      </c>
      <c r="AW66" s="29" t="s">
        <v>184</v>
      </c>
      <c r="AX66" s="86">
        <v>163417500</v>
      </c>
      <c r="AY66" s="153">
        <v>-163417500</v>
      </c>
      <c r="AZ66" s="102">
        <f t="shared" si="0"/>
        <v>0</v>
      </c>
      <c r="BA66" s="102">
        <v>0</v>
      </c>
      <c r="BB66" s="102">
        <v>0</v>
      </c>
      <c r="BC66" s="86">
        <f t="shared" si="1"/>
        <v>0</v>
      </c>
      <c r="BD66" s="102">
        <v>0</v>
      </c>
      <c r="BE66" s="102">
        <v>0</v>
      </c>
      <c r="BF66" s="102">
        <v>0</v>
      </c>
      <c r="BG66" s="102">
        <f>SUM(BD66:BF66)</f>
        <v>0</v>
      </c>
      <c r="BH66" s="102">
        <v>0</v>
      </c>
      <c r="BI66" s="102">
        <v>0</v>
      </c>
      <c r="BJ66" s="102">
        <v>0</v>
      </c>
      <c r="BK66" s="102">
        <f>SUM(BH66:BJ66)</f>
        <v>0</v>
      </c>
      <c r="BL66" s="443" t="s">
        <v>94</v>
      </c>
      <c r="BM66" s="467" t="s">
        <v>374</v>
      </c>
      <c r="BN66" s="467" t="s">
        <v>378</v>
      </c>
      <c r="BO66" s="456" t="s">
        <v>108</v>
      </c>
      <c r="BP66" s="468" t="s">
        <v>379</v>
      </c>
      <c r="BQ66" s="468" t="s">
        <v>365</v>
      </c>
      <c r="BR66" s="456" t="s">
        <v>111</v>
      </c>
      <c r="BS66" s="6">
        <v>44927</v>
      </c>
      <c r="BT66" s="30" t="s">
        <v>250</v>
      </c>
      <c r="BU66" s="406" t="s">
        <v>99</v>
      </c>
      <c r="BV66" s="406" t="s">
        <v>100</v>
      </c>
      <c r="BW66" s="122"/>
      <c r="BX66" s="122" t="s">
        <v>582</v>
      </c>
      <c r="BY66" s="63">
        <f t="shared" si="4"/>
        <v>0</v>
      </c>
    </row>
    <row r="67" spans="1:78" ht="57" x14ac:dyDescent="0.25">
      <c r="A67" s="465"/>
      <c r="B67" s="506"/>
      <c r="C67" s="465"/>
      <c r="D67" s="436"/>
      <c r="E67" s="461"/>
      <c r="F67" s="29" t="s">
        <v>380</v>
      </c>
      <c r="G67" s="29">
        <v>1</v>
      </c>
      <c r="H67" s="29" t="s">
        <v>76</v>
      </c>
      <c r="I67" s="29">
        <v>1</v>
      </c>
      <c r="J67" s="470"/>
      <c r="K67" s="29" t="s">
        <v>381</v>
      </c>
      <c r="L67" s="29" t="s">
        <v>76</v>
      </c>
      <c r="M67" s="29" t="s">
        <v>322</v>
      </c>
      <c r="N67" s="29" t="s">
        <v>380</v>
      </c>
      <c r="O67" s="29" t="s">
        <v>228</v>
      </c>
      <c r="P67" s="29"/>
      <c r="Q67" s="88" t="s">
        <v>382</v>
      </c>
      <c r="R67" s="89">
        <v>1</v>
      </c>
      <c r="S67" s="77" t="s">
        <v>120</v>
      </c>
      <c r="T67" s="77" t="s">
        <v>527</v>
      </c>
      <c r="U67" s="77" t="s">
        <v>527</v>
      </c>
      <c r="V67" s="77" t="s">
        <v>527</v>
      </c>
      <c r="W67" s="77" t="s">
        <v>527</v>
      </c>
      <c r="X67" s="168" t="s">
        <v>527</v>
      </c>
      <c r="Y67" s="168" t="s">
        <v>527</v>
      </c>
      <c r="Z67" s="168" t="s">
        <v>527</v>
      </c>
      <c r="AA67" s="168" t="s">
        <v>527</v>
      </c>
      <c r="AB67" s="90">
        <v>1</v>
      </c>
      <c r="AC67" s="438"/>
      <c r="AD67" s="438"/>
      <c r="AE67" s="469"/>
      <c r="AF67" s="459"/>
      <c r="AG67" s="459"/>
      <c r="AH67" s="459"/>
      <c r="AI67" s="459"/>
      <c r="AJ67" s="29" t="s">
        <v>383</v>
      </c>
      <c r="AK67" s="29" t="s">
        <v>384</v>
      </c>
      <c r="AL67" s="29">
        <v>1</v>
      </c>
      <c r="AM67" s="91">
        <v>0.2</v>
      </c>
      <c r="AN67" s="190">
        <v>0.25</v>
      </c>
      <c r="AO67" s="190">
        <v>0.25</v>
      </c>
      <c r="AP67" s="85">
        <v>44927</v>
      </c>
      <c r="AQ67" s="85">
        <v>45291</v>
      </c>
      <c r="AR67" s="4">
        <v>365</v>
      </c>
      <c r="AS67" s="29">
        <v>1028736</v>
      </c>
      <c r="AT67" s="29">
        <v>1028736</v>
      </c>
      <c r="AU67" s="29" t="s">
        <v>285</v>
      </c>
      <c r="AV67" s="29" t="s">
        <v>286</v>
      </c>
      <c r="AW67" s="29" t="s">
        <v>184</v>
      </c>
      <c r="AX67" s="86">
        <v>10000000</v>
      </c>
      <c r="AY67" s="153">
        <v>-10000000</v>
      </c>
      <c r="AZ67" s="102">
        <f t="shared" si="0"/>
        <v>0</v>
      </c>
      <c r="BA67" s="102">
        <v>0</v>
      </c>
      <c r="BB67" s="102">
        <v>0</v>
      </c>
      <c r="BC67" s="86">
        <f t="shared" si="1"/>
        <v>0</v>
      </c>
      <c r="BD67" s="102">
        <v>0</v>
      </c>
      <c r="BE67" s="102">
        <v>0</v>
      </c>
      <c r="BF67" s="102">
        <v>0</v>
      </c>
      <c r="BG67" s="102">
        <f>SUM(BD67:BF67)</f>
        <v>0</v>
      </c>
      <c r="BH67" s="102">
        <v>0</v>
      </c>
      <c r="BI67" s="102">
        <v>0</v>
      </c>
      <c r="BJ67" s="102">
        <v>0</v>
      </c>
      <c r="BK67" s="102">
        <f>SUM(BH67:BJ67)</f>
        <v>0</v>
      </c>
      <c r="BL67" s="444"/>
      <c r="BM67" s="467"/>
      <c r="BN67" s="467"/>
      <c r="BO67" s="457"/>
      <c r="BP67" s="457"/>
      <c r="BQ67" s="457"/>
      <c r="BR67" s="457"/>
      <c r="BS67" s="6">
        <v>44927</v>
      </c>
      <c r="BT67" s="30" t="s">
        <v>294</v>
      </c>
      <c r="BU67" s="406"/>
      <c r="BV67" s="406"/>
      <c r="BW67" s="122"/>
      <c r="BX67" s="122" t="s">
        <v>582</v>
      </c>
      <c r="BY67" s="63">
        <f t="shared" si="4"/>
        <v>0</v>
      </c>
    </row>
    <row r="68" spans="1:78" ht="42.75" x14ac:dyDescent="0.25">
      <c r="A68" s="465"/>
      <c r="B68" s="506"/>
      <c r="C68" s="465"/>
      <c r="D68" s="436"/>
      <c r="E68" s="461"/>
      <c r="F68" s="456" t="s">
        <v>385</v>
      </c>
      <c r="G68" s="456">
        <v>1</v>
      </c>
      <c r="H68" s="456" t="s">
        <v>76</v>
      </c>
      <c r="I68" s="456">
        <v>1</v>
      </c>
      <c r="J68" s="470"/>
      <c r="K68" s="466" t="s">
        <v>386</v>
      </c>
      <c r="L68" s="466" t="s">
        <v>76</v>
      </c>
      <c r="M68" s="466" t="s">
        <v>322</v>
      </c>
      <c r="N68" s="466" t="s">
        <v>385</v>
      </c>
      <c r="O68" s="466" t="s">
        <v>228</v>
      </c>
      <c r="P68" s="466"/>
      <c r="Q68" s="471" t="s">
        <v>387</v>
      </c>
      <c r="R68" s="458">
        <v>1</v>
      </c>
      <c r="S68" s="459" t="s">
        <v>120</v>
      </c>
      <c r="T68" s="459" t="s">
        <v>527</v>
      </c>
      <c r="U68" s="459" t="s">
        <v>527</v>
      </c>
      <c r="V68" s="459" t="s">
        <v>527</v>
      </c>
      <c r="W68" s="459" t="s">
        <v>527</v>
      </c>
      <c r="X68" s="473" t="s">
        <v>527</v>
      </c>
      <c r="Y68" s="473" t="s">
        <v>527</v>
      </c>
      <c r="Z68" s="473" t="s">
        <v>527</v>
      </c>
      <c r="AA68" s="473" t="s">
        <v>527</v>
      </c>
      <c r="AB68" s="460">
        <v>1</v>
      </c>
      <c r="AC68" s="438"/>
      <c r="AD68" s="438"/>
      <c r="AE68" s="469"/>
      <c r="AF68" s="459"/>
      <c r="AG68" s="459"/>
      <c r="AH68" s="459"/>
      <c r="AI68" s="459"/>
      <c r="AJ68" s="29" t="s">
        <v>388</v>
      </c>
      <c r="AK68" s="29" t="s">
        <v>389</v>
      </c>
      <c r="AL68" s="29">
        <v>1</v>
      </c>
      <c r="AM68" s="91">
        <v>0.2</v>
      </c>
      <c r="AN68" s="190">
        <v>0.25</v>
      </c>
      <c r="AO68" s="190">
        <v>0.25</v>
      </c>
      <c r="AP68" s="85">
        <v>44927</v>
      </c>
      <c r="AQ68" s="85">
        <v>45291</v>
      </c>
      <c r="AR68" s="4">
        <v>365</v>
      </c>
      <c r="AS68" s="29">
        <v>1028736</v>
      </c>
      <c r="AT68" s="29">
        <v>1028736</v>
      </c>
      <c r="AU68" s="29" t="s">
        <v>285</v>
      </c>
      <c r="AV68" s="29" t="s">
        <v>286</v>
      </c>
      <c r="AW68" s="29" t="s">
        <v>184</v>
      </c>
      <c r="AX68" s="86">
        <v>5000000</v>
      </c>
      <c r="AY68" s="153">
        <v>-5000000</v>
      </c>
      <c r="AZ68" s="102">
        <f t="shared" si="0"/>
        <v>0</v>
      </c>
      <c r="BA68" s="102">
        <v>0</v>
      </c>
      <c r="BB68" s="102">
        <v>0</v>
      </c>
      <c r="BC68" s="86">
        <f t="shared" si="1"/>
        <v>0</v>
      </c>
      <c r="BD68" s="102">
        <v>0</v>
      </c>
      <c r="BE68" s="102">
        <v>0</v>
      </c>
      <c r="BF68" s="102">
        <v>0</v>
      </c>
      <c r="BG68" s="102">
        <f>SUM(BD68:BF68)</f>
        <v>0</v>
      </c>
      <c r="BH68" s="102">
        <v>0</v>
      </c>
      <c r="BI68" s="102">
        <v>0</v>
      </c>
      <c r="BJ68" s="102">
        <v>0</v>
      </c>
      <c r="BK68" s="102">
        <f>SUM(BH68:BJ68)</f>
        <v>0</v>
      </c>
      <c r="BL68" s="444"/>
      <c r="BM68" s="467"/>
      <c r="BN68" s="467"/>
      <c r="BO68" s="456" t="s">
        <v>108</v>
      </c>
      <c r="BP68" s="456" t="s">
        <v>390</v>
      </c>
      <c r="BQ68" s="456" t="s">
        <v>391</v>
      </c>
      <c r="BR68" s="456" t="s">
        <v>111</v>
      </c>
      <c r="BS68" s="6">
        <v>44958</v>
      </c>
      <c r="BT68" s="30" t="s">
        <v>294</v>
      </c>
      <c r="BU68" s="406"/>
      <c r="BV68" s="406"/>
      <c r="BW68" s="122"/>
      <c r="BX68" s="122" t="s">
        <v>582</v>
      </c>
      <c r="BY68" s="63">
        <f t="shared" si="4"/>
        <v>0</v>
      </c>
    </row>
    <row r="69" spans="1:78" ht="213.75" x14ac:dyDescent="0.25">
      <c r="A69" s="465"/>
      <c r="B69" s="506"/>
      <c r="C69" s="465"/>
      <c r="D69" s="436"/>
      <c r="E69" s="457"/>
      <c r="F69" s="457"/>
      <c r="G69" s="457"/>
      <c r="H69" s="457"/>
      <c r="I69" s="457"/>
      <c r="J69" s="470"/>
      <c r="K69" s="466"/>
      <c r="L69" s="466"/>
      <c r="M69" s="466"/>
      <c r="N69" s="466"/>
      <c r="O69" s="466"/>
      <c r="P69" s="466"/>
      <c r="Q69" s="471"/>
      <c r="R69" s="458"/>
      <c r="S69" s="459"/>
      <c r="T69" s="459"/>
      <c r="U69" s="459"/>
      <c r="V69" s="459"/>
      <c r="W69" s="459"/>
      <c r="X69" s="473"/>
      <c r="Y69" s="473"/>
      <c r="Z69" s="473"/>
      <c r="AA69" s="473"/>
      <c r="AB69" s="460"/>
      <c r="AC69" s="438"/>
      <c r="AD69" s="438"/>
      <c r="AE69" s="469"/>
      <c r="AF69" s="459"/>
      <c r="AG69" s="459"/>
      <c r="AH69" s="459"/>
      <c r="AI69" s="459"/>
      <c r="AJ69" s="29" t="s">
        <v>392</v>
      </c>
      <c r="AK69" s="29" t="s">
        <v>114</v>
      </c>
      <c r="AL69" s="29">
        <v>1</v>
      </c>
      <c r="AM69" s="91">
        <v>0.4</v>
      </c>
      <c r="AN69" s="190">
        <v>0.25</v>
      </c>
      <c r="AO69" s="190">
        <v>0.25</v>
      </c>
      <c r="AP69" s="85">
        <v>44927</v>
      </c>
      <c r="AQ69" s="85">
        <v>45291</v>
      </c>
      <c r="AR69" s="4">
        <v>365</v>
      </c>
      <c r="AS69" s="29">
        <v>1028736</v>
      </c>
      <c r="AT69" s="29">
        <v>1028736</v>
      </c>
      <c r="AU69" s="29" t="s">
        <v>285</v>
      </c>
      <c r="AV69" s="29" t="s">
        <v>286</v>
      </c>
      <c r="AW69" s="29" t="s">
        <v>184</v>
      </c>
      <c r="AX69" s="86">
        <v>70782500</v>
      </c>
      <c r="AY69" s="153">
        <v>-1782500</v>
      </c>
      <c r="AZ69" s="102">
        <f t="shared" si="0"/>
        <v>69000000</v>
      </c>
      <c r="BA69" s="102">
        <v>0</v>
      </c>
      <c r="BB69" s="102">
        <v>0</v>
      </c>
      <c r="BC69" s="86">
        <f t="shared" si="1"/>
        <v>69000000</v>
      </c>
      <c r="BD69" s="102">
        <v>0</v>
      </c>
      <c r="BE69" s="102">
        <v>0</v>
      </c>
      <c r="BF69" s="102">
        <v>12000000</v>
      </c>
      <c r="BG69" s="102">
        <f>SUM(BD69:BF69)</f>
        <v>12000000</v>
      </c>
      <c r="BH69" s="102">
        <v>6000000</v>
      </c>
      <c r="BI69" s="102">
        <v>6000000</v>
      </c>
      <c r="BJ69" s="102">
        <v>6000000</v>
      </c>
      <c r="BK69" s="102">
        <f>SUM(BH69:BJ69)</f>
        <v>18000000</v>
      </c>
      <c r="BL69" s="445"/>
      <c r="BM69" s="467"/>
      <c r="BN69" s="467"/>
      <c r="BO69" s="457"/>
      <c r="BP69" s="457"/>
      <c r="BQ69" s="457"/>
      <c r="BR69" s="457"/>
      <c r="BS69" s="6">
        <v>44958</v>
      </c>
      <c r="BT69" s="30" t="s">
        <v>317</v>
      </c>
      <c r="BU69" s="407"/>
      <c r="BV69" s="407"/>
      <c r="BW69" s="122" t="s">
        <v>545</v>
      </c>
      <c r="BX69" s="122" t="s">
        <v>582</v>
      </c>
      <c r="BY69" s="63">
        <f t="shared" si="4"/>
        <v>30000000</v>
      </c>
    </row>
    <row r="70" spans="1:78" ht="156.75" x14ac:dyDescent="0.25">
      <c r="A70" s="449" t="s">
        <v>393</v>
      </c>
      <c r="B70" s="449" t="s">
        <v>394</v>
      </c>
      <c r="C70" s="449" t="s">
        <v>395</v>
      </c>
      <c r="D70" s="436" t="s">
        <v>396</v>
      </c>
      <c r="E70" s="436" t="s">
        <v>397</v>
      </c>
      <c r="F70" s="436" t="s">
        <v>398</v>
      </c>
      <c r="G70" s="436">
        <v>100</v>
      </c>
      <c r="H70" s="436" t="s">
        <v>180</v>
      </c>
      <c r="I70" s="463">
        <v>1</v>
      </c>
      <c r="J70" s="437" t="s">
        <v>399</v>
      </c>
      <c r="K70" s="436" t="s">
        <v>400</v>
      </c>
      <c r="L70" s="436" t="s">
        <v>401</v>
      </c>
      <c r="M70" s="436">
        <v>0</v>
      </c>
      <c r="N70" s="436" t="s">
        <v>402</v>
      </c>
      <c r="O70" s="436"/>
      <c r="P70" s="436" t="s">
        <v>228</v>
      </c>
      <c r="Q70" s="438" t="s">
        <v>403</v>
      </c>
      <c r="R70" s="438">
        <v>33</v>
      </c>
      <c r="S70" s="438">
        <v>33</v>
      </c>
      <c r="T70" s="438">
        <v>0</v>
      </c>
      <c r="U70" s="438">
        <v>0</v>
      </c>
      <c r="V70" s="438">
        <v>0</v>
      </c>
      <c r="W70" s="438">
        <f>SUM(T70:V72)</f>
        <v>0</v>
      </c>
      <c r="X70" s="464">
        <v>0</v>
      </c>
      <c r="Y70" s="464">
        <v>0</v>
      </c>
      <c r="Z70" s="464">
        <v>0</v>
      </c>
      <c r="AA70" s="464">
        <f>SUM(X70:Z72)</f>
        <v>0</v>
      </c>
      <c r="AB70" s="438">
        <v>1</v>
      </c>
      <c r="AC70" s="438" t="s">
        <v>82</v>
      </c>
      <c r="AD70" s="438" t="s">
        <v>194</v>
      </c>
      <c r="AE70" s="438" t="s">
        <v>84</v>
      </c>
      <c r="AF70" s="438" t="s">
        <v>85</v>
      </c>
      <c r="AG70" s="436" t="s">
        <v>404</v>
      </c>
      <c r="AH70" s="442">
        <v>2021130010282</v>
      </c>
      <c r="AI70" s="462" t="s">
        <v>405</v>
      </c>
      <c r="AJ70" s="4" t="s">
        <v>406</v>
      </c>
      <c r="AK70" s="4" t="s">
        <v>407</v>
      </c>
      <c r="AL70" s="4">
        <v>1</v>
      </c>
      <c r="AM70" s="79">
        <v>0.6</v>
      </c>
      <c r="AN70" s="185">
        <v>0.25</v>
      </c>
      <c r="AO70" s="185">
        <v>0.25</v>
      </c>
      <c r="AP70" s="85">
        <v>44927</v>
      </c>
      <c r="AQ70" s="85">
        <v>45291</v>
      </c>
      <c r="AR70" s="4">
        <v>365</v>
      </c>
      <c r="AS70" s="4">
        <v>33</v>
      </c>
      <c r="AT70" s="4">
        <v>33</v>
      </c>
      <c r="AU70" s="29" t="s">
        <v>285</v>
      </c>
      <c r="AV70" s="29" t="s">
        <v>286</v>
      </c>
      <c r="AW70" s="29" t="s">
        <v>184</v>
      </c>
      <c r="AX70" s="116">
        <v>300000000</v>
      </c>
      <c r="AY70" s="116">
        <v>0</v>
      </c>
      <c r="AZ70" s="102">
        <f t="shared" si="0"/>
        <v>300000000</v>
      </c>
      <c r="BA70" s="152">
        <v>150000000</v>
      </c>
      <c r="BB70" s="157">
        <v>426145856</v>
      </c>
      <c r="BC70" s="152">
        <f t="shared" si="1"/>
        <v>876145856</v>
      </c>
      <c r="BD70" s="102">
        <v>0</v>
      </c>
      <c r="BE70" s="102">
        <v>0</v>
      </c>
      <c r="BF70" s="102">
        <v>0</v>
      </c>
      <c r="BG70" s="102">
        <f t="shared" si="2"/>
        <v>0</v>
      </c>
      <c r="BH70" s="102">
        <v>0</v>
      </c>
      <c r="BI70" s="102">
        <v>0</v>
      </c>
      <c r="BJ70" s="102">
        <v>0</v>
      </c>
      <c r="BK70" s="102">
        <f t="shared" ref="BK70:BK86" si="6">SUM(BH70:BJ70)</f>
        <v>0</v>
      </c>
      <c r="BL70" s="443" t="s">
        <v>94</v>
      </c>
      <c r="BM70" s="405" t="s">
        <v>408</v>
      </c>
      <c r="BN70" s="405" t="s">
        <v>409</v>
      </c>
      <c r="BO70" s="4" t="s">
        <v>108</v>
      </c>
      <c r="BP70" s="436" t="s">
        <v>410</v>
      </c>
      <c r="BQ70" s="456" t="s">
        <v>216</v>
      </c>
      <c r="BR70" s="405" t="s">
        <v>111</v>
      </c>
      <c r="BS70" s="6">
        <v>44986</v>
      </c>
      <c r="BT70" s="4" t="s">
        <v>411</v>
      </c>
      <c r="BU70" s="405" t="s">
        <v>99</v>
      </c>
      <c r="BV70" s="405" t="s">
        <v>100</v>
      </c>
      <c r="BW70" s="122" t="s">
        <v>540</v>
      </c>
      <c r="BX70" s="122" t="s">
        <v>605</v>
      </c>
      <c r="BY70" s="63">
        <f t="shared" si="4"/>
        <v>0</v>
      </c>
    </row>
    <row r="71" spans="1:78" ht="124.15" customHeight="1" x14ac:dyDescent="0.25">
      <c r="A71" s="450"/>
      <c r="B71" s="450"/>
      <c r="C71" s="450"/>
      <c r="D71" s="436"/>
      <c r="E71" s="436"/>
      <c r="F71" s="436"/>
      <c r="G71" s="436"/>
      <c r="H71" s="436"/>
      <c r="I71" s="436"/>
      <c r="J71" s="437"/>
      <c r="K71" s="436"/>
      <c r="L71" s="436"/>
      <c r="M71" s="436"/>
      <c r="N71" s="436"/>
      <c r="O71" s="436"/>
      <c r="P71" s="436"/>
      <c r="Q71" s="438"/>
      <c r="R71" s="438"/>
      <c r="S71" s="438"/>
      <c r="T71" s="438"/>
      <c r="U71" s="438"/>
      <c r="V71" s="438"/>
      <c r="W71" s="438"/>
      <c r="X71" s="464"/>
      <c r="Y71" s="464"/>
      <c r="Z71" s="464"/>
      <c r="AA71" s="464"/>
      <c r="AB71" s="438"/>
      <c r="AC71" s="438"/>
      <c r="AD71" s="438"/>
      <c r="AE71" s="438"/>
      <c r="AF71" s="438"/>
      <c r="AG71" s="436"/>
      <c r="AH71" s="442"/>
      <c r="AI71" s="462"/>
      <c r="AJ71" s="4" t="s">
        <v>412</v>
      </c>
      <c r="AK71" s="4" t="s">
        <v>413</v>
      </c>
      <c r="AL71" s="4">
        <v>1</v>
      </c>
      <c r="AM71" s="79">
        <v>0.15</v>
      </c>
      <c r="AN71" s="185">
        <v>0.25</v>
      </c>
      <c r="AO71" s="185">
        <v>0.25</v>
      </c>
      <c r="AP71" s="85">
        <v>44927</v>
      </c>
      <c r="AQ71" s="85">
        <v>45291</v>
      </c>
      <c r="AR71" s="4">
        <v>365</v>
      </c>
      <c r="AS71" s="4">
        <v>33</v>
      </c>
      <c r="AT71" s="4">
        <v>33</v>
      </c>
      <c r="AU71" s="29" t="s">
        <v>285</v>
      </c>
      <c r="AV71" s="29" t="s">
        <v>286</v>
      </c>
      <c r="AW71" s="29" t="s">
        <v>184</v>
      </c>
      <c r="AX71" s="116">
        <v>23629200</v>
      </c>
      <c r="AY71" s="116">
        <v>0</v>
      </c>
      <c r="AZ71" s="102">
        <f t="shared" si="0"/>
        <v>23629200</v>
      </c>
      <c r="BA71" s="102">
        <v>0</v>
      </c>
      <c r="BB71" s="102">
        <v>0</v>
      </c>
      <c r="BC71" s="86">
        <f t="shared" si="1"/>
        <v>23629200</v>
      </c>
      <c r="BD71" s="102">
        <v>0</v>
      </c>
      <c r="BE71" s="102">
        <v>0</v>
      </c>
      <c r="BF71" s="102">
        <v>0</v>
      </c>
      <c r="BG71" s="102">
        <f t="shared" si="2"/>
        <v>0</v>
      </c>
      <c r="BH71" s="102">
        <v>0</v>
      </c>
      <c r="BI71" s="102">
        <v>0</v>
      </c>
      <c r="BJ71" s="102">
        <v>0</v>
      </c>
      <c r="BK71" s="102">
        <f t="shared" si="6"/>
        <v>0</v>
      </c>
      <c r="BL71" s="444"/>
      <c r="BM71" s="406"/>
      <c r="BN71" s="406"/>
      <c r="BO71" s="4" t="s">
        <v>108</v>
      </c>
      <c r="BP71" s="436"/>
      <c r="BQ71" s="461"/>
      <c r="BR71" s="406"/>
      <c r="BS71" s="6">
        <v>44986</v>
      </c>
      <c r="BT71" s="4" t="s">
        <v>414</v>
      </c>
      <c r="BU71" s="406"/>
      <c r="BV71" s="406"/>
      <c r="BW71" s="122" t="s">
        <v>552</v>
      </c>
      <c r="BX71" s="122" t="s">
        <v>582</v>
      </c>
      <c r="BY71" s="63">
        <f t="shared" si="4"/>
        <v>0</v>
      </c>
    </row>
    <row r="72" spans="1:78" ht="409.5" x14ac:dyDescent="0.25">
      <c r="A72" s="450"/>
      <c r="B72" s="450"/>
      <c r="C72" s="450"/>
      <c r="D72" s="436"/>
      <c r="E72" s="436"/>
      <c r="F72" s="436"/>
      <c r="G72" s="436"/>
      <c r="H72" s="436"/>
      <c r="I72" s="436"/>
      <c r="J72" s="437"/>
      <c r="K72" s="436"/>
      <c r="L72" s="436"/>
      <c r="M72" s="436"/>
      <c r="N72" s="436"/>
      <c r="O72" s="436"/>
      <c r="P72" s="436"/>
      <c r="Q72" s="438"/>
      <c r="R72" s="438"/>
      <c r="S72" s="438"/>
      <c r="T72" s="438"/>
      <c r="U72" s="438"/>
      <c r="V72" s="438"/>
      <c r="W72" s="438"/>
      <c r="X72" s="464"/>
      <c r="Y72" s="464"/>
      <c r="Z72" s="464"/>
      <c r="AA72" s="464"/>
      <c r="AB72" s="438"/>
      <c r="AC72" s="438"/>
      <c r="AD72" s="438"/>
      <c r="AE72" s="438"/>
      <c r="AF72" s="438"/>
      <c r="AG72" s="436"/>
      <c r="AH72" s="442"/>
      <c r="AI72" s="462"/>
      <c r="AJ72" s="4" t="s">
        <v>415</v>
      </c>
      <c r="AK72" s="4" t="s">
        <v>416</v>
      </c>
      <c r="AL72" s="4">
        <v>1</v>
      </c>
      <c r="AM72" s="79">
        <v>0.25</v>
      </c>
      <c r="AN72" s="185">
        <v>0</v>
      </c>
      <c r="AO72" s="185">
        <v>0</v>
      </c>
      <c r="AP72" s="85">
        <v>44927</v>
      </c>
      <c r="AQ72" s="85">
        <v>45291</v>
      </c>
      <c r="AR72" s="4">
        <v>365</v>
      </c>
      <c r="AS72" s="4">
        <v>33</v>
      </c>
      <c r="AT72" s="4">
        <v>33</v>
      </c>
      <c r="AU72" s="29" t="s">
        <v>285</v>
      </c>
      <c r="AV72" s="29" t="s">
        <v>286</v>
      </c>
      <c r="AW72" s="29" t="s">
        <v>184</v>
      </c>
      <c r="AX72" s="116">
        <v>0</v>
      </c>
      <c r="AY72" s="116">
        <v>0</v>
      </c>
      <c r="AZ72" s="102">
        <f t="shared" si="0"/>
        <v>0</v>
      </c>
      <c r="BA72" s="102">
        <v>0</v>
      </c>
      <c r="BB72" s="102">
        <v>0</v>
      </c>
      <c r="BC72" s="86">
        <f t="shared" si="1"/>
        <v>0</v>
      </c>
      <c r="BD72" s="102">
        <v>0</v>
      </c>
      <c r="BE72" s="102">
        <v>0</v>
      </c>
      <c r="BF72" s="102">
        <v>0</v>
      </c>
      <c r="BG72" s="102">
        <f t="shared" si="2"/>
        <v>0</v>
      </c>
      <c r="BH72" s="102">
        <v>0</v>
      </c>
      <c r="BI72" s="102">
        <v>0</v>
      </c>
      <c r="BJ72" s="102">
        <v>0</v>
      </c>
      <c r="BK72" s="102">
        <f t="shared" si="6"/>
        <v>0</v>
      </c>
      <c r="BL72" s="445"/>
      <c r="BM72" s="407"/>
      <c r="BN72" s="407"/>
      <c r="BO72" s="4" t="s">
        <v>108</v>
      </c>
      <c r="BP72" s="436"/>
      <c r="BQ72" s="457"/>
      <c r="BR72" s="407"/>
      <c r="BS72" s="6">
        <v>45200</v>
      </c>
      <c r="BT72" s="4" t="s">
        <v>417</v>
      </c>
      <c r="BU72" s="407"/>
      <c r="BV72" s="407"/>
      <c r="BW72" s="122" t="s">
        <v>539</v>
      </c>
      <c r="BX72" s="122" t="s">
        <v>582</v>
      </c>
      <c r="BY72" s="63">
        <f t="shared" si="4"/>
        <v>0</v>
      </c>
    </row>
    <row r="73" spans="1:78" ht="133.5" customHeight="1" x14ac:dyDescent="0.25">
      <c r="A73" s="450"/>
      <c r="B73" s="450"/>
      <c r="C73" s="450"/>
      <c r="D73" s="436"/>
      <c r="E73" s="436"/>
      <c r="F73" s="436"/>
      <c r="G73" s="436"/>
      <c r="H73" s="436"/>
      <c r="I73" s="436"/>
      <c r="J73" s="437" t="s">
        <v>418</v>
      </c>
      <c r="K73" s="436" t="s">
        <v>419</v>
      </c>
      <c r="L73" s="436" t="s">
        <v>401</v>
      </c>
      <c r="M73" s="436">
        <v>0</v>
      </c>
      <c r="N73" s="436" t="s">
        <v>420</v>
      </c>
      <c r="O73" s="436"/>
      <c r="P73" s="436" t="s">
        <v>228</v>
      </c>
      <c r="Q73" s="438" t="s">
        <v>403</v>
      </c>
      <c r="R73" s="438">
        <v>2</v>
      </c>
      <c r="S73" s="438">
        <v>4</v>
      </c>
      <c r="T73" s="438">
        <v>0</v>
      </c>
      <c r="U73" s="438">
        <v>0</v>
      </c>
      <c r="V73" s="438">
        <v>0</v>
      </c>
      <c r="W73" s="438">
        <f>SUM(T73:V76)</f>
        <v>0</v>
      </c>
      <c r="X73" s="464" t="s">
        <v>527</v>
      </c>
      <c r="Y73" s="464" t="s">
        <v>527</v>
      </c>
      <c r="Z73" s="464" t="s">
        <v>527</v>
      </c>
      <c r="AA73" s="464" t="s">
        <v>527</v>
      </c>
      <c r="AB73" s="438">
        <v>3</v>
      </c>
      <c r="AC73" s="438"/>
      <c r="AD73" s="438"/>
      <c r="AE73" s="438"/>
      <c r="AF73" s="438"/>
      <c r="AG73" s="442" t="s">
        <v>421</v>
      </c>
      <c r="AH73" s="442" t="s">
        <v>422</v>
      </c>
      <c r="AI73" s="442" t="s">
        <v>423</v>
      </c>
      <c r="AJ73" s="4" t="s">
        <v>424</v>
      </c>
      <c r="AK73" s="4" t="s">
        <v>114</v>
      </c>
      <c r="AL73" s="4">
        <v>12</v>
      </c>
      <c r="AM73" s="79">
        <v>0.3</v>
      </c>
      <c r="AN73" s="185">
        <v>0.25</v>
      </c>
      <c r="AO73" s="185">
        <v>0.25</v>
      </c>
      <c r="AP73" s="85">
        <v>44927</v>
      </c>
      <c r="AQ73" s="85">
        <v>45291</v>
      </c>
      <c r="AR73" s="4">
        <v>365</v>
      </c>
      <c r="AS73" s="4">
        <v>6</v>
      </c>
      <c r="AT73" s="4">
        <v>6</v>
      </c>
      <c r="AU73" s="29" t="s">
        <v>285</v>
      </c>
      <c r="AV73" s="29" t="s">
        <v>286</v>
      </c>
      <c r="AW73" s="29" t="s">
        <v>184</v>
      </c>
      <c r="AX73" s="116">
        <v>53486500</v>
      </c>
      <c r="AY73" s="116">
        <v>0</v>
      </c>
      <c r="AZ73" s="102">
        <f t="shared" si="0"/>
        <v>53486500</v>
      </c>
      <c r="BA73" s="102">
        <v>0</v>
      </c>
      <c r="BB73" s="153">
        <v>-779473</v>
      </c>
      <c r="BC73" s="153">
        <f t="shared" si="1"/>
        <v>52707027</v>
      </c>
      <c r="BD73" s="102">
        <v>0</v>
      </c>
      <c r="BE73" s="102">
        <v>0</v>
      </c>
      <c r="BF73" s="102">
        <v>4000000</v>
      </c>
      <c r="BG73" s="102">
        <f t="shared" si="2"/>
        <v>4000000</v>
      </c>
      <c r="BH73" s="102">
        <v>4000000</v>
      </c>
      <c r="BI73" s="102">
        <v>4000000</v>
      </c>
      <c r="BJ73" s="102">
        <v>4000000</v>
      </c>
      <c r="BK73" s="102">
        <f t="shared" si="6"/>
        <v>12000000</v>
      </c>
      <c r="BL73" s="443" t="s">
        <v>94</v>
      </c>
      <c r="BM73" s="405" t="s">
        <v>425</v>
      </c>
      <c r="BN73" s="436" t="s">
        <v>426</v>
      </c>
      <c r="BO73" s="4" t="s">
        <v>108</v>
      </c>
      <c r="BP73" s="4" t="s">
        <v>427</v>
      </c>
      <c r="BQ73" s="4" t="s">
        <v>365</v>
      </c>
      <c r="BR73" s="4" t="s">
        <v>111</v>
      </c>
      <c r="BS73" s="6">
        <v>44927</v>
      </c>
      <c r="BT73" s="4" t="s">
        <v>259</v>
      </c>
      <c r="BU73" s="436" t="s">
        <v>99</v>
      </c>
      <c r="BV73" s="436" t="s">
        <v>100</v>
      </c>
      <c r="BW73" s="122" t="s">
        <v>547</v>
      </c>
      <c r="BX73" s="122" t="s">
        <v>606</v>
      </c>
      <c r="BY73" s="63">
        <f t="shared" si="4"/>
        <v>16000000</v>
      </c>
    </row>
    <row r="74" spans="1:78" ht="156.75" x14ac:dyDescent="0.25">
      <c r="A74" s="450"/>
      <c r="B74" s="450"/>
      <c r="C74" s="450"/>
      <c r="D74" s="436"/>
      <c r="E74" s="436"/>
      <c r="F74" s="436"/>
      <c r="G74" s="436"/>
      <c r="H74" s="436"/>
      <c r="I74" s="436"/>
      <c r="J74" s="437"/>
      <c r="K74" s="436"/>
      <c r="L74" s="436"/>
      <c r="M74" s="436"/>
      <c r="N74" s="436"/>
      <c r="O74" s="436"/>
      <c r="P74" s="436"/>
      <c r="Q74" s="438"/>
      <c r="R74" s="438"/>
      <c r="S74" s="438"/>
      <c r="T74" s="438"/>
      <c r="U74" s="438"/>
      <c r="V74" s="438"/>
      <c r="W74" s="438"/>
      <c r="X74" s="464"/>
      <c r="Y74" s="464"/>
      <c r="Z74" s="464"/>
      <c r="AA74" s="464"/>
      <c r="AB74" s="438"/>
      <c r="AC74" s="438"/>
      <c r="AD74" s="438"/>
      <c r="AE74" s="438"/>
      <c r="AF74" s="438"/>
      <c r="AG74" s="442"/>
      <c r="AH74" s="442"/>
      <c r="AI74" s="442"/>
      <c r="AJ74" s="64" t="s">
        <v>428</v>
      </c>
      <c r="AK74" s="4" t="s">
        <v>429</v>
      </c>
      <c r="AL74" s="4">
        <v>4</v>
      </c>
      <c r="AM74" s="79">
        <v>0.5</v>
      </c>
      <c r="AN74" s="185">
        <v>0.25</v>
      </c>
      <c r="AO74" s="185">
        <v>0.25</v>
      </c>
      <c r="AP74" s="85">
        <v>44927</v>
      </c>
      <c r="AQ74" s="85">
        <v>45291</v>
      </c>
      <c r="AR74" s="4">
        <v>365</v>
      </c>
      <c r="AS74" s="4">
        <v>4</v>
      </c>
      <c r="AT74" s="4">
        <v>4</v>
      </c>
      <c r="AU74" s="29" t="s">
        <v>285</v>
      </c>
      <c r="AV74" s="29" t="s">
        <v>286</v>
      </c>
      <c r="AW74" s="29" t="s">
        <v>184</v>
      </c>
      <c r="AX74" s="116">
        <v>155282958</v>
      </c>
      <c r="AY74" s="116">
        <v>0</v>
      </c>
      <c r="AZ74" s="102">
        <f t="shared" ref="AZ74:AZ76" si="7">AX74+AY74</f>
        <v>155282958</v>
      </c>
      <c r="BA74" s="102">
        <v>0</v>
      </c>
      <c r="BB74" s="153">
        <v>-155282958</v>
      </c>
      <c r="BC74" s="153">
        <f t="shared" ref="BC74:BC86" si="8">AX74+AY74+BA74+BB74</f>
        <v>0</v>
      </c>
      <c r="BD74" s="102">
        <v>0</v>
      </c>
      <c r="BE74" s="102">
        <v>0</v>
      </c>
      <c r="BF74" s="102">
        <v>0</v>
      </c>
      <c r="BG74" s="102">
        <f t="shared" ref="BG74:BG86" si="9">SUM(BD74:BF74)</f>
        <v>0</v>
      </c>
      <c r="BH74" s="102">
        <v>0</v>
      </c>
      <c r="BI74" s="102">
        <v>0</v>
      </c>
      <c r="BJ74" s="102">
        <v>0</v>
      </c>
      <c r="BK74" s="102">
        <f t="shared" si="6"/>
        <v>0</v>
      </c>
      <c r="BL74" s="444"/>
      <c r="BM74" s="406"/>
      <c r="BN74" s="436"/>
      <c r="BO74" s="4" t="s">
        <v>108</v>
      </c>
      <c r="BP74" s="436" t="s">
        <v>430</v>
      </c>
      <c r="BQ74" s="436" t="s">
        <v>216</v>
      </c>
      <c r="BR74" s="436" t="s">
        <v>111</v>
      </c>
      <c r="BS74" s="6">
        <v>44986</v>
      </c>
      <c r="BT74" s="4" t="s">
        <v>431</v>
      </c>
      <c r="BU74" s="436"/>
      <c r="BV74" s="436"/>
      <c r="BW74" s="122" t="s">
        <v>540</v>
      </c>
      <c r="BX74" s="122" t="s">
        <v>606</v>
      </c>
      <c r="BY74" s="63">
        <f t="shared" ref="BY74:BY86" si="10">BG74+BK74</f>
        <v>0</v>
      </c>
    </row>
    <row r="75" spans="1:78" ht="99.75" x14ac:dyDescent="0.25">
      <c r="A75" s="450"/>
      <c r="B75" s="450"/>
      <c r="C75" s="450"/>
      <c r="D75" s="436"/>
      <c r="E75" s="436"/>
      <c r="F75" s="436"/>
      <c r="G75" s="436"/>
      <c r="H75" s="436"/>
      <c r="I75" s="436"/>
      <c r="J75" s="437"/>
      <c r="K75" s="436"/>
      <c r="L75" s="436"/>
      <c r="M75" s="436"/>
      <c r="N75" s="436"/>
      <c r="O75" s="436"/>
      <c r="P75" s="436"/>
      <c r="Q75" s="438"/>
      <c r="R75" s="438"/>
      <c r="S75" s="438"/>
      <c r="T75" s="438"/>
      <c r="U75" s="438"/>
      <c r="V75" s="438"/>
      <c r="W75" s="438"/>
      <c r="X75" s="464"/>
      <c r="Y75" s="464"/>
      <c r="Z75" s="464"/>
      <c r="AA75" s="464"/>
      <c r="AB75" s="438"/>
      <c r="AC75" s="438"/>
      <c r="AD75" s="438"/>
      <c r="AE75" s="438"/>
      <c r="AF75" s="438"/>
      <c r="AG75" s="442"/>
      <c r="AH75" s="442"/>
      <c r="AI75" s="442"/>
      <c r="AJ75" s="64" t="s">
        <v>432</v>
      </c>
      <c r="AK75" s="64" t="s">
        <v>413</v>
      </c>
      <c r="AL75" s="4">
        <v>1</v>
      </c>
      <c r="AM75" s="79">
        <v>0.1</v>
      </c>
      <c r="AN75" s="185">
        <v>0</v>
      </c>
      <c r="AO75" s="185">
        <v>0</v>
      </c>
      <c r="AP75" s="85">
        <v>44927</v>
      </c>
      <c r="AQ75" s="85">
        <v>45291</v>
      </c>
      <c r="AR75" s="4">
        <v>365</v>
      </c>
      <c r="AS75" s="4">
        <v>6</v>
      </c>
      <c r="AT75" s="4">
        <v>6</v>
      </c>
      <c r="AU75" s="29" t="s">
        <v>285</v>
      </c>
      <c r="AV75" s="29" t="s">
        <v>286</v>
      </c>
      <c r="AW75" s="29" t="s">
        <v>184</v>
      </c>
      <c r="AX75" s="116">
        <v>15000000</v>
      </c>
      <c r="AY75" s="116">
        <v>0</v>
      </c>
      <c r="AZ75" s="102">
        <f t="shared" si="7"/>
        <v>15000000</v>
      </c>
      <c r="BA75" s="102">
        <v>0</v>
      </c>
      <c r="BB75" s="153">
        <v>-15000000</v>
      </c>
      <c r="BC75" s="153">
        <f t="shared" si="8"/>
        <v>0</v>
      </c>
      <c r="BD75" s="102">
        <v>0</v>
      </c>
      <c r="BE75" s="102">
        <v>0</v>
      </c>
      <c r="BF75" s="102">
        <v>0</v>
      </c>
      <c r="BG75" s="102">
        <f t="shared" si="9"/>
        <v>0</v>
      </c>
      <c r="BH75" s="102">
        <v>0</v>
      </c>
      <c r="BI75" s="102">
        <v>0</v>
      </c>
      <c r="BJ75" s="102">
        <v>0</v>
      </c>
      <c r="BK75" s="102">
        <f t="shared" si="6"/>
        <v>0</v>
      </c>
      <c r="BL75" s="444"/>
      <c r="BM75" s="406"/>
      <c r="BN75" s="436"/>
      <c r="BO75" s="4" t="s">
        <v>108</v>
      </c>
      <c r="BP75" s="436"/>
      <c r="BQ75" s="436"/>
      <c r="BR75" s="436"/>
      <c r="BS75" s="6">
        <v>45200</v>
      </c>
      <c r="BT75" s="4" t="s">
        <v>433</v>
      </c>
      <c r="BU75" s="436"/>
      <c r="BV75" s="436"/>
      <c r="BW75" s="122"/>
      <c r="BX75" s="122" t="s">
        <v>606</v>
      </c>
      <c r="BY75" s="63">
        <f t="shared" si="10"/>
        <v>0</v>
      </c>
    </row>
    <row r="76" spans="1:78" ht="99.75" x14ac:dyDescent="0.25">
      <c r="A76" s="451"/>
      <c r="B76" s="451"/>
      <c r="C76" s="451"/>
      <c r="D76" s="436"/>
      <c r="E76" s="436"/>
      <c r="F76" s="436"/>
      <c r="G76" s="436"/>
      <c r="H76" s="436"/>
      <c r="I76" s="436"/>
      <c r="J76" s="437"/>
      <c r="K76" s="436"/>
      <c r="L76" s="436"/>
      <c r="M76" s="436"/>
      <c r="N76" s="436"/>
      <c r="O76" s="436"/>
      <c r="P76" s="436"/>
      <c r="Q76" s="438"/>
      <c r="R76" s="438"/>
      <c r="S76" s="438"/>
      <c r="T76" s="438"/>
      <c r="U76" s="438"/>
      <c r="V76" s="438"/>
      <c r="W76" s="438"/>
      <c r="X76" s="464"/>
      <c r="Y76" s="464"/>
      <c r="Z76" s="464"/>
      <c r="AA76" s="464"/>
      <c r="AB76" s="438"/>
      <c r="AC76" s="438"/>
      <c r="AD76" s="438"/>
      <c r="AE76" s="438"/>
      <c r="AF76" s="438"/>
      <c r="AG76" s="442"/>
      <c r="AH76" s="442"/>
      <c r="AI76" s="442"/>
      <c r="AJ76" s="64" t="s">
        <v>434</v>
      </c>
      <c r="AK76" s="4" t="s">
        <v>416</v>
      </c>
      <c r="AL76" s="4">
        <v>1</v>
      </c>
      <c r="AM76" s="79">
        <v>0.1</v>
      </c>
      <c r="AN76" s="185">
        <v>0.25</v>
      </c>
      <c r="AO76" s="185">
        <v>0.25</v>
      </c>
      <c r="AP76" s="85">
        <v>44927</v>
      </c>
      <c r="AQ76" s="85">
        <v>45291</v>
      </c>
      <c r="AR76" s="4">
        <v>365</v>
      </c>
      <c r="AS76" s="4">
        <v>6</v>
      </c>
      <c r="AT76" s="4">
        <v>6</v>
      </c>
      <c r="AU76" s="29" t="s">
        <v>285</v>
      </c>
      <c r="AV76" s="29" t="s">
        <v>286</v>
      </c>
      <c r="AW76" s="29" t="s">
        <v>184</v>
      </c>
      <c r="AX76" s="116">
        <v>0</v>
      </c>
      <c r="AY76" s="116">
        <v>0</v>
      </c>
      <c r="AZ76" s="102">
        <f t="shared" si="7"/>
        <v>0</v>
      </c>
      <c r="BA76" s="102">
        <v>0</v>
      </c>
      <c r="BB76" s="102">
        <v>0</v>
      </c>
      <c r="BC76" s="86">
        <f t="shared" si="8"/>
        <v>0</v>
      </c>
      <c r="BD76" s="102">
        <v>0</v>
      </c>
      <c r="BE76" s="102">
        <v>0</v>
      </c>
      <c r="BF76" s="102">
        <v>0</v>
      </c>
      <c r="BG76" s="102">
        <f t="shared" si="9"/>
        <v>0</v>
      </c>
      <c r="BH76" s="102">
        <v>0</v>
      </c>
      <c r="BI76" s="102">
        <v>0</v>
      </c>
      <c r="BJ76" s="102">
        <v>0</v>
      </c>
      <c r="BK76" s="102">
        <f t="shared" si="6"/>
        <v>0</v>
      </c>
      <c r="BL76" s="445"/>
      <c r="BM76" s="407"/>
      <c r="BN76" s="436"/>
      <c r="BO76" s="4" t="s">
        <v>108</v>
      </c>
      <c r="BP76" s="436"/>
      <c r="BQ76" s="436"/>
      <c r="BR76" s="436"/>
      <c r="BS76" s="6">
        <v>44743</v>
      </c>
      <c r="BT76" s="4" t="s">
        <v>417</v>
      </c>
      <c r="BU76" s="436"/>
      <c r="BV76" s="436"/>
      <c r="BW76" s="122"/>
      <c r="BX76" s="122" t="s">
        <v>582</v>
      </c>
      <c r="BY76" s="63">
        <f t="shared" si="10"/>
        <v>0</v>
      </c>
    </row>
    <row r="77" spans="1:78" s="38" customFormat="1" ht="124.15" customHeight="1" x14ac:dyDescent="0.25">
      <c r="A77" s="453" t="s">
        <v>435</v>
      </c>
      <c r="B77" s="454" t="s">
        <v>436</v>
      </c>
      <c r="C77" s="454" t="s">
        <v>437</v>
      </c>
      <c r="D77" s="414" t="s">
        <v>438</v>
      </c>
      <c r="E77" s="417">
        <v>0.08</v>
      </c>
      <c r="F77" s="414" t="s">
        <v>439</v>
      </c>
      <c r="G77" s="414">
        <v>4.5</v>
      </c>
      <c r="H77" s="414" t="s">
        <v>180</v>
      </c>
      <c r="I77" s="414">
        <v>4.5</v>
      </c>
      <c r="J77" s="426" t="s">
        <v>440</v>
      </c>
      <c r="K77" s="435" t="s">
        <v>441</v>
      </c>
      <c r="L77" s="435" t="s">
        <v>442</v>
      </c>
      <c r="M77" s="452">
        <v>931838490672</v>
      </c>
      <c r="N77" s="435" t="s">
        <v>443</v>
      </c>
      <c r="O77" s="33"/>
      <c r="P77" s="33" t="s">
        <v>80</v>
      </c>
      <c r="Q77" s="92" t="s">
        <v>444</v>
      </c>
      <c r="R77" s="433">
        <v>1047261338899</v>
      </c>
      <c r="S77" s="433">
        <v>357537406369</v>
      </c>
      <c r="T77" s="448">
        <v>41154487150</v>
      </c>
      <c r="U77" s="448">
        <v>84329962045</v>
      </c>
      <c r="V77" s="455">
        <v>125554417606</v>
      </c>
      <c r="W77" s="439">
        <f>SUM(T77:V79)</f>
        <v>251038866801</v>
      </c>
      <c r="X77" s="569">
        <v>27826394524</v>
      </c>
      <c r="Y77" s="448">
        <v>9473389549</v>
      </c>
      <c r="Z77" s="570">
        <v>21762581056</v>
      </c>
      <c r="AA77" s="571">
        <f>SUM(X77:Z79)</f>
        <v>59062365129</v>
      </c>
      <c r="AB77" s="434">
        <v>809607984981</v>
      </c>
      <c r="AC77" s="73" t="s">
        <v>445</v>
      </c>
      <c r="AD77" s="93" t="s">
        <v>446</v>
      </c>
      <c r="AE77" s="73" t="s">
        <v>447</v>
      </c>
      <c r="AF77" s="73" t="s">
        <v>448</v>
      </c>
      <c r="AG77" s="414" t="s">
        <v>449</v>
      </c>
      <c r="AH77" s="414" t="s">
        <v>450</v>
      </c>
      <c r="AI77" s="414" t="s">
        <v>451</v>
      </c>
      <c r="AJ77" s="94" t="s">
        <v>563</v>
      </c>
      <c r="AK77" s="117" t="s">
        <v>452</v>
      </c>
      <c r="AL77" s="33">
        <v>1</v>
      </c>
      <c r="AM77" s="97">
        <v>0.1</v>
      </c>
      <c r="AN77" s="191">
        <v>0.25</v>
      </c>
      <c r="AO77" s="191">
        <v>0.25</v>
      </c>
      <c r="AP77" s="95">
        <v>44927</v>
      </c>
      <c r="AQ77" s="95">
        <v>45291</v>
      </c>
      <c r="AR77" s="33">
        <v>365</v>
      </c>
      <c r="AS77" s="96">
        <v>1028736</v>
      </c>
      <c r="AT77" s="96">
        <v>1028736</v>
      </c>
      <c r="AU77" s="96" t="s">
        <v>285</v>
      </c>
      <c r="AV77" s="96" t="s">
        <v>286</v>
      </c>
      <c r="AW77" s="118" t="s">
        <v>184</v>
      </c>
      <c r="AX77" s="119">
        <v>50000000</v>
      </c>
      <c r="AY77" s="160">
        <v>0</v>
      </c>
      <c r="AZ77" s="160">
        <f t="shared" ref="AZ77:AZ86" si="11">AX77+AY77</f>
        <v>50000000</v>
      </c>
      <c r="BA77" s="160">
        <v>0</v>
      </c>
      <c r="BB77" s="102">
        <v>0</v>
      </c>
      <c r="BC77" s="86">
        <f t="shared" si="8"/>
        <v>50000000</v>
      </c>
      <c r="BD77" s="55">
        <v>0</v>
      </c>
      <c r="BE77" s="55">
        <v>0</v>
      </c>
      <c r="BF77" s="55">
        <v>0</v>
      </c>
      <c r="BG77" s="102">
        <f t="shared" si="9"/>
        <v>0</v>
      </c>
      <c r="BH77" s="55">
        <v>0</v>
      </c>
      <c r="BI77" s="55">
        <v>0</v>
      </c>
      <c r="BJ77" s="55">
        <v>0</v>
      </c>
      <c r="BK77" s="102">
        <f t="shared" si="6"/>
        <v>0</v>
      </c>
      <c r="BL77" s="411" t="s">
        <v>566</v>
      </c>
      <c r="BM77" s="411" t="s">
        <v>453</v>
      </c>
      <c r="BN77" s="411" t="s">
        <v>567</v>
      </c>
      <c r="BO77" s="35" t="s">
        <v>108</v>
      </c>
      <c r="BP77" s="35" t="s">
        <v>454</v>
      </c>
      <c r="BQ77" s="35" t="s">
        <v>455</v>
      </c>
      <c r="BR77" s="36" t="s">
        <v>456</v>
      </c>
      <c r="BS77" s="37">
        <v>44927</v>
      </c>
      <c r="BT77" s="30" t="s">
        <v>457</v>
      </c>
      <c r="BU77" s="33" t="s">
        <v>458</v>
      </c>
      <c r="BV77" s="33" t="s">
        <v>459</v>
      </c>
      <c r="BW77" s="122"/>
      <c r="BX77" s="122" t="s">
        <v>582</v>
      </c>
      <c r="BY77" s="63">
        <f t="shared" si="10"/>
        <v>0</v>
      </c>
      <c r="BZ77" s="194">
        <f>(T77+U77+V77+X77+Y77+Z77)/S77</f>
        <v>0.86732528235089612</v>
      </c>
    </row>
    <row r="78" spans="1:78" s="38" customFormat="1" ht="105" customHeight="1" x14ac:dyDescent="0.25">
      <c r="A78" s="453"/>
      <c r="B78" s="454"/>
      <c r="C78" s="454"/>
      <c r="D78" s="416"/>
      <c r="E78" s="419"/>
      <c r="F78" s="416"/>
      <c r="G78" s="416"/>
      <c r="H78" s="416"/>
      <c r="I78" s="416"/>
      <c r="J78" s="427"/>
      <c r="K78" s="435"/>
      <c r="L78" s="435"/>
      <c r="M78" s="452"/>
      <c r="N78" s="435"/>
      <c r="O78" s="33"/>
      <c r="P78" s="33" t="s">
        <v>80</v>
      </c>
      <c r="Q78" s="92" t="s">
        <v>444</v>
      </c>
      <c r="R78" s="433"/>
      <c r="S78" s="433"/>
      <c r="T78" s="448"/>
      <c r="U78" s="448"/>
      <c r="V78" s="455"/>
      <c r="W78" s="440"/>
      <c r="X78" s="569"/>
      <c r="Y78" s="448"/>
      <c r="Z78" s="570"/>
      <c r="AA78" s="464"/>
      <c r="AB78" s="434"/>
      <c r="AC78" s="73"/>
      <c r="AD78" s="93"/>
      <c r="AE78" s="73"/>
      <c r="AF78" s="73"/>
      <c r="AG78" s="415"/>
      <c r="AH78" s="415"/>
      <c r="AI78" s="415"/>
      <c r="AJ78" s="94" t="s">
        <v>460</v>
      </c>
      <c r="AK78" s="117" t="s">
        <v>452</v>
      </c>
      <c r="AL78" s="33">
        <v>1</v>
      </c>
      <c r="AM78" s="97">
        <v>0.1</v>
      </c>
      <c r="AN78" s="191">
        <v>1</v>
      </c>
      <c r="AO78" s="191">
        <v>0</v>
      </c>
      <c r="AP78" s="95">
        <v>44927</v>
      </c>
      <c r="AQ78" s="95">
        <v>45291</v>
      </c>
      <c r="AR78" s="33">
        <v>365</v>
      </c>
      <c r="AS78" s="96">
        <v>1028736</v>
      </c>
      <c r="AT78" s="96">
        <v>1028736</v>
      </c>
      <c r="AU78" s="96" t="s">
        <v>285</v>
      </c>
      <c r="AV78" s="96" t="s">
        <v>286</v>
      </c>
      <c r="AW78" s="118" t="s">
        <v>184</v>
      </c>
      <c r="AX78" s="119">
        <v>0</v>
      </c>
      <c r="AY78" s="161">
        <v>70000000</v>
      </c>
      <c r="AZ78" s="160">
        <f t="shared" si="11"/>
        <v>70000000</v>
      </c>
      <c r="BA78" s="160">
        <v>0</v>
      </c>
      <c r="BB78" s="102">
        <v>0</v>
      </c>
      <c r="BC78" s="86">
        <f t="shared" si="8"/>
        <v>70000000</v>
      </c>
      <c r="BD78" s="55">
        <v>0</v>
      </c>
      <c r="BE78" s="55">
        <v>0</v>
      </c>
      <c r="BF78" s="55">
        <v>0</v>
      </c>
      <c r="BG78" s="102">
        <f t="shared" si="9"/>
        <v>0</v>
      </c>
      <c r="BH78" s="55">
        <v>0</v>
      </c>
      <c r="BI78" s="55">
        <v>0</v>
      </c>
      <c r="BJ78" s="55">
        <v>0</v>
      </c>
      <c r="BK78" s="102">
        <f t="shared" si="6"/>
        <v>0</v>
      </c>
      <c r="BL78" s="412"/>
      <c r="BM78" s="412"/>
      <c r="BN78" s="412"/>
      <c r="BO78" s="35" t="s">
        <v>108</v>
      </c>
      <c r="BP78" s="35" t="s">
        <v>461</v>
      </c>
      <c r="BQ78" s="35" t="s">
        <v>462</v>
      </c>
      <c r="BR78" s="36" t="s">
        <v>456</v>
      </c>
      <c r="BS78" s="37">
        <v>44927</v>
      </c>
      <c r="BT78" s="30" t="s">
        <v>457</v>
      </c>
      <c r="BU78" s="33" t="s">
        <v>458</v>
      </c>
      <c r="BV78" s="33" t="s">
        <v>459</v>
      </c>
      <c r="BW78" s="122"/>
      <c r="BX78" s="122" t="s">
        <v>582</v>
      </c>
      <c r="BY78" s="63">
        <f t="shared" si="10"/>
        <v>0</v>
      </c>
      <c r="BZ78" s="194"/>
    </row>
    <row r="79" spans="1:78" s="38" customFormat="1" ht="80.45" customHeight="1" x14ac:dyDescent="0.25">
      <c r="A79" s="453"/>
      <c r="B79" s="454"/>
      <c r="C79" s="454"/>
      <c r="D79" s="31" t="s">
        <v>463</v>
      </c>
      <c r="E79" s="39">
        <v>0.08</v>
      </c>
      <c r="F79" s="31" t="s">
        <v>464</v>
      </c>
      <c r="G79" s="31">
        <v>3</v>
      </c>
      <c r="H79" s="31" t="s">
        <v>180</v>
      </c>
      <c r="I79" s="31">
        <v>3</v>
      </c>
      <c r="J79" s="427"/>
      <c r="K79" s="435"/>
      <c r="L79" s="435"/>
      <c r="M79" s="452"/>
      <c r="N79" s="435"/>
      <c r="O79" s="33"/>
      <c r="P79" s="33" t="s">
        <v>80</v>
      </c>
      <c r="Q79" s="92" t="s">
        <v>444</v>
      </c>
      <c r="R79" s="433"/>
      <c r="S79" s="433"/>
      <c r="T79" s="448"/>
      <c r="U79" s="448"/>
      <c r="V79" s="455"/>
      <c r="W79" s="441"/>
      <c r="X79" s="569"/>
      <c r="Y79" s="448"/>
      <c r="Z79" s="570"/>
      <c r="AA79" s="464"/>
      <c r="AB79" s="434"/>
      <c r="AC79" s="73" t="s">
        <v>445</v>
      </c>
      <c r="AD79" s="93" t="s">
        <v>446</v>
      </c>
      <c r="AE79" s="73" t="s">
        <v>447</v>
      </c>
      <c r="AF79" s="73" t="s">
        <v>448</v>
      </c>
      <c r="AG79" s="415"/>
      <c r="AH79" s="415"/>
      <c r="AI79" s="415"/>
      <c r="AJ79" s="94" t="s">
        <v>465</v>
      </c>
      <c r="AK79" s="92" t="s">
        <v>466</v>
      </c>
      <c r="AL79" s="33">
        <v>1</v>
      </c>
      <c r="AM79" s="97">
        <v>0.1</v>
      </c>
      <c r="AN79" s="191">
        <v>0.25</v>
      </c>
      <c r="AO79" s="191">
        <v>0.25</v>
      </c>
      <c r="AP79" s="95">
        <v>44927</v>
      </c>
      <c r="AQ79" s="95">
        <v>45291</v>
      </c>
      <c r="AR79" s="33">
        <v>365</v>
      </c>
      <c r="AS79" s="96">
        <v>1028736</v>
      </c>
      <c r="AT79" s="96">
        <v>1028736</v>
      </c>
      <c r="AU79" s="96" t="s">
        <v>285</v>
      </c>
      <c r="AV79" s="96" t="s">
        <v>286</v>
      </c>
      <c r="AW79" s="29" t="s">
        <v>184</v>
      </c>
      <c r="AX79" s="98">
        <v>8968000000</v>
      </c>
      <c r="AY79" s="98">
        <v>0</v>
      </c>
      <c r="AZ79" s="98">
        <f t="shared" si="11"/>
        <v>8968000000</v>
      </c>
      <c r="BA79" s="98">
        <v>0</v>
      </c>
      <c r="BB79" s="102">
        <v>0</v>
      </c>
      <c r="BC79" s="86">
        <f t="shared" si="8"/>
        <v>8968000000</v>
      </c>
      <c r="BD79" s="40">
        <v>0</v>
      </c>
      <c r="BE79" s="98">
        <v>3700000</v>
      </c>
      <c r="BF79" s="98">
        <v>3596300000</v>
      </c>
      <c r="BG79" s="102">
        <f>SUM(BD79:BF79)</f>
        <v>3600000000</v>
      </c>
      <c r="BH79" s="180" t="s">
        <v>610</v>
      </c>
      <c r="BI79" s="181" t="s">
        <v>610</v>
      </c>
      <c r="BJ79" s="181" t="s">
        <v>610</v>
      </c>
      <c r="BK79" s="179">
        <v>2552814228</v>
      </c>
      <c r="BL79" s="412"/>
      <c r="BM79" s="412"/>
      <c r="BN79" s="412"/>
      <c r="BO79" s="40" t="s">
        <v>108</v>
      </c>
      <c r="BP79" s="41" t="s">
        <v>467</v>
      </c>
      <c r="BQ79" s="41" t="s">
        <v>455</v>
      </c>
      <c r="BR79" s="41" t="s">
        <v>456</v>
      </c>
      <c r="BS79" s="42">
        <v>44927</v>
      </c>
      <c r="BT79" s="33" t="s">
        <v>468</v>
      </c>
      <c r="BU79" s="33" t="s">
        <v>469</v>
      </c>
      <c r="BV79" s="33" t="s">
        <v>459</v>
      </c>
      <c r="BW79" s="125"/>
      <c r="BX79" s="122" t="s">
        <v>582</v>
      </c>
      <c r="BY79" s="63">
        <f t="shared" si="10"/>
        <v>6152814228</v>
      </c>
      <c r="BZ79" s="194"/>
    </row>
    <row r="80" spans="1:78" s="38" customFormat="1" ht="183" customHeight="1" x14ac:dyDescent="0.25">
      <c r="A80" s="453"/>
      <c r="B80" s="454"/>
      <c r="C80" s="454"/>
      <c r="D80" s="31" t="s">
        <v>470</v>
      </c>
      <c r="E80" s="39">
        <v>7.0000000000000007E-2</v>
      </c>
      <c r="F80" s="31" t="s">
        <v>471</v>
      </c>
      <c r="G80" s="31">
        <v>4.5</v>
      </c>
      <c r="H80" s="31" t="s">
        <v>180</v>
      </c>
      <c r="I80" s="31">
        <v>4.5</v>
      </c>
      <c r="J80" s="427"/>
      <c r="K80" s="31" t="s">
        <v>472</v>
      </c>
      <c r="L80" s="31" t="s">
        <v>442</v>
      </c>
      <c r="M80" s="32">
        <v>1052980949605</v>
      </c>
      <c r="N80" s="31" t="s">
        <v>473</v>
      </c>
      <c r="O80" s="33"/>
      <c r="P80" s="33" t="s">
        <v>80</v>
      </c>
      <c r="Q80" s="92" t="s">
        <v>444</v>
      </c>
      <c r="R80" s="47">
        <v>1189376917533</v>
      </c>
      <c r="S80" s="47">
        <v>443909637139</v>
      </c>
      <c r="T80" s="134">
        <f>78172665940+841651466</f>
        <v>79014317406</v>
      </c>
      <c r="U80" s="134">
        <f>4183479097+4700670048</f>
        <v>8884149145</v>
      </c>
      <c r="V80" s="135">
        <f>1130902354+108714034055</f>
        <v>109844936409</v>
      </c>
      <c r="W80" s="75">
        <f>SUM(T80:V80)</f>
        <v>197743402960</v>
      </c>
      <c r="X80" s="136">
        <f>544495214+44776808788</f>
        <v>45321304002</v>
      </c>
      <c r="Y80" s="134">
        <f>850869856+125283706320</f>
        <v>126134576176</v>
      </c>
      <c r="Z80" s="141">
        <f>796463519+3237414899</f>
        <v>4033878418</v>
      </c>
      <c r="AA80" s="150">
        <f>SUM(X80:Z80)</f>
        <v>175489758596</v>
      </c>
      <c r="AB80" s="34">
        <v>1136632216206</v>
      </c>
      <c r="AC80" s="73" t="s">
        <v>445</v>
      </c>
      <c r="AD80" s="93" t="s">
        <v>446</v>
      </c>
      <c r="AE80" s="73" t="s">
        <v>447</v>
      </c>
      <c r="AF80" s="73" t="s">
        <v>448</v>
      </c>
      <c r="AG80" s="415"/>
      <c r="AH80" s="415"/>
      <c r="AI80" s="415"/>
      <c r="AJ80" s="193" t="s">
        <v>474</v>
      </c>
      <c r="AK80" s="64" t="s">
        <v>475</v>
      </c>
      <c r="AL80" s="33">
        <v>1</v>
      </c>
      <c r="AM80" s="97">
        <v>0.15</v>
      </c>
      <c r="AN80" s="191">
        <v>0.25</v>
      </c>
      <c r="AO80" s="191">
        <v>0.25</v>
      </c>
      <c r="AP80" s="95">
        <v>44927</v>
      </c>
      <c r="AQ80" s="95">
        <v>45291</v>
      </c>
      <c r="AR80" s="33">
        <v>365</v>
      </c>
      <c r="AS80" s="96">
        <v>1028736</v>
      </c>
      <c r="AT80" s="96">
        <v>1028736</v>
      </c>
      <c r="AU80" s="96" t="s">
        <v>285</v>
      </c>
      <c r="AV80" s="96" t="s">
        <v>286</v>
      </c>
      <c r="AW80" s="33" t="s">
        <v>184</v>
      </c>
      <c r="AX80" s="49">
        <v>70000000</v>
      </c>
      <c r="AY80" s="55">
        <v>0</v>
      </c>
      <c r="AZ80" s="55">
        <f t="shared" si="11"/>
        <v>70000000</v>
      </c>
      <c r="BA80" s="55">
        <v>0</v>
      </c>
      <c r="BB80" s="102">
        <v>0</v>
      </c>
      <c r="BC80" s="86">
        <f t="shared" si="8"/>
        <v>70000000</v>
      </c>
      <c r="BD80" s="55">
        <v>0</v>
      </c>
      <c r="BE80" s="55">
        <v>0</v>
      </c>
      <c r="BF80" s="55">
        <v>0</v>
      </c>
      <c r="BG80" s="102">
        <f t="shared" si="9"/>
        <v>0</v>
      </c>
      <c r="BH80" s="55">
        <v>0</v>
      </c>
      <c r="BI80" s="55">
        <v>0</v>
      </c>
      <c r="BJ80" s="55">
        <v>0</v>
      </c>
      <c r="BK80" s="102">
        <f t="shared" si="6"/>
        <v>0</v>
      </c>
      <c r="BL80" s="412"/>
      <c r="BM80" s="412"/>
      <c r="BN80" s="412"/>
      <c r="BO80" s="43" t="s">
        <v>108</v>
      </c>
      <c r="BP80" s="43" t="s">
        <v>476</v>
      </c>
      <c r="BQ80" s="44" t="s">
        <v>477</v>
      </c>
      <c r="BR80" s="45" t="s">
        <v>456</v>
      </c>
      <c r="BS80" s="46">
        <v>44927</v>
      </c>
      <c r="BT80" s="30" t="s">
        <v>457</v>
      </c>
      <c r="BU80" s="33" t="s">
        <v>469</v>
      </c>
      <c r="BV80" s="33" t="s">
        <v>459</v>
      </c>
      <c r="BW80" s="122"/>
      <c r="BX80" s="122" t="s">
        <v>582</v>
      </c>
      <c r="BY80" s="63">
        <f t="shared" si="10"/>
        <v>0</v>
      </c>
      <c r="BZ80" s="194">
        <f t="shared" ref="BZ80:BZ85" si="12">(T80+U80+V80+X80+Y80+Z80)/S80</f>
        <v>0.84078634553079257</v>
      </c>
    </row>
    <row r="81" spans="1:78" s="38" customFormat="1" ht="100.15" customHeight="1" x14ac:dyDescent="0.25">
      <c r="A81" s="453"/>
      <c r="B81" s="454"/>
      <c r="C81" s="454"/>
      <c r="D81" s="31" t="s">
        <v>478</v>
      </c>
      <c r="E81" s="39">
        <v>0.11</v>
      </c>
      <c r="F81" s="31" t="s">
        <v>479</v>
      </c>
      <c r="G81" s="31">
        <v>5</v>
      </c>
      <c r="H81" s="31" t="s">
        <v>180</v>
      </c>
      <c r="I81" s="31">
        <v>5</v>
      </c>
      <c r="J81" s="427"/>
      <c r="K81" s="31" t="s">
        <v>480</v>
      </c>
      <c r="L81" s="31" t="s">
        <v>442</v>
      </c>
      <c r="M81" s="32">
        <v>33340137211</v>
      </c>
      <c r="N81" s="31" t="s">
        <v>481</v>
      </c>
      <c r="O81" s="33"/>
      <c r="P81" s="33" t="s">
        <v>80</v>
      </c>
      <c r="Q81" s="92" t="s">
        <v>444</v>
      </c>
      <c r="R81" s="47">
        <v>14454734972</v>
      </c>
      <c r="S81" s="47">
        <v>6875590435</v>
      </c>
      <c r="T81" s="134">
        <v>209729000</v>
      </c>
      <c r="U81" s="134">
        <v>1204551000</v>
      </c>
      <c r="V81" s="138">
        <v>438365000</v>
      </c>
      <c r="W81" s="76">
        <f t="shared" ref="W81:W86" si="13">SUM(T81:V81)</f>
        <v>1852645000</v>
      </c>
      <c r="X81" s="136">
        <v>1001191000</v>
      </c>
      <c r="Y81" s="134">
        <v>733475000</v>
      </c>
      <c r="Z81" s="141"/>
      <c r="AA81" s="151">
        <f t="shared" ref="AA81:AA83" si="14">SUM(X81:Z81)</f>
        <v>1734666000</v>
      </c>
      <c r="AB81" s="34">
        <v>24301002803</v>
      </c>
      <c r="AC81" s="73" t="s">
        <v>445</v>
      </c>
      <c r="AD81" s="93" t="s">
        <v>446</v>
      </c>
      <c r="AE81" s="73" t="s">
        <v>447</v>
      </c>
      <c r="AF81" s="73" t="s">
        <v>448</v>
      </c>
      <c r="AG81" s="415"/>
      <c r="AH81" s="415"/>
      <c r="AI81" s="415"/>
      <c r="AJ81" s="31" t="s">
        <v>482</v>
      </c>
      <c r="AK81" s="117" t="s">
        <v>483</v>
      </c>
      <c r="AL81" s="33">
        <v>1</v>
      </c>
      <c r="AM81" s="97">
        <v>0.15</v>
      </c>
      <c r="AN81" s="191">
        <v>0.25</v>
      </c>
      <c r="AO81" s="191">
        <v>0.25</v>
      </c>
      <c r="AP81" s="95">
        <v>44927</v>
      </c>
      <c r="AQ81" s="95">
        <v>45291</v>
      </c>
      <c r="AR81" s="33">
        <v>365</v>
      </c>
      <c r="AS81" s="96">
        <v>1028736</v>
      </c>
      <c r="AT81" s="96">
        <v>1028736</v>
      </c>
      <c r="AU81" s="96" t="s">
        <v>285</v>
      </c>
      <c r="AV81" s="96" t="s">
        <v>286</v>
      </c>
      <c r="AW81" s="29" t="s">
        <v>184</v>
      </c>
      <c r="AX81" s="98">
        <v>2009341586</v>
      </c>
      <c r="AY81" s="162">
        <v>1748941118</v>
      </c>
      <c r="AZ81" s="98">
        <f t="shared" si="11"/>
        <v>3758282704</v>
      </c>
      <c r="BA81" s="162">
        <v>5556641666.04</v>
      </c>
      <c r="BB81" s="102">
        <v>0</v>
      </c>
      <c r="BC81" s="152">
        <f t="shared" si="8"/>
        <v>9314924370.0400009</v>
      </c>
      <c r="BD81" s="40">
        <v>0</v>
      </c>
      <c r="BE81" s="40">
        <v>0</v>
      </c>
      <c r="BF81" s="98">
        <v>870210000</v>
      </c>
      <c r="BG81" s="102">
        <f t="shared" si="9"/>
        <v>870210000</v>
      </c>
      <c r="BH81" s="176" t="s">
        <v>610</v>
      </c>
      <c r="BI81" s="177" t="s">
        <v>610</v>
      </c>
      <c r="BJ81" s="178" t="s">
        <v>610</v>
      </c>
      <c r="BK81" s="179">
        <v>2383241666</v>
      </c>
      <c r="BL81" s="412"/>
      <c r="BM81" s="412"/>
      <c r="BN81" s="412"/>
      <c r="BO81" s="40" t="s">
        <v>108</v>
      </c>
      <c r="BP81" s="41" t="s">
        <v>484</v>
      </c>
      <c r="BQ81" s="44" t="s">
        <v>455</v>
      </c>
      <c r="BR81" s="41" t="s">
        <v>456</v>
      </c>
      <c r="BS81" s="48">
        <v>44927</v>
      </c>
      <c r="BT81" s="30" t="s">
        <v>457</v>
      </c>
      <c r="BU81" s="33" t="s">
        <v>469</v>
      </c>
      <c r="BV81" s="33" t="s">
        <v>459</v>
      </c>
      <c r="BW81" s="122" t="s">
        <v>538</v>
      </c>
      <c r="BX81" s="122" t="s">
        <v>607</v>
      </c>
      <c r="BY81" s="63">
        <f t="shared" si="10"/>
        <v>3253451666</v>
      </c>
      <c r="BZ81" s="194">
        <f>(T81+U81+V81+X81+Y81+Z81)/S81</f>
        <v>0.52174588261378896</v>
      </c>
    </row>
    <row r="82" spans="1:78" s="38" customFormat="1" ht="135" customHeight="1" x14ac:dyDescent="0.25">
      <c r="A82" s="453"/>
      <c r="B82" s="454"/>
      <c r="C82" s="454"/>
      <c r="D82" s="31" t="s">
        <v>485</v>
      </c>
      <c r="E82" s="39">
        <v>7.0000000000000007E-2</v>
      </c>
      <c r="F82" s="31" t="s">
        <v>486</v>
      </c>
      <c r="G82" s="31">
        <v>5</v>
      </c>
      <c r="H82" s="31" t="s">
        <v>180</v>
      </c>
      <c r="I82" s="31">
        <v>5</v>
      </c>
      <c r="J82" s="427"/>
      <c r="K82" s="31" t="s">
        <v>487</v>
      </c>
      <c r="L82" s="31" t="s">
        <v>442</v>
      </c>
      <c r="M82" s="32">
        <v>141298575616</v>
      </c>
      <c r="N82" s="31" t="s">
        <v>488</v>
      </c>
      <c r="O82" s="33"/>
      <c r="P82" s="33" t="s">
        <v>80</v>
      </c>
      <c r="Q82" s="92" t="s">
        <v>444</v>
      </c>
      <c r="R82" s="47">
        <v>176659841306</v>
      </c>
      <c r="S82" s="47">
        <v>47769293020</v>
      </c>
      <c r="T82" s="134">
        <v>4813167000</v>
      </c>
      <c r="U82" s="134">
        <v>4543363000</v>
      </c>
      <c r="V82" s="138">
        <v>4862819000</v>
      </c>
      <c r="W82" s="76">
        <f t="shared" si="13"/>
        <v>14219349000</v>
      </c>
      <c r="X82" s="136">
        <v>4704580000</v>
      </c>
      <c r="Y82" s="134">
        <v>4773935000</v>
      </c>
      <c r="Z82" s="141"/>
      <c r="AA82" s="151">
        <f t="shared" si="14"/>
        <v>9478515000</v>
      </c>
      <c r="AB82" s="34">
        <v>115679876853</v>
      </c>
      <c r="AC82" s="73" t="s">
        <v>445</v>
      </c>
      <c r="AD82" s="93" t="s">
        <v>446</v>
      </c>
      <c r="AE82" s="73" t="s">
        <v>447</v>
      </c>
      <c r="AF82" s="73" t="s">
        <v>448</v>
      </c>
      <c r="AG82" s="415"/>
      <c r="AH82" s="415"/>
      <c r="AI82" s="415"/>
      <c r="AJ82" s="31" t="s">
        <v>489</v>
      </c>
      <c r="AK82" s="117" t="s">
        <v>490</v>
      </c>
      <c r="AL82" s="33">
        <v>1</v>
      </c>
      <c r="AM82" s="97">
        <v>0.1</v>
      </c>
      <c r="AN82" s="191">
        <v>0.25</v>
      </c>
      <c r="AO82" s="191">
        <v>0.25</v>
      </c>
      <c r="AP82" s="95">
        <v>44927</v>
      </c>
      <c r="AQ82" s="95">
        <v>45291</v>
      </c>
      <c r="AR82" s="33">
        <v>365</v>
      </c>
      <c r="AS82" s="96">
        <v>1028736</v>
      </c>
      <c r="AT82" s="96">
        <v>1028736</v>
      </c>
      <c r="AU82" s="96" t="s">
        <v>285</v>
      </c>
      <c r="AV82" s="96" t="s">
        <v>286</v>
      </c>
      <c r="AW82" s="29" t="s">
        <v>184</v>
      </c>
      <c r="AX82" s="49">
        <v>95000000</v>
      </c>
      <c r="AY82" s="163">
        <v>-95000000</v>
      </c>
      <c r="AZ82" s="55">
        <f t="shared" si="11"/>
        <v>0</v>
      </c>
      <c r="BA82" s="55">
        <v>0</v>
      </c>
      <c r="BB82" s="102">
        <v>0</v>
      </c>
      <c r="BC82" s="86">
        <f t="shared" si="8"/>
        <v>0</v>
      </c>
      <c r="BD82" s="55">
        <v>0</v>
      </c>
      <c r="BE82" s="55">
        <v>0</v>
      </c>
      <c r="BF82" s="55">
        <v>0</v>
      </c>
      <c r="BG82" s="102">
        <f t="shared" si="9"/>
        <v>0</v>
      </c>
      <c r="BH82" s="55">
        <v>0</v>
      </c>
      <c r="BI82" s="55">
        <v>0</v>
      </c>
      <c r="BJ82" s="55">
        <v>0</v>
      </c>
      <c r="BK82" s="102">
        <f t="shared" si="6"/>
        <v>0</v>
      </c>
      <c r="BL82" s="412"/>
      <c r="BM82" s="412"/>
      <c r="BN82" s="412"/>
      <c r="BO82" s="35" t="s">
        <v>108</v>
      </c>
      <c r="BP82" s="35" t="s">
        <v>491</v>
      </c>
      <c r="BQ82" s="50"/>
      <c r="BR82" s="35" t="s">
        <v>456</v>
      </c>
      <c r="BS82" s="42">
        <v>44927</v>
      </c>
      <c r="BT82" s="33" t="s">
        <v>492</v>
      </c>
      <c r="BU82" s="33" t="s">
        <v>469</v>
      </c>
      <c r="BV82" s="33" t="s">
        <v>459</v>
      </c>
      <c r="BW82" s="122" t="s">
        <v>538</v>
      </c>
      <c r="BX82" s="122" t="s">
        <v>608</v>
      </c>
      <c r="BY82" s="63">
        <f t="shared" si="10"/>
        <v>0</v>
      </c>
      <c r="BZ82" s="194">
        <f t="shared" si="12"/>
        <v>0.49608990424200339</v>
      </c>
    </row>
    <row r="83" spans="1:78" s="38" customFormat="1" ht="145.15" customHeight="1" x14ac:dyDescent="0.25">
      <c r="A83" s="453"/>
      <c r="B83" s="454"/>
      <c r="C83" s="454"/>
      <c r="D83" s="414" t="s">
        <v>493</v>
      </c>
      <c r="E83" s="417">
        <v>0</v>
      </c>
      <c r="F83" s="414" t="s">
        <v>494</v>
      </c>
      <c r="G83" s="414">
        <v>100</v>
      </c>
      <c r="H83" s="414" t="s">
        <v>180</v>
      </c>
      <c r="I83" s="414">
        <v>100</v>
      </c>
      <c r="J83" s="427"/>
      <c r="K83" s="31" t="s">
        <v>495</v>
      </c>
      <c r="L83" s="31" t="s">
        <v>76</v>
      </c>
      <c r="M83" s="31">
        <v>0</v>
      </c>
      <c r="N83" s="31" t="s">
        <v>496</v>
      </c>
      <c r="O83" s="33"/>
      <c r="P83" s="33" t="s">
        <v>80</v>
      </c>
      <c r="Q83" s="92" t="s">
        <v>497</v>
      </c>
      <c r="R83" s="51">
        <v>1</v>
      </c>
      <c r="S83" s="51">
        <v>0.5</v>
      </c>
      <c r="T83" s="51">
        <v>0</v>
      </c>
      <c r="U83" s="51">
        <v>0</v>
      </c>
      <c r="V83" s="51">
        <v>0</v>
      </c>
      <c r="W83" s="71">
        <f t="shared" si="13"/>
        <v>0</v>
      </c>
      <c r="X83" s="171">
        <v>0</v>
      </c>
      <c r="Y83" s="171">
        <v>0</v>
      </c>
      <c r="Z83" s="171">
        <v>0</v>
      </c>
      <c r="AA83" s="166">
        <f t="shared" si="14"/>
        <v>0</v>
      </c>
      <c r="AB83" s="51">
        <v>0.5</v>
      </c>
      <c r="AC83" s="73" t="s">
        <v>445</v>
      </c>
      <c r="AD83" s="93" t="s">
        <v>446</v>
      </c>
      <c r="AE83" s="73" t="s">
        <v>447</v>
      </c>
      <c r="AF83" s="73" t="s">
        <v>448</v>
      </c>
      <c r="AG83" s="415"/>
      <c r="AH83" s="415"/>
      <c r="AI83" s="415"/>
      <c r="AJ83" s="31" t="s">
        <v>498</v>
      </c>
      <c r="AK83" s="64" t="s">
        <v>499</v>
      </c>
      <c r="AL83" s="33">
        <v>1</v>
      </c>
      <c r="AM83" s="97">
        <v>0.15</v>
      </c>
      <c r="AN83" s="191">
        <v>0</v>
      </c>
      <c r="AO83" s="191">
        <v>0</v>
      </c>
      <c r="AP83" s="95">
        <v>44927</v>
      </c>
      <c r="AQ83" s="95">
        <v>45291</v>
      </c>
      <c r="AR83" s="33">
        <v>365</v>
      </c>
      <c r="AS83" s="96">
        <v>1028736</v>
      </c>
      <c r="AT83" s="96">
        <v>1028736</v>
      </c>
      <c r="AU83" s="96" t="s">
        <v>285</v>
      </c>
      <c r="AV83" s="96" t="s">
        <v>286</v>
      </c>
      <c r="AW83" s="29" t="s">
        <v>184</v>
      </c>
      <c r="AX83" s="49">
        <v>0</v>
      </c>
      <c r="AY83" s="55">
        <v>0</v>
      </c>
      <c r="AZ83" s="55">
        <f t="shared" si="11"/>
        <v>0</v>
      </c>
      <c r="BA83" s="55">
        <v>0</v>
      </c>
      <c r="BB83" s="102">
        <v>0</v>
      </c>
      <c r="BC83" s="86">
        <f t="shared" si="8"/>
        <v>0</v>
      </c>
      <c r="BD83" s="55">
        <v>0</v>
      </c>
      <c r="BE83" s="55">
        <v>0</v>
      </c>
      <c r="BF83" s="55">
        <v>0</v>
      </c>
      <c r="BG83" s="102">
        <f t="shared" si="9"/>
        <v>0</v>
      </c>
      <c r="BH83" s="55">
        <v>0</v>
      </c>
      <c r="BI83" s="55">
        <v>0</v>
      </c>
      <c r="BJ83" s="55">
        <v>0</v>
      </c>
      <c r="BK83" s="102">
        <f t="shared" si="6"/>
        <v>0</v>
      </c>
      <c r="BL83" s="412"/>
      <c r="BM83" s="412"/>
      <c r="BN83" s="412"/>
      <c r="BO83" s="35" t="s">
        <v>108</v>
      </c>
      <c r="BP83" s="52" t="s">
        <v>500</v>
      </c>
      <c r="BQ83" s="35" t="s">
        <v>501</v>
      </c>
      <c r="BR83" s="35" t="s">
        <v>456</v>
      </c>
      <c r="BS83" s="53">
        <v>2022</v>
      </c>
      <c r="BT83" s="33" t="s">
        <v>502</v>
      </c>
      <c r="BU83" s="33" t="s">
        <v>469</v>
      </c>
      <c r="BV83" s="33" t="s">
        <v>459</v>
      </c>
      <c r="BW83" s="122" t="s">
        <v>553</v>
      </c>
      <c r="BX83" s="122" t="s">
        <v>582</v>
      </c>
      <c r="BY83" s="63">
        <f t="shared" si="10"/>
        <v>0</v>
      </c>
      <c r="BZ83" s="194">
        <f t="shared" si="12"/>
        <v>0</v>
      </c>
    </row>
    <row r="84" spans="1:78" s="38" customFormat="1" ht="151.15" customHeight="1" x14ac:dyDescent="0.25">
      <c r="A84" s="453"/>
      <c r="B84" s="454"/>
      <c r="C84" s="454"/>
      <c r="D84" s="415"/>
      <c r="E84" s="418"/>
      <c r="F84" s="415"/>
      <c r="G84" s="415"/>
      <c r="H84" s="415"/>
      <c r="I84" s="415"/>
      <c r="J84" s="427"/>
      <c r="K84" s="414" t="s">
        <v>503</v>
      </c>
      <c r="L84" s="414" t="s">
        <v>76</v>
      </c>
      <c r="M84" s="414">
        <v>0</v>
      </c>
      <c r="N84" s="414" t="s">
        <v>504</v>
      </c>
      <c r="O84" s="411"/>
      <c r="P84" s="411" t="s">
        <v>80</v>
      </c>
      <c r="Q84" s="420" t="s">
        <v>505</v>
      </c>
      <c r="R84" s="429">
        <v>3</v>
      </c>
      <c r="S84" s="429">
        <v>1</v>
      </c>
      <c r="T84" s="429">
        <v>3</v>
      </c>
      <c r="U84" s="429">
        <v>3</v>
      </c>
      <c r="V84" s="429">
        <v>3</v>
      </c>
      <c r="W84" s="446">
        <v>3</v>
      </c>
      <c r="X84" s="561">
        <v>3</v>
      </c>
      <c r="Y84" s="561">
        <v>3</v>
      </c>
      <c r="Z84" s="561">
        <v>3</v>
      </c>
      <c r="AA84" s="563">
        <v>3</v>
      </c>
      <c r="AB84" s="429">
        <v>5</v>
      </c>
      <c r="AC84" s="422" t="s">
        <v>445</v>
      </c>
      <c r="AD84" s="424" t="s">
        <v>446</v>
      </c>
      <c r="AE84" s="422" t="s">
        <v>447</v>
      </c>
      <c r="AF84" s="422" t="s">
        <v>448</v>
      </c>
      <c r="AG84" s="415"/>
      <c r="AH84" s="415"/>
      <c r="AI84" s="415"/>
      <c r="AJ84" s="31" t="s">
        <v>506</v>
      </c>
      <c r="AK84" s="92" t="s">
        <v>475</v>
      </c>
      <c r="AL84" s="33">
        <v>1</v>
      </c>
      <c r="AM84" s="97">
        <v>0.05</v>
      </c>
      <c r="AN84" s="191">
        <v>0.25</v>
      </c>
      <c r="AO84" s="191">
        <v>0.25</v>
      </c>
      <c r="AP84" s="95">
        <v>44927</v>
      </c>
      <c r="AQ84" s="95">
        <v>45291</v>
      </c>
      <c r="AR84" s="33">
        <v>365</v>
      </c>
      <c r="AS84" s="96">
        <v>1028736</v>
      </c>
      <c r="AT84" s="96">
        <v>1028736</v>
      </c>
      <c r="AU84" s="96" t="s">
        <v>285</v>
      </c>
      <c r="AV84" s="96" t="s">
        <v>286</v>
      </c>
      <c r="AW84" s="29" t="s">
        <v>184</v>
      </c>
      <c r="AX84" s="49">
        <v>741635168</v>
      </c>
      <c r="AY84" s="164">
        <v>131364832</v>
      </c>
      <c r="AZ84" s="55">
        <f t="shared" si="11"/>
        <v>873000000</v>
      </c>
      <c r="BA84" s="55">
        <v>0</v>
      </c>
      <c r="BB84" s="152">
        <v>39000000</v>
      </c>
      <c r="BC84" s="152">
        <f t="shared" si="8"/>
        <v>912000000</v>
      </c>
      <c r="BD84" s="55">
        <v>0</v>
      </c>
      <c r="BE84" s="55">
        <v>0</v>
      </c>
      <c r="BF84" s="55">
        <v>0</v>
      </c>
      <c r="BG84" s="102">
        <f t="shared" si="9"/>
        <v>0</v>
      </c>
      <c r="BH84" s="55">
        <v>0</v>
      </c>
      <c r="BI84" s="55">
        <v>0</v>
      </c>
      <c r="BJ84" s="55">
        <v>0</v>
      </c>
      <c r="BK84" s="102">
        <f t="shared" si="6"/>
        <v>0</v>
      </c>
      <c r="BL84" s="412"/>
      <c r="BM84" s="412"/>
      <c r="BN84" s="412"/>
      <c r="BO84" s="35" t="s">
        <v>108</v>
      </c>
      <c r="BP84" s="35" t="s">
        <v>507</v>
      </c>
      <c r="BQ84" s="35" t="s">
        <v>455</v>
      </c>
      <c r="BR84" s="35" t="s">
        <v>456</v>
      </c>
      <c r="BS84" s="42">
        <v>44927</v>
      </c>
      <c r="BT84" s="33" t="s">
        <v>468</v>
      </c>
      <c r="BU84" s="33" t="s">
        <v>469</v>
      </c>
      <c r="BV84" s="33" t="s">
        <v>459</v>
      </c>
      <c r="BW84" s="122"/>
      <c r="BX84" s="122" t="s">
        <v>582</v>
      </c>
      <c r="BY84" s="63">
        <f t="shared" si="10"/>
        <v>0</v>
      </c>
      <c r="BZ84" s="194">
        <f t="shared" si="12"/>
        <v>18</v>
      </c>
    </row>
    <row r="85" spans="1:78" s="38" customFormat="1" ht="141" customHeight="1" x14ac:dyDescent="0.25">
      <c r="A85" s="453"/>
      <c r="B85" s="454"/>
      <c r="C85" s="454"/>
      <c r="D85" s="416"/>
      <c r="E85" s="419"/>
      <c r="F85" s="416"/>
      <c r="G85" s="416"/>
      <c r="H85" s="416"/>
      <c r="I85" s="416"/>
      <c r="J85" s="428"/>
      <c r="K85" s="416"/>
      <c r="L85" s="416"/>
      <c r="M85" s="416"/>
      <c r="N85" s="416"/>
      <c r="O85" s="413"/>
      <c r="P85" s="413"/>
      <c r="Q85" s="421"/>
      <c r="R85" s="430"/>
      <c r="S85" s="430"/>
      <c r="T85" s="430"/>
      <c r="U85" s="430"/>
      <c r="V85" s="430"/>
      <c r="W85" s="447"/>
      <c r="X85" s="562"/>
      <c r="Y85" s="562"/>
      <c r="Z85" s="562"/>
      <c r="AA85" s="564"/>
      <c r="AB85" s="430"/>
      <c r="AC85" s="423"/>
      <c r="AD85" s="425"/>
      <c r="AE85" s="423"/>
      <c r="AF85" s="423"/>
      <c r="AG85" s="416"/>
      <c r="AH85" s="416"/>
      <c r="AI85" s="416"/>
      <c r="AJ85" s="31" t="s">
        <v>564</v>
      </c>
      <c r="AK85" s="92" t="s">
        <v>475</v>
      </c>
      <c r="AL85" s="33">
        <v>1</v>
      </c>
      <c r="AM85" s="97">
        <v>0.1</v>
      </c>
      <c r="AN85" s="191">
        <v>0.25</v>
      </c>
      <c r="AO85" s="191">
        <v>0.25</v>
      </c>
      <c r="AP85" s="95">
        <v>45078</v>
      </c>
      <c r="AQ85" s="95">
        <v>45291</v>
      </c>
      <c r="AR85" s="33">
        <f>AQ85-AP85</f>
        <v>213</v>
      </c>
      <c r="AS85" s="96">
        <v>1028736</v>
      </c>
      <c r="AT85" s="96">
        <v>1028736</v>
      </c>
      <c r="AU85" s="96" t="s">
        <v>285</v>
      </c>
      <c r="AV85" s="96" t="s">
        <v>286</v>
      </c>
      <c r="AW85" s="29" t="s">
        <v>184</v>
      </c>
      <c r="AX85" s="49">
        <v>0</v>
      </c>
      <c r="AY85" s="49">
        <v>0</v>
      </c>
      <c r="AZ85" s="55">
        <v>0</v>
      </c>
      <c r="BA85" s="162">
        <v>1933589199</v>
      </c>
      <c r="BB85" s="102">
        <v>0</v>
      </c>
      <c r="BC85" s="152">
        <f t="shared" si="8"/>
        <v>1933589199</v>
      </c>
      <c r="BD85" s="55">
        <v>0</v>
      </c>
      <c r="BE85" s="55">
        <v>0</v>
      </c>
      <c r="BF85" s="55">
        <v>0</v>
      </c>
      <c r="BG85" s="102">
        <f t="shared" ref="BG85" si="15">SUM(BD85:BF85)</f>
        <v>0</v>
      </c>
      <c r="BH85" s="55">
        <v>0</v>
      </c>
      <c r="BI85" s="55">
        <v>0</v>
      </c>
      <c r="BJ85" s="55">
        <v>0</v>
      </c>
      <c r="BK85" s="102">
        <f t="shared" si="6"/>
        <v>0</v>
      </c>
      <c r="BL85" s="413"/>
      <c r="BM85" s="413"/>
      <c r="BN85" s="413"/>
      <c r="BO85" s="147"/>
      <c r="BP85" s="147"/>
      <c r="BQ85" s="147"/>
      <c r="BR85" s="35" t="s">
        <v>456</v>
      </c>
      <c r="BS85" s="42"/>
      <c r="BT85" s="33"/>
      <c r="BU85" s="33"/>
      <c r="BV85" s="33"/>
      <c r="BW85" s="146" t="s">
        <v>565</v>
      </c>
      <c r="BX85" s="122" t="s">
        <v>582</v>
      </c>
      <c r="BY85" s="63">
        <f t="shared" si="10"/>
        <v>0</v>
      </c>
      <c r="BZ85" s="194" t="e">
        <f t="shared" si="12"/>
        <v>#DIV/0!</v>
      </c>
    </row>
    <row r="86" spans="1:78" s="38" customFormat="1" ht="409.5" x14ac:dyDescent="0.25">
      <c r="A86" s="453"/>
      <c r="B86" s="454"/>
      <c r="C86" s="454"/>
      <c r="D86" s="31" t="s">
        <v>493</v>
      </c>
      <c r="E86" s="39">
        <v>0</v>
      </c>
      <c r="F86" s="31" t="s">
        <v>494</v>
      </c>
      <c r="G86" s="31">
        <v>100</v>
      </c>
      <c r="H86" s="31" t="s">
        <v>180</v>
      </c>
      <c r="I86" s="31"/>
      <c r="J86" s="99" t="s">
        <v>508</v>
      </c>
      <c r="K86" s="31" t="s">
        <v>509</v>
      </c>
      <c r="L86" s="31" t="s">
        <v>442</v>
      </c>
      <c r="M86" s="32">
        <v>54000000000</v>
      </c>
      <c r="N86" s="31" t="s">
        <v>510</v>
      </c>
      <c r="O86" s="33"/>
      <c r="P86" s="33" t="s">
        <v>80</v>
      </c>
      <c r="Q86" s="92" t="s">
        <v>511</v>
      </c>
      <c r="R86" s="54">
        <v>396000000000</v>
      </c>
      <c r="S86" s="54">
        <v>5000000000</v>
      </c>
      <c r="T86" s="54">
        <v>0</v>
      </c>
      <c r="U86" s="54">
        <v>0</v>
      </c>
      <c r="V86" s="54">
        <v>0</v>
      </c>
      <c r="W86" s="71">
        <f t="shared" si="13"/>
        <v>0</v>
      </c>
      <c r="X86" s="169">
        <v>0</v>
      </c>
      <c r="Y86" s="169">
        <v>0</v>
      </c>
      <c r="Z86" s="169">
        <v>0</v>
      </c>
      <c r="AA86" s="170">
        <f t="shared" ref="AA86" si="16">SUM(X86:Z86)</f>
        <v>0</v>
      </c>
      <c r="AB86" s="54">
        <v>121626151883.25999</v>
      </c>
      <c r="AC86" s="73" t="s">
        <v>445</v>
      </c>
      <c r="AD86" s="93" t="s">
        <v>446</v>
      </c>
      <c r="AE86" s="73" t="s">
        <v>447</v>
      </c>
      <c r="AF86" s="73" t="s">
        <v>448</v>
      </c>
      <c r="AG86" s="31" t="s">
        <v>512</v>
      </c>
      <c r="AH86" s="31" t="s">
        <v>513</v>
      </c>
      <c r="AI86" s="31" t="s">
        <v>514</v>
      </c>
      <c r="AJ86" s="33" t="s">
        <v>515</v>
      </c>
      <c r="AK86" s="33" t="s">
        <v>511</v>
      </c>
      <c r="AL86" s="33">
        <v>1</v>
      </c>
      <c r="AM86" s="100">
        <v>1</v>
      </c>
      <c r="AN86" s="192">
        <v>0</v>
      </c>
      <c r="AO86" s="192">
        <v>0</v>
      </c>
      <c r="AP86" s="95">
        <v>44927</v>
      </c>
      <c r="AQ86" s="95">
        <v>45291</v>
      </c>
      <c r="AR86" s="33">
        <v>365</v>
      </c>
      <c r="AS86" s="96">
        <v>1028736</v>
      </c>
      <c r="AT86" s="96">
        <v>1028736</v>
      </c>
      <c r="AU86" s="96" t="s">
        <v>285</v>
      </c>
      <c r="AV86" s="96" t="s">
        <v>286</v>
      </c>
      <c r="AW86" s="29" t="s">
        <v>184</v>
      </c>
      <c r="AX86" s="55">
        <v>5000000000</v>
      </c>
      <c r="AY86" s="55">
        <v>0</v>
      </c>
      <c r="AZ86" s="55">
        <f t="shared" si="11"/>
        <v>5000000000</v>
      </c>
      <c r="BA86" s="55">
        <v>0</v>
      </c>
      <c r="BB86" s="102">
        <v>0</v>
      </c>
      <c r="BC86" s="86">
        <f t="shared" si="8"/>
        <v>5000000000</v>
      </c>
      <c r="BD86" s="55">
        <v>0</v>
      </c>
      <c r="BE86" s="55">
        <v>0</v>
      </c>
      <c r="BF86" s="55">
        <v>0</v>
      </c>
      <c r="BG86" s="102">
        <f t="shared" si="9"/>
        <v>0</v>
      </c>
      <c r="BH86" s="164">
        <v>0</v>
      </c>
      <c r="BI86" s="164">
        <v>0</v>
      </c>
      <c r="BJ86" s="164">
        <v>0</v>
      </c>
      <c r="BK86" s="152">
        <f t="shared" si="6"/>
        <v>0</v>
      </c>
      <c r="BL86" s="165" t="s">
        <v>516</v>
      </c>
      <c r="BM86" s="33" t="s">
        <v>517</v>
      </c>
      <c r="BN86" s="33" t="s">
        <v>518</v>
      </c>
      <c r="BO86" s="33" t="s">
        <v>96</v>
      </c>
      <c r="BP86" s="33" t="s">
        <v>219</v>
      </c>
      <c r="BQ86" s="33" t="s">
        <v>219</v>
      </c>
      <c r="BR86" s="33" t="s">
        <v>219</v>
      </c>
      <c r="BS86" s="33" t="s">
        <v>219</v>
      </c>
      <c r="BT86" s="33" t="s">
        <v>519</v>
      </c>
      <c r="BU86" s="33" t="s">
        <v>469</v>
      </c>
      <c r="BV86" s="33" t="s">
        <v>459</v>
      </c>
      <c r="BW86" s="122" t="s">
        <v>528</v>
      </c>
      <c r="BX86" s="122" t="s">
        <v>609</v>
      </c>
      <c r="BY86" s="63">
        <f t="shared" si="10"/>
        <v>0</v>
      </c>
    </row>
    <row r="87" spans="1:78" ht="23.25" x14ac:dyDescent="0.25">
      <c r="AX87" s="63">
        <f t="shared" ref="AX87:BC87" si="17">SUM(AX9:AX86)</f>
        <v>24035392170</v>
      </c>
      <c r="AY87" s="63">
        <f t="shared" si="17"/>
        <v>0</v>
      </c>
      <c r="AZ87" s="63">
        <f t="shared" si="17"/>
        <v>24035392170</v>
      </c>
      <c r="BA87" s="145">
        <f t="shared" si="17"/>
        <v>8484681445.04</v>
      </c>
      <c r="BB87" s="145">
        <f t="shared" si="17"/>
        <v>0</v>
      </c>
      <c r="BC87" s="145">
        <f t="shared" si="17"/>
        <v>32520073615.040001</v>
      </c>
      <c r="BD87" s="63"/>
      <c r="BE87" s="63"/>
      <c r="BF87" s="63"/>
      <c r="BG87" s="120">
        <f>SUM(BG9:BG86)</f>
        <v>4529210000</v>
      </c>
      <c r="BH87" s="63"/>
      <c r="BI87" s="63"/>
      <c r="BJ87" s="63"/>
      <c r="BK87" s="120">
        <f>SUM(BK9:BK86)</f>
        <v>5095055894</v>
      </c>
      <c r="BL87" s="63"/>
    </row>
    <row r="89" spans="1:78" x14ac:dyDescent="0.25">
      <c r="AZ89" s="63"/>
      <c r="BA89" s="63"/>
      <c r="BB89" s="63"/>
      <c r="BC89" s="63"/>
      <c r="BD89" s="63"/>
      <c r="BE89" s="63"/>
      <c r="BF89" s="63"/>
      <c r="BG89" s="63"/>
      <c r="BH89" s="63"/>
      <c r="BI89" s="63"/>
      <c r="BJ89" s="63"/>
      <c r="BK89" s="63"/>
    </row>
    <row r="90" spans="1:78" x14ac:dyDescent="0.25">
      <c r="BA90" s="63"/>
    </row>
  </sheetData>
  <mergeCells count="646">
    <mergeCell ref="BX6:BX7"/>
    <mergeCell ref="BX25:BX26"/>
    <mergeCell ref="BX32:BX35"/>
    <mergeCell ref="BX36:BX39"/>
    <mergeCell ref="AA73:AA76"/>
    <mergeCell ref="X77:X79"/>
    <mergeCell ref="Y77:Y79"/>
    <mergeCell ref="Z77:Z79"/>
    <mergeCell ref="AA77:AA79"/>
    <mergeCell ref="AA40:AA43"/>
    <mergeCell ref="X44:X46"/>
    <mergeCell ref="Y44:Y46"/>
    <mergeCell ref="Z44:Z46"/>
    <mergeCell ref="AA44:AA46"/>
    <mergeCell ref="X47:X49"/>
    <mergeCell ref="Y47:Y49"/>
    <mergeCell ref="Z47:Z49"/>
    <mergeCell ref="AA47:AA49"/>
    <mergeCell ref="Z26:Z27"/>
    <mergeCell ref="AA26:AA27"/>
    <mergeCell ref="X29:X35"/>
    <mergeCell ref="Y29:Y35"/>
    <mergeCell ref="Z29:Z35"/>
    <mergeCell ref="AA29:AA35"/>
    <mergeCell ref="X84:X85"/>
    <mergeCell ref="Y84:Y85"/>
    <mergeCell ref="Z84:Z85"/>
    <mergeCell ref="AA84:AA85"/>
    <mergeCell ref="X50:X51"/>
    <mergeCell ref="Y50:Y51"/>
    <mergeCell ref="Z50:Z51"/>
    <mergeCell ref="AA50:AA51"/>
    <mergeCell ref="X52:X55"/>
    <mergeCell ref="Y52:Y55"/>
    <mergeCell ref="Z52:Z55"/>
    <mergeCell ref="AA52:AA55"/>
    <mergeCell ref="X56:X58"/>
    <mergeCell ref="Y56:Y58"/>
    <mergeCell ref="Z56:Z58"/>
    <mergeCell ref="AA56:AA58"/>
    <mergeCell ref="X36:X38"/>
    <mergeCell ref="Y36:Y38"/>
    <mergeCell ref="Z36:Z38"/>
    <mergeCell ref="AA36:AA38"/>
    <mergeCell ref="X9:X13"/>
    <mergeCell ref="Y9:Y13"/>
    <mergeCell ref="Z9:Z13"/>
    <mergeCell ref="AA9:AA13"/>
    <mergeCell ref="X15:X16"/>
    <mergeCell ref="Y15:Y16"/>
    <mergeCell ref="Z15:Z16"/>
    <mergeCell ref="AA15:AA16"/>
    <mergeCell ref="X17:X19"/>
    <mergeCell ref="Y17:Y19"/>
    <mergeCell ref="Z17:Z19"/>
    <mergeCell ref="AA17:AA19"/>
    <mergeCell ref="BW25:BW26"/>
    <mergeCell ref="BW36:BW39"/>
    <mergeCell ref="BW32:BW35"/>
    <mergeCell ref="W47:W49"/>
    <mergeCell ref="W50:W51"/>
    <mergeCell ref="W52:W55"/>
    <mergeCell ref="W56:W58"/>
    <mergeCell ref="W59:W62"/>
    <mergeCell ref="W64:W65"/>
    <mergeCell ref="BV24:BV27"/>
    <mergeCell ref="BU28:BU39"/>
    <mergeCell ref="BV28:BV39"/>
    <mergeCell ref="AG28:AG39"/>
    <mergeCell ref="AH28:AH39"/>
    <mergeCell ref="AI28:AI39"/>
    <mergeCell ref="BL28:BL39"/>
    <mergeCell ref="BM28:BM39"/>
    <mergeCell ref="BN28:BN39"/>
    <mergeCell ref="BU40:BU46"/>
    <mergeCell ref="BV40:BV46"/>
    <mergeCell ref="BL47:BL55"/>
    <mergeCell ref="BM47:BM55"/>
    <mergeCell ref="BN47:BN55"/>
    <mergeCell ref="BU47:BU55"/>
    <mergeCell ref="W9:W13"/>
    <mergeCell ref="W15:W16"/>
    <mergeCell ref="W17:W19"/>
    <mergeCell ref="W20:W23"/>
    <mergeCell ref="W26:W27"/>
    <mergeCell ref="W29:W35"/>
    <mergeCell ref="W36:W38"/>
    <mergeCell ref="W40:W43"/>
    <mergeCell ref="W44:W46"/>
    <mergeCell ref="U50:U51"/>
    <mergeCell ref="U52:U55"/>
    <mergeCell ref="U56:U58"/>
    <mergeCell ref="U59:U62"/>
    <mergeCell ref="U64:U65"/>
    <mergeCell ref="U68:U69"/>
    <mergeCell ref="U70:U72"/>
    <mergeCell ref="U73:U76"/>
    <mergeCell ref="V9:V13"/>
    <mergeCell ref="V15:V16"/>
    <mergeCell ref="V17:V19"/>
    <mergeCell ref="V20:V23"/>
    <mergeCell ref="V26:V27"/>
    <mergeCell ref="V29:V35"/>
    <mergeCell ref="V36:V38"/>
    <mergeCell ref="V40:V43"/>
    <mergeCell ref="V44:V46"/>
    <mergeCell ref="V47:V49"/>
    <mergeCell ref="V50:V51"/>
    <mergeCell ref="V52:V55"/>
    <mergeCell ref="V56:V58"/>
    <mergeCell ref="V59:V62"/>
    <mergeCell ref="V64:V65"/>
    <mergeCell ref="V68:V69"/>
    <mergeCell ref="U9:U13"/>
    <mergeCell ref="U15:U16"/>
    <mergeCell ref="U17:U19"/>
    <mergeCell ref="U20:U23"/>
    <mergeCell ref="U26:U27"/>
    <mergeCell ref="U29:U35"/>
    <mergeCell ref="U36:U38"/>
    <mergeCell ref="U40:U43"/>
    <mergeCell ref="U44:U46"/>
    <mergeCell ref="T9:T13"/>
    <mergeCell ref="T15:T16"/>
    <mergeCell ref="T17:T19"/>
    <mergeCell ref="T20:T23"/>
    <mergeCell ref="T26:T27"/>
    <mergeCell ref="T29:T35"/>
    <mergeCell ref="T36:T38"/>
    <mergeCell ref="T40:T43"/>
    <mergeCell ref="T44:T46"/>
    <mergeCell ref="A6:AB6"/>
    <mergeCell ref="AC6:AF6"/>
    <mergeCell ref="AG6:AR6"/>
    <mergeCell ref="AS6:AW6"/>
    <mergeCell ref="AX6:BT6"/>
    <mergeCell ref="BU6:BV6"/>
    <mergeCell ref="B1:C4"/>
    <mergeCell ref="D1:BO1"/>
    <mergeCell ref="D2:BO2"/>
    <mergeCell ref="D3:BO3"/>
    <mergeCell ref="D4:BO4"/>
    <mergeCell ref="B5:C5"/>
    <mergeCell ref="D5:BP5"/>
    <mergeCell ref="G7:G8"/>
    <mergeCell ref="H7:H8"/>
    <mergeCell ref="I7:I8"/>
    <mergeCell ref="J7:J8"/>
    <mergeCell ref="K7:K8"/>
    <mergeCell ref="L7:L8"/>
    <mergeCell ref="A7:A8"/>
    <mergeCell ref="B7:B8"/>
    <mergeCell ref="C7:C8"/>
    <mergeCell ref="D7:D8"/>
    <mergeCell ref="E7:E8"/>
    <mergeCell ref="F7:F8"/>
    <mergeCell ref="AB7:AB8"/>
    <mergeCell ref="AC7:AC8"/>
    <mergeCell ref="AD7:AD8"/>
    <mergeCell ref="AE7:AE8"/>
    <mergeCell ref="AF7:AF8"/>
    <mergeCell ref="AG7:AG8"/>
    <mergeCell ref="M7:M8"/>
    <mergeCell ref="N7:N8"/>
    <mergeCell ref="O7:P7"/>
    <mergeCell ref="Q7:Q8"/>
    <mergeCell ref="R7:R8"/>
    <mergeCell ref="S7:S8"/>
    <mergeCell ref="T7:T8"/>
    <mergeCell ref="U7:U8"/>
    <mergeCell ref="V7:V8"/>
    <mergeCell ref="W7:W8"/>
    <mergeCell ref="X7:X8"/>
    <mergeCell ref="Y7:Y8"/>
    <mergeCell ref="Z7:Z8"/>
    <mergeCell ref="AA7:AA8"/>
    <mergeCell ref="AR7:AR8"/>
    <mergeCell ref="AS7:AS8"/>
    <mergeCell ref="AT7:AT8"/>
    <mergeCell ref="AU7:AU8"/>
    <mergeCell ref="AH7:AH8"/>
    <mergeCell ref="AI7:AI8"/>
    <mergeCell ref="AJ7:AJ8"/>
    <mergeCell ref="AK7:AK8"/>
    <mergeCell ref="AL7:AL8"/>
    <mergeCell ref="AM7:AM8"/>
    <mergeCell ref="BU7:BU8"/>
    <mergeCell ref="BV7:BV8"/>
    <mergeCell ref="A9:A55"/>
    <mergeCell ref="B9:B69"/>
    <mergeCell ref="C9:C55"/>
    <mergeCell ref="D9:D55"/>
    <mergeCell ref="E9:E55"/>
    <mergeCell ref="F9:F55"/>
    <mergeCell ref="G9:G55"/>
    <mergeCell ref="H9:H55"/>
    <mergeCell ref="BO7:BO8"/>
    <mergeCell ref="BP7:BP8"/>
    <mergeCell ref="BQ7:BQ8"/>
    <mergeCell ref="BR7:BR8"/>
    <mergeCell ref="BS7:BS8"/>
    <mergeCell ref="BT7:BT8"/>
    <mergeCell ref="AV7:AV8"/>
    <mergeCell ref="AW7:AW8"/>
    <mergeCell ref="AX7:AX8"/>
    <mergeCell ref="BL7:BL8"/>
    <mergeCell ref="BM7:BM8"/>
    <mergeCell ref="BN7:BN8"/>
    <mergeCell ref="AP7:AP8"/>
    <mergeCell ref="AQ7:AQ8"/>
    <mergeCell ref="O9:O13"/>
    <mergeCell ref="P9:P13"/>
    <mergeCell ref="Q9:Q13"/>
    <mergeCell ref="R9:R13"/>
    <mergeCell ref="S9:S13"/>
    <mergeCell ref="AB9:AB13"/>
    <mergeCell ref="I9:I55"/>
    <mergeCell ref="J9:J13"/>
    <mergeCell ref="K9:K13"/>
    <mergeCell ref="L9:L13"/>
    <mergeCell ref="M9:M13"/>
    <mergeCell ref="N9:N13"/>
    <mergeCell ref="J14:J23"/>
    <mergeCell ref="K15:K16"/>
    <mergeCell ref="L15:L16"/>
    <mergeCell ref="M15:M16"/>
    <mergeCell ref="AB15:AB16"/>
    <mergeCell ref="K17:K19"/>
    <mergeCell ref="L17:L19"/>
    <mergeCell ref="M17:M19"/>
    <mergeCell ref="N17:N19"/>
    <mergeCell ref="O17:O19"/>
    <mergeCell ref="P17:P19"/>
    <mergeCell ref="Q17:Q19"/>
    <mergeCell ref="BU14:BU23"/>
    <mergeCell ref="BV14:BV23"/>
    <mergeCell ref="AC14:AC23"/>
    <mergeCell ref="AD14:AD23"/>
    <mergeCell ref="AE14:AE23"/>
    <mergeCell ref="AF14:AF23"/>
    <mergeCell ref="AG14:AG23"/>
    <mergeCell ref="AH14:AH23"/>
    <mergeCell ref="AI9:AI13"/>
    <mergeCell ref="BL9:BL13"/>
    <mergeCell ref="BM9:BM13"/>
    <mergeCell ref="BN9:BN13"/>
    <mergeCell ref="BU9:BU13"/>
    <mergeCell ref="BV9:BV13"/>
    <mergeCell ref="AC9:AC13"/>
    <mergeCell ref="AD9:AD13"/>
    <mergeCell ref="AE9:AE13"/>
    <mergeCell ref="AF9:AF13"/>
    <mergeCell ref="AG9:AG13"/>
    <mergeCell ref="AH9:AH13"/>
    <mergeCell ref="BT15:BT16"/>
    <mergeCell ref="BM14:BM23"/>
    <mergeCell ref="BN14:BN23"/>
    <mergeCell ref="R17:R19"/>
    <mergeCell ref="N15:N16"/>
    <mergeCell ref="O15:O16"/>
    <mergeCell ref="P15:P16"/>
    <mergeCell ref="Q15:Q16"/>
    <mergeCell ref="R15:R16"/>
    <mergeCell ref="S15:S16"/>
    <mergeCell ref="AI14:AI23"/>
    <mergeCell ref="BL14:BL23"/>
    <mergeCell ref="S17:S19"/>
    <mergeCell ref="AB17:AB19"/>
    <mergeCell ref="AB20:AB23"/>
    <mergeCell ref="X20:X23"/>
    <mergeCell ref="Y20:Y23"/>
    <mergeCell ref="Z20:Z23"/>
    <mergeCell ref="AA20:AA23"/>
    <mergeCell ref="K20:K23"/>
    <mergeCell ref="L20:L23"/>
    <mergeCell ref="M20:M23"/>
    <mergeCell ref="N20:N23"/>
    <mergeCell ref="O20:O23"/>
    <mergeCell ref="P20:P23"/>
    <mergeCell ref="Q20:Q23"/>
    <mergeCell ref="R20:R23"/>
    <mergeCell ref="S20:S23"/>
    <mergeCell ref="J24:J27"/>
    <mergeCell ref="AC24:AC27"/>
    <mergeCell ref="AD24:AD27"/>
    <mergeCell ref="AE24:AE27"/>
    <mergeCell ref="R26:R27"/>
    <mergeCell ref="S26:S27"/>
    <mergeCell ref="AB26:AB27"/>
    <mergeCell ref="BN24:BN27"/>
    <mergeCell ref="BU24:BU27"/>
    <mergeCell ref="K26:K27"/>
    <mergeCell ref="L26:L27"/>
    <mergeCell ref="M26:M27"/>
    <mergeCell ref="N26:N27"/>
    <mergeCell ref="O26:O27"/>
    <mergeCell ref="P26:P27"/>
    <mergeCell ref="Q26:Q27"/>
    <mergeCell ref="AF24:AF27"/>
    <mergeCell ref="AG24:AG27"/>
    <mergeCell ref="AH24:AH27"/>
    <mergeCell ref="AI24:AI27"/>
    <mergeCell ref="BL24:BL27"/>
    <mergeCell ref="BM24:BM27"/>
    <mergeCell ref="X26:X27"/>
    <mergeCell ref="Y26:Y27"/>
    <mergeCell ref="J28:J39"/>
    <mergeCell ref="Q28:Q39"/>
    <mergeCell ref="AC28:AC39"/>
    <mergeCell ref="AD28:AD39"/>
    <mergeCell ref="AE28:AE39"/>
    <mergeCell ref="AF28:AF39"/>
    <mergeCell ref="AB29:AB35"/>
    <mergeCell ref="K36:K38"/>
    <mergeCell ref="L36:L38"/>
    <mergeCell ref="M36:M38"/>
    <mergeCell ref="N36:N38"/>
    <mergeCell ref="O36:O38"/>
    <mergeCell ref="P36:P38"/>
    <mergeCell ref="R36:R38"/>
    <mergeCell ref="S36:S38"/>
    <mergeCell ref="AB36:AB38"/>
    <mergeCell ref="K29:K35"/>
    <mergeCell ref="L29:L35"/>
    <mergeCell ref="M29:M35"/>
    <mergeCell ref="N29:N35"/>
    <mergeCell ref="O29:O35"/>
    <mergeCell ref="P29:P35"/>
    <mergeCell ref="R29:R35"/>
    <mergeCell ref="S29:S35"/>
    <mergeCell ref="J40:J46"/>
    <mergeCell ref="K40:K43"/>
    <mergeCell ref="L40:L43"/>
    <mergeCell ref="M40:M43"/>
    <mergeCell ref="N40:N43"/>
    <mergeCell ref="O40:O43"/>
    <mergeCell ref="K44:K46"/>
    <mergeCell ref="L44:L46"/>
    <mergeCell ref="M44:M46"/>
    <mergeCell ref="N44:N46"/>
    <mergeCell ref="O44:O46"/>
    <mergeCell ref="P44:P46"/>
    <mergeCell ref="Q44:Q46"/>
    <mergeCell ref="R44:R46"/>
    <mergeCell ref="S44:S46"/>
    <mergeCell ref="AB44:AB46"/>
    <mergeCell ref="BL40:BL46"/>
    <mergeCell ref="BM40:BM46"/>
    <mergeCell ref="BN40:BN46"/>
    <mergeCell ref="P40:P43"/>
    <mergeCell ref="Q42:Q43"/>
    <mergeCell ref="AD40:AD46"/>
    <mergeCell ref="AE40:AE46"/>
    <mergeCell ref="AF40:AF46"/>
    <mergeCell ref="AG40:AG46"/>
    <mergeCell ref="AH40:AH46"/>
    <mergeCell ref="AI40:AI46"/>
    <mergeCell ref="Q40:Q41"/>
    <mergeCell ref="R40:R43"/>
    <mergeCell ref="S40:S43"/>
    <mergeCell ref="AB40:AB43"/>
    <mergeCell ref="AC40:AC46"/>
    <mergeCell ref="X40:X43"/>
    <mergeCell ref="Y40:Y43"/>
    <mergeCell ref="Z40:Z43"/>
    <mergeCell ref="BV47:BV55"/>
    <mergeCell ref="K50:K51"/>
    <mergeCell ref="L50:L51"/>
    <mergeCell ref="M50:M51"/>
    <mergeCell ref="N50:N51"/>
    <mergeCell ref="O50:O51"/>
    <mergeCell ref="AD47:AD55"/>
    <mergeCell ref="AE47:AE55"/>
    <mergeCell ref="AF47:AF55"/>
    <mergeCell ref="AG47:AG55"/>
    <mergeCell ref="AH47:AH55"/>
    <mergeCell ref="AI47:AI55"/>
    <mergeCell ref="P47:P49"/>
    <mergeCell ref="Q47:Q49"/>
    <mergeCell ref="R47:R49"/>
    <mergeCell ref="S47:S49"/>
    <mergeCell ref="AB47:AB49"/>
    <mergeCell ref="AC47:AC55"/>
    <mergeCell ref="P50:P51"/>
    <mergeCell ref="Q50:Q55"/>
    <mergeCell ref="T47:T49"/>
    <mergeCell ref="T50:T51"/>
    <mergeCell ref="T52:T55"/>
    <mergeCell ref="U47:U49"/>
    <mergeCell ref="D56:D69"/>
    <mergeCell ref="E56:E65"/>
    <mergeCell ref="F56:F58"/>
    <mergeCell ref="G56:G58"/>
    <mergeCell ref="F64:F65"/>
    <mergeCell ref="G64:G65"/>
    <mergeCell ref="AB50:AB51"/>
    <mergeCell ref="K52:K55"/>
    <mergeCell ref="L52:L55"/>
    <mergeCell ref="M52:M55"/>
    <mergeCell ref="N52:N55"/>
    <mergeCell ref="O52:O55"/>
    <mergeCell ref="P52:P55"/>
    <mergeCell ref="R52:R55"/>
    <mergeCell ref="S52:S55"/>
    <mergeCell ref="AB52:AB55"/>
    <mergeCell ref="R50:R51"/>
    <mergeCell ref="S50:S51"/>
    <mergeCell ref="J47:J55"/>
    <mergeCell ref="K47:K49"/>
    <mergeCell ref="L47:L49"/>
    <mergeCell ref="M47:M49"/>
    <mergeCell ref="N47:N49"/>
    <mergeCell ref="O47:O49"/>
    <mergeCell ref="H56:H58"/>
    <mergeCell ref="I56:I58"/>
    <mergeCell ref="J56:J65"/>
    <mergeCell ref="K56:K58"/>
    <mergeCell ref="L56:L58"/>
    <mergeCell ref="M56:M58"/>
    <mergeCell ref="M59:M62"/>
    <mergeCell ref="H64:H65"/>
    <mergeCell ref="I64:I65"/>
    <mergeCell ref="K64:K65"/>
    <mergeCell ref="BV56:BV65"/>
    <mergeCell ref="F59:F62"/>
    <mergeCell ref="G59:G62"/>
    <mergeCell ref="H59:H62"/>
    <mergeCell ref="I59:I62"/>
    <mergeCell ref="K59:K62"/>
    <mergeCell ref="L59:L62"/>
    <mergeCell ref="AH56:AH65"/>
    <mergeCell ref="AI56:AI65"/>
    <mergeCell ref="BL56:BL65"/>
    <mergeCell ref="BM56:BM65"/>
    <mergeCell ref="BN56:BN65"/>
    <mergeCell ref="BP56:BP62"/>
    <mergeCell ref="AB56:AB58"/>
    <mergeCell ref="AC56:AC65"/>
    <mergeCell ref="AD56:AD65"/>
    <mergeCell ref="AE56:AE65"/>
    <mergeCell ref="AF56:AF65"/>
    <mergeCell ref="AG56:AG65"/>
    <mergeCell ref="AB59:AB62"/>
    <mergeCell ref="N56:N58"/>
    <mergeCell ref="O56:O58"/>
    <mergeCell ref="P56:P58"/>
    <mergeCell ref="Q56:Q58"/>
    <mergeCell ref="N59:N62"/>
    <mergeCell ref="O59:O62"/>
    <mergeCell ref="P59:P62"/>
    <mergeCell ref="Q59:Q62"/>
    <mergeCell ref="R59:R62"/>
    <mergeCell ref="S59:S62"/>
    <mergeCell ref="BQ56:BQ62"/>
    <mergeCell ref="BR56:BR62"/>
    <mergeCell ref="BU56:BU65"/>
    <mergeCell ref="R56:R58"/>
    <mergeCell ref="S56:S58"/>
    <mergeCell ref="R64:R65"/>
    <mergeCell ref="S64:S65"/>
    <mergeCell ref="AB64:AB65"/>
    <mergeCell ref="T56:T58"/>
    <mergeCell ref="T59:T62"/>
    <mergeCell ref="T64:T65"/>
    <mergeCell ref="X59:X62"/>
    <mergeCell ref="Y59:Y62"/>
    <mergeCell ref="Z59:Z62"/>
    <mergeCell ref="AA59:AA62"/>
    <mergeCell ref="X64:X65"/>
    <mergeCell ref="Y64:Y65"/>
    <mergeCell ref="Z64:Z65"/>
    <mergeCell ref="E66:E69"/>
    <mergeCell ref="J66:J69"/>
    <mergeCell ref="AC66:AC69"/>
    <mergeCell ref="N68:N69"/>
    <mergeCell ref="O68:O69"/>
    <mergeCell ref="P68:P69"/>
    <mergeCell ref="Q68:Q69"/>
    <mergeCell ref="L64:L65"/>
    <mergeCell ref="M64:M65"/>
    <mergeCell ref="N64:N65"/>
    <mergeCell ref="O64:O65"/>
    <mergeCell ref="P64:P65"/>
    <mergeCell ref="Q64:Q65"/>
    <mergeCell ref="T68:T69"/>
    <mergeCell ref="W68:W69"/>
    <mergeCell ref="AA64:AA65"/>
    <mergeCell ref="X68:X69"/>
    <mergeCell ref="Y68:Y69"/>
    <mergeCell ref="Z68:Z69"/>
    <mergeCell ref="AA68:AA69"/>
    <mergeCell ref="A56:A69"/>
    <mergeCell ref="C56:C69"/>
    <mergeCell ref="BR66:BR67"/>
    <mergeCell ref="BU66:BU69"/>
    <mergeCell ref="BV66:BV69"/>
    <mergeCell ref="F68:F69"/>
    <mergeCell ref="G68:G69"/>
    <mergeCell ref="H68:H69"/>
    <mergeCell ref="I68:I69"/>
    <mergeCell ref="K68:K69"/>
    <mergeCell ref="L68:L69"/>
    <mergeCell ref="M68:M69"/>
    <mergeCell ref="BL66:BL69"/>
    <mergeCell ref="BM66:BM69"/>
    <mergeCell ref="BN66:BN69"/>
    <mergeCell ref="BO66:BO67"/>
    <mergeCell ref="BP66:BP67"/>
    <mergeCell ref="BQ66:BQ67"/>
    <mergeCell ref="AD66:AD69"/>
    <mergeCell ref="AE66:AE69"/>
    <mergeCell ref="AF66:AF69"/>
    <mergeCell ref="AG66:AG69"/>
    <mergeCell ref="AH66:AH69"/>
    <mergeCell ref="AI66:AI69"/>
    <mergeCell ref="BL70:BL72"/>
    <mergeCell ref="V73:V76"/>
    <mergeCell ref="W70:W72"/>
    <mergeCell ref="H70:H76"/>
    <mergeCell ref="I70:I76"/>
    <mergeCell ref="O70:O72"/>
    <mergeCell ref="N70:N72"/>
    <mergeCell ref="X70:X72"/>
    <mergeCell ref="Y70:Y72"/>
    <mergeCell ref="Z70:Z72"/>
    <mergeCell ref="AA70:AA72"/>
    <mergeCell ref="X73:X76"/>
    <mergeCell ref="Y73:Y76"/>
    <mergeCell ref="Z73:Z76"/>
    <mergeCell ref="J70:J72"/>
    <mergeCell ref="K70:K72"/>
    <mergeCell ref="L70:L72"/>
    <mergeCell ref="M70:M72"/>
    <mergeCell ref="P73:P76"/>
    <mergeCell ref="Q73:Q76"/>
    <mergeCell ref="V77:V79"/>
    <mergeCell ref="U84:U85"/>
    <mergeCell ref="V84:V85"/>
    <mergeCell ref="BR68:BR69"/>
    <mergeCell ref="R68:R69"/>
    <mergeCell ref="S68:S69"/>
    <mergeCell ref="AB68:AB69"/>
    <mergeCell ref="BO68:BO69"/>
    <mergeCell ref="BP68:BP69"/>
    <mergeCell ref="BQ68:BQ69"/>
    <mergeCell ref="T70:T72"/>
    <mergeCell ref="BM70:BM72"/>
    <mergeCell ref="BN70:BN72"/>
    <mergeCell ref="BP70:BP72"/>
    <mergeCell ref="BQ70:BQ72"/>
    <mergeCell ref="BR70:BR72"/>
    <mergeCell ref="AD70:AD76"/>
    <mergeCell ref="AE70:AE76"/>
    <mergeCell ref="AF70:AF76"/>
    <mergeCell ref="AG70:AG72"/>
    <mergeCell ref="AH70:AH72"/>
    <mergeCell ref="AI70:AI72"/>
    <mergeCell ref="AG73:AG76"/>
    <mergeCell ref="W73:W76"/>
    <mergeCell ref="A70:A76"/>
    <mergeCell ref="B70:B76"/>
    <mergeCell ref="C70:C76"/>
    <mergeCell ref="D70:D76"/>
    <mergeCell ref="E70:E76"/>
    <mergeCell ref="F70:F76"/>
    <mergeCell ref="G70:G76"/>
    <mergeCell ref="M77:M79"/>
    <mergeCell ref="N77:N79"/>
    <mergeCell ref="A77:A86"/>
    <mergeCell ref="B77:B86"/>
    <mergeCell ref="C77:C86"/>
    <mergeCell ref="D77:D78"/>
    <mergeCell ref="E77:E78"/>
    <mergeCell ref="F77:F78"/>
    <mergeCell ref="AI77:AI85"/>
    <mergeCell ref="BN73:BN76"/>
    <mergeCell ref="P70:P72"/>
    <mergeCell ref="Q70:Q72"/>
    <mergeCell ref="R70:R72"/>
    <mergeCell ref="S70:S72"/>
    <mergeCell ref="AB70:AB72"/>
    <mergeCell ref="AC70:AC76"/>
    <mergeCell ref="R73:R76"/>
    <mergeCell ref="W77:W79"/>
    <mergeCell ref="S73:S76"/>
    <mergeCell ref="AB73:AB76"/>
    <mergeCell ref="AH73:AH76"/>
    <mergeCell ref="AI73:AI76"/>
    <mergeCell ref="BL73:BL76"/>
    <mergeCell ref="BM73:BM76"/>
    <mergeCell ref="T73:T76"/>
    <mergeCell ref="V70:V72"/>
    <mergeCell ref="BN77:BN85"/>
    <mergeCell ref="BM77:BM85"/>
    <mergeCell ref="W84:W85"/>
    <mergeCell ref="AB84:AB85"/>
    <mergeCell ref="T77:T79"/>
    <mergeCell ref="U77:U79"/>
    <mergeCell ref="BW6:BW7"/>
    <mergeCell ref="R77:R79"/>
    <mergeCell ref="S77:S79"/>
    <mergeCell ref="AB77:AB79"/>
    <mergeCell ref="G77:G78"/>
    <mergeCell ref="H77:H78"/>
    <mergeCell ref="I77:I78"/>
    <mergeCell ref="K77:K79"/>
    <mergeCell ref="L77:L79"/>
    <mergeCell ref="BU73:BU76"/>
    <mergeCell ref="BV73:BV76"/>
    <mergeCell ref="BP74:BP76"/>
    <mergeCell ref="BQ74:BQ76"/>
    <mergeCell ref="BR74:BR76"/>
    <mergeCell ref="BU70:BU72"/>
    <mergeCell ref="BV70:BV72"/>
    <mergeCell ref="J73:J76"/>
    <mergeCell ref="K73:K76"/>
    <mergeCell ref="L73:L76"/>
    <mergeCell ref="M73:M76"/>
    <mergeCell ref="N73:N76"/>
    <mergeCell ref="O73:O76"/>
    <mergeCell ref="AG77:AG85"/>
    <mergeCell ref="AH77:AH85"/>
    <mergeCell ref="BX56:BX58"/>
    <mergeCell ref="BX59:BX62"/>
    <mergeCell ref="BL77:BL85"/>
    <mergeCell ref="D83:D85"/>
    <mergeCell ref="E83:E85"/>
    <mergeCell ref="F83:F85"/>
    <mergeCell ref="G83:G85"/>
    <mergeCell ref="H83:H85"/>
    <mergeCell ref="I83:I85"/>
    <mergeCell ref="K84:K85"/>
    <mergeCell ref="L84:L85"/>
    <mergeCell ref="M84:M85"/>
    <mergeCell ref="O84:O85"/>
    <mergeCell ref="P84:P85"/>
    <mergeCell ref="Q84:Q85"/>
    <mergeCell ref="AC84:AC85"/>
    <mergeCell ref="AD84:AD85"/>
    <mergeCell ref="AE84:AE85"/>
    <mergeCell ref="AF84:AF85"/>
    <mergeCell ref="J77:J85"/>
    <mergeCell ref="N84:N85"/>
    <mergeCell ref="R84:R85"/>
    <mergeCell ref="S84:S85"/>
    <mergeCell ref="T84:T85"/>
  </mergeCells>
  <pageMargins left="0.7" right="0.7" top="0.75" bottom="0.75" header="0.3" footer="0.3"/>
  <pageSetup paperSize="9" scale="2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L775"/>
  <sheetViews>
    <sheetView tabSelected="1" zoomScale="70" zoomScaleNormal="70" workbookViewId="0">
      <pane xSplit="10" topLeftCell="K1" activePane="topRight" state="frozen"/>
      <selection activeCell="J2" sqref="J2"/>
      <selection pane="topRight" activeCell="D2" sqref="D2:CW2"/>
    </sheetView>
  </sheetViews>
  <sheetFormatPr baseColWidth="10" defaultColWidth="11.42578125" defaultRowHeight="18" x14ac:dyDescent="0.25"/>
  <cols>
    <col min="1" max="1" width="17.42578125" style="1" customWidth="1"/>
    <col min="2" max="2" width="16.5703125" style="1" customWidth="1"/>
    <col min="3" max="3" width="18" style="1" customWidth="1"/>
    <col min="4" max="4" width="20.28515625" style="1" hidden="1" customWidth="1"/>
    <col min="5" max="5" width="23.28515625" style="1" hidden="1" customWidth="1"/>
    <col min="6" max="6" width="21" style="1" hidden="1" customWidth="1"/>
    <col min="7" max="7" width="17.5703125" style="1" hidden="1" customWidth="1"/>
    <col min="8" max="8" width="21.7109375" style="1" hidden="1" customWidth="1"/>
    <col min="9" max="9" width="21" style="1" hidden="1" customWidth="1"/>
    <col min="10" max="10" width="27.140625" style="1" customWidth="1"/>
    <col min="11" max="11" width="37.28515625" style="1" customWidth="1"/>
    <col min="12" max="12" width="15.42578125" style="1" customWidth="1"/>
    <col min="13" max="13" width="21.7109375" style="1" customWidth="1"/>
    <col min="14" max="14" width="34.42578125" style="1" customWidth="1"/>
    <col min="15" max="15" width="9.85546875" style="1" customWidth="1"/>
    <col min="16" max="16" width="16.5703125" style="1" customWidth="1"/>
    <col min="17" max="17" width="25.28515625" style="1" customWidth="1"/>
    <col min="18" max="18" width="23.42578125" style="293" customWidth="1"/>
    <col min="19" max="19" width="21" style="296" customWidth="1"/>
    <col min="20" max="21" width="23" style="57" customWidth="1"/>
    <col min="22" max="22" width="24.5703125" style="57" customWidth="1"/>
    <col min="23" max="23" width="22.140625" style="57" customWidth="1"/>
    <col min="24" max="24" width="23" style="61" customWidth="1"/>
    <col min="25" max="25" width="24.5703125" style="61" customWidth="1"/>
    <col min="26" max="26" width="23" style="61" customWidth="1"/>
    <col min="27" max="27" width="21.42578125" style="61" customWidth="1"/>
    <col min="28" max="28" width="23" style="57" customWidth="1"/>
    <col min="29" max="29" width="24" style="57" customWidth="1"/>
    <col min="30" max="30" width="22.5703125" style="57" bestFit="1" customWidth="1"/>
    <col min="31" max="31" width="21.85546875" style="57" bestFit="1" customWidth="1"/>
    <col min="32" max="32" width="23.5703125" style="57" customWidth="1"/>
    <col min="33" max="33" width="22.5703125" style="57" customWidth="1"/>
    <col min="34" max="34" width="21" style="57" bestFit="1" customWidth="1"/>
    <col min="35" max="35" width="23.28515625" style="57" customWidth="1"/>
    <col min="36" max="36" width="23.7109375" style="300" customWidth="1"/>
    <col min="37" max="37" width="23.7109375" style="58" customWidth="1"/>
    <col min="38" max="39" width="23.7109375" style="281" customWidth="1"/>
    <col min="40" max="40" width="43.140625" style="59" customWidth="1"/>
    <col min="41" max="41" width="23" style="57" customWidth="1"/>
    <col min="42" max="42" width="18" style="60" customWidth="1"/>
    <col min="43" max="43" width="78.85546875" style="61" customWidth="1"/>
    <col min="44" max="44" width="51.85546875" style="61" customWidth="1"/>
    <col min="45" max="45" width="19.42578125" style="307" customWidth="1"/>
    <col min="46" max="46" width="79.85546875" style="61" customWidth="1"/>
    <col min="47" max="47" width="73.5703125" style="1" customWidth="1"/>
    <col min="48" max="48" width="45.85546875" style="1" customWidth="1"/>
    <col min="49" max="49" width="13.7109375" style="1" customWidth="1"/>
    <col min="50" max="50" width="21" style="1" customWidth="1"/>
    <col min="51" max="51" width="23.140625" style="1" customWidth="1"/>
    <col min="52" max="52" width="20.28515625" style="1" customWidth="1"/>
    <col min="53" max="53" width="21.28515625" style="1" customWidth="1"/>
    <col min="54" max="54" width="23.28515625" style="1" bestFit="1" customWidth="1"/>
    <col min="55" max="57" width="23.28515625" style="1" hidden="1" customWidth="1"/>
    <col min="58" max="61" width="23.28515625" style="1" customWidth="1"/>
    <col min="62" max="62" width="28" style="311" customWidth="1"/>
    <col min="63" max="63" width="28.5703125" style="311" customWidth="1"/>
    <col min="64" max="65" width="23.28515625" style="1" customWidth="1"/>
    <col min="66" max="66" width="16.140625" style="62" bestFit="1" customWidth="1"/>
    <col min="67" max="67" width="12.85546875" style="1" bestFit="1" customWidth="1"/>
    <col min="68" max="68" width="11.7109375" style="1" bestFit="1" customWidth="1"/>
    <col min="69" max="70" width="11" style="1" bestFit="1" customWidth="1"/>
    <col min="71" max="71" width="24.7109375" style="1" bestFit="1" customWidth="1"/>
    <col min="72" max="72" width="16.140625" style="1" bestFit="1" customWidth="1"/>
    <col min="73" max="73" width="18.5703125" style="1" bestFit="1" customWidth="1"/>
    <col min="74" max="74" width="21.7109375" style="1" bestFit="1" customWidth="1"/>
    <col min="75" max="75" width="21.140625" style="1" bestFit="1" customWidth="1"/>
    <col min="76" max="76" width="26.85546875" style="231" bestFit="1" customWidth="1"/>
    <col min="77" max="77" width="20.5703125" style="1" bestFit="1" customWidth="1"/>
    <col min="78" max="78" width="19.42578125" style="1" bestFit="1" customWidth="1"/>
    <col min="79" max="79" width="26.140625" style="231" bestFit="1" customWidth="1"/>
    <col min="80" max="80" width="25.42578125" style="1" bestFit="1" customWidth="1"/>
    <col min="81" max="81" width="26.5703125" style="231" customWidth="1"/>
    <col min="82" max="82" width="10" style="1" customWidth="1"/>
    <col min="83" max="83" width="16.28515625" style="1" customWidth="1"/>
    <col min="84" max="84" width="21" style="1" customWidth="1"/>
    <col min="85" max="85" width="31.140625" style="231" customWidth="1"/>
    <col min="86" max="88" width="16.7109375" style="61" customWidth="1"/>
    <col min="89" max="89" width="33" style="235" customWidth="1"/>
    <col min="90" max="90" width="16.28515625" style="1" customWidth="1"/>
    <col min="91" max="91" width="17.140625" style="1" customWidth="1"/>
    <col min="92" max="92" width="21" style="1" customWidth="1"/>
    <col min="93" max="93" width="33.140625" style="231" customWidth="1"/>
    <col min="94" max="96" width="21" style="1" bestFit="1" customWidth="1"/>
    <col min="97" max="97" width="33.140625" style="231" bestFit="1" customWidth="1"/>
    <col min="98" max="98" width="25" style="1" customWidth="1"/>
    <col min="99" max="99" width="42.42578125" style="1" customWidth="1"/>
    <col min="100" max="100" width="57.42578125" style="1" customWidth="1"/>
    <col min="101" max="101" width="17.42578125" style="1" customWidth="1"/>
    <col min="102" max="102" width="255.7109375" style="1" customWidth="1"/>
    <col min="103" max="103" width="25" style="1" customWidth="1"/>
    <col min="104" max="104" width="20.7109375" style="1" customWidth="1"/>
    <col min="105" max="105" width="24.7109375" style="1" customWidth="1"/>
    <col min="106" max="106" width="56" style="1" customWidth="1"/>
    <col min="107" max="107" width="39.42578125" style="1" customWidth="1"/>
    <col min="108" max="108" width="181" style="1" customWidth="1"/>
    <col min="109" max="109" width="152.28515625" style="121" customWidth="1"/>
    <col min="110" max="110" width="255.7109375" style="197" customWidth="1"/>
    <col min="111" max="111" width="20.5703125" style="61" customWidth="1"/>
    <col min="112" max="112" width="9" style="61" customWidth="1"/>
    <col min="113" max="113" width="131.42578125" style="61" customWidth="1"/>
    <col min="114" max="114" width="9" style="1" customWidth="1"/>
    <col min="115" max="115" width="133.5703125" style="1" customWidth="1"/>
    <col min="116" max="116" width="95.5703125" style="247" customWidth="1"/>
    <col min="117" max="16384" width="11.42578125" style="1"/>
  </cols>
  <sheetData>
    <row r="1" spans="1:116" ht="29.25" customHeight="1" x14ac:dyDescent="0.25">
      <c r="B1" s="547" t="s">
        <v>0</v>
      </c>
      <c r="C1" s="547"/>
      <c r="D1" s="548" t="s">
        <v>1</v>
      </c>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49"/>
      <c r="BP1" s="549"/>
      <c r="BQ1" s="549"/>
      <c r="BR1" s="549"/>
      <c r="BS1" s="549"/>
      <c r="BT1" s="549"/>
      <c r="BU1" s="549"/>
      <c r="BV1" s="549"/>
      <c r="BW1" s="549"/>
      <c r="BX1" s="549"/>
      <c r="BY1" s="549"/>
      <c r="BZ1" s="549"/>
      <c r="CA1" s="549"/>
      <c r="CB1" s="549"/>
      <c r="CC1" s="549"/>
      <c r="CD1" s="549"/>
      <c r="CE1" s="549"/>
      <c r="CF1" s="549"/>
      <c r="CG1" s="549"/>
      <c r="CH1" s="549"/>
      <c r="CI1" s="549"/>
      <c r="CJ1" s="549"/>
      <c r="CK1" s="549"/>
      <c r="CL1" s="549"/>
      <c r="CM1" s="549"/>
      <c r="CN1" s="549"/>
      <c r="CO1" s="549"/>
      <c r="CP1" s="549"/>
      <c r="CQ1" s="549"/>
      <c r="CR1" s="549"/>
      <c r="CS1" s="549"/>
      <c r="CT1" s="549"/>
      <c r="CU1" s="549"/>
      <c r="CV1" s="549"/>
      <c r="CW1" s="550"/>
      <c r="CX1" s="2" t="s">
        <v>2</v>
      </c>
    </row>
    <row r="2" spans="1:116" ht="30" customHeight="1" x14ac:dyDescent="0.25">
      <c r="B2" s="547"/>
      <c r="C2" s="547"/>
      <c r="D2" s="548" t="s">
        <v>3</v>
      </c>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549"/>
      <c r="BE2" s="549"/>
      <c r="BF2" s="549"/>
      <c r="BG2" s="549"/>
      <c r="BH2" s="549"/>
      <c r="BI2" s="549"/>
      <c r="BJ2" s="549"/>
      <c r="BK2" s="549"/>
      <c r="BL2" s="549"/>
      <c r="BM2" s="549"/>
      <c r="BN2" s="549"/>
      <c r="BO2" s="549"/>
      <c r="BP2" s="549"/>
      <c r="BQ2" s="549"/>
      <c r="BR2" s="549"/>
      <c r="BS2" s="549"/>
      <c r="BT2" s="549"/>
      <c r="BU2" s="549"/>
      <c r="BV2" s="549"/>
      <c r="BW2" s="549"/>
      <c r="BX2" s="549"/>
      <c r="BY2" s="549"/>
      <c r="BZ2" s="549"/>
      <c r="CA2" s="549"/>
      <c r="CB2" s="549"/>
      <c r="CC2" s="549"/>
      <c r="CD2" s="549"/>
      <c r="CE2" s="549"/>
      <c r="CF2" s="549"/>
      <c r="CG2" s="549"/>
      <c r="CH2" s="549"/>
      <c r="CI2" s="549"/>
      <c r="CJ2" s="549"/>
      <c r="CK2" s="549"/>
      <c r="CL2" s="549"/>
      <c r="CM2" s="549"/>
      <c r="CN2" s="549"/>
      <c r="CO2" s="549"/>
      <c r="CP2" s="549"/>
      <c r="CQ2" s="549"/>
      <c r="CR2" s="549"/>
      <c r="CS2" s="549"/>
      <c r="CT2" s="549"/>
      <c r="CU2" s="549"/>
      <c r="CV2" s="549"/>
      <c r="CW2" s="550"/>
      <c r="CX2" s="2" t="s">
        <v>4</v>
      </c>
    </row>
    <row r="3" spans="1:116" ht="30.75" customHeight="1" x14ac:dyDescent="0.25">
      <c r="B3" s="547"/>
      <c r="C3" s="547"/>
      <c r="D3" s="548" t="s">
        <v>5</v>
      </c>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49"/>
      <c r="BX3" s="549"/>
      <c r="BY3" s="549"/>
      <c r="BZ3" s="549"/>
      <c r="CA3" s="549"/>
      <c r="CB3" s="549"/>
      <c r="CC3" s="549"/>
      <c r="CD3" s="549"/>
      <c r="CE3" s="549"/>
      <c r="CF3" s="549"/>
      <c r="CG3" s="549"/>
      <c r="CH3" s="549"/>
      <c r="CI3" s="549"/>
      <c r="CJ3" s="549"/>
      <c r="CK3" s="549"/>
      <c r="CL3" s="549"/>
      <c r="CM3" s="549"/>
      <c r="CN3" s="549"/>
      <c r="CO3" s="549"/>
      <c r="CP3" s="549"/>
      <c r="CQ3" s="549"/>
      <c r="CR3" s="549"/>
      <c r="CS3" s="549"/>
      <c r="CT3" s="549"/>
      <c r="CU3" s="549"/>
      <c r="CV3" s="549"/>
      <c r="CW3" s="550"/>
      <c r="CX3" s="2" t="s">
        <v>6</v>
      </c>
      <c r="CZ3" s="3"/>
    </row>
    <row r="4" spans="1:116" ht="24.75" customHeight="1" x14ac:dyDescent="0.25">
      <c r="B4" s="547"/>
      <c r="C4" s="547"/>
      <c r="D4" s="548" t="s">
        <v>7</v>
      </c>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U4" s="549"/>
      <c r="AV4" s="549"/>
      <c r="AW4" s="549"/>
      <c r="AX4" s="549"/>
      <c r="AY4" s="549"/>
      <c r="AZ4" s="549"/>
      <c r="BA4" s="549"/>
      <c r="BB4" s="549"/>
      <c r="BC4" s="549"/>
      <c r="BD4" s="549"/>
      <c r="BE4" s="549"/>
      <c r="BF4" s="549"/>
      <c r="BG4" s="549"/>
      <c r="BH4" s="549"/>
      <c r="BI4" s="549"/>
      <c r="BJ4" s="549"/>
      <c r="BK4" s="549"/>
      <c r="BL4" s="549"/>
      <c r="BM4" s="549"/>
      <c r="BN4" s="549"/>
      <c r="BO4" s="549"/>
      <c r="BP4" s="549"/>
      <c r="BQ4" s="549"/>
      <c r="BR4" s="549"/>
      <c r="BS4" s="549"/>
      <c r="BT4" s="549"/>
      <c r="BU4" s="549"/>
      <c r="BV4" s="549"/>
      <c r="BW4" s="549"/>
      <c r="BX4" s="549"/>
      <c r="BY4" s="549"/>
      <c r="BZ4" s="549"/>
      <c r="CA4" s="549"/>
      <c r="CB4" s="549"/>
      <c r="CC4" s="549"/>
      <c r="CD4" s="549"/>
      <c r="CE4" s="549"/>
      <c r="CF4" s="549"/>
      <c r="CG4" s="549"/>
      <c r="CH4" s="549"/>
      <c r="CI4" s="549"/>
      <c r="CJ4" s="549"/>
      <c r="CK4" s="549"/>
      <c r="CL4" s="549"/>
      <c r="CM4" s="549"/>
      <c r="CN4" s="549"/>
      <c r="CO4" s="549"/>
      <c r="CP4" s="549"/>
      <c r="CQ4" s="549"/>
      <c r="CR4" s="549"/>
      <c r="CS4" s="549"/>
      <c r="CT4" s="549"/>
      <c r="CU4" s="549"/>
      <c r="CV4" s="549"/>
      <c r="CW4" s="550"/>
      <c r="CX4" s="2" t="s">
        <v>8</v>
      </c>
    </row>
    <row r="5" spans="1:116" ht="27" customHeight="1" x14ac:dyDescent="0.25">
      <c r="B5" s="547" t="s">
        <v>9</v>
      </c>
      <c r="C5" s="547"/>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c r="CD5" s="551"/>
      <c r="CE5" s="551"/>
      <c r="CF5" s="551"/>
      <c r="CG5" s="551"/>
      <c r="CH5" s="551"/>
      <c r="CI5" s="551"/>
      <c r="CJ5" s="551"/>
      <c r="CK5" s="551"/>
      <c r="CL5" s="551"/>
      <c r="CM5" s="551"/>
      <c r="CN5" s="551"/>
      <c r="CO5" s="551"/>
      <c r="CP5" s="551"/>
      <c r="CQ5" s="551"/>
      <c r="CR5" s="551"/>
      <c r="CS5" s="551"/>
      <c r="CT5" s="551"/>
      <c r="CU5" s="551"/>
      <c r="CV5" s="551"/>
      <c r="CW5" s="551"/>
      <c r="CX5" s="552"/>
    </row>
    <row r="6" spans="1:116" ht="30.75" customHeight="1" thickBot="1" x14ac:dyDescent="0.3">
      <c r="A6" s="535" t="s">
        <v>11</v>
      </c>
      <c r="B6" s="535"/>
      <c r="C6" s="535"/>
      <c r="D6" s="535"/>
      <c r="E6" s="535"/>
      <c r="F6" s="535"/>
      <c r="G6" s="535"/>
      <c r="H6" s="535"/>
      <c r="I6" s="535"/>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277"/>
      <c r="AL6" s="302"/>
      <c r="AM6" s="302"/>
      <c r="AN6" s="537" t="s">
        <v>12</v>
      </c>
      <c r="AO6" s="537"/>
      <c r="AP6" s="537"/>
      <c r="AQ6" s="538"/>
      <c r="AR6" s="539" t="s">
        <v>13</v>
      </c>
      <c r="AS6" s="537"/>
      <c r="AT6" s="537"/>
      <c r="AU6" s="537"/>
      <c r="AV6" s="537"/>
      <c r="AW6" s="537"/>
      <c r="AX6" s="537"/>
      <c r="AY6" s="537"/>
      <c r="AZ6" s="537"/>
      <c r="BA6" s="537"/>
      <c r="BB6" s="537"/>
      <c r="BC6" s="537"/>
      <c r="BD6" s="537"/>
      <c r="BE6" s="537"/>
      <c r="BF6" s="537"/>
      <c r="BG6" s="537"/>
      <c r="BH6" s="537"/>
      <c r="BI6" s="537"/>
      <c r="BJ6" s="537"/>
      <c r="BK6" s="537"/>
      <c r="BL6" s="537"/>
      <c r="BM6" s="537"/>
      <c r="BN6" s="537"/>
      <c r="BO6" s="537"/>
      <c r="BP6" s="540"/>
      <c r="BQ6" s="541" t="s">
        <v>14</v>
      </c>
      <c r="BR6" s="542"/>
      <c r="BS6" s="542"/>
      <c r="BT6" s="542"/>
      <c r="BU6" s="542"/>
      <c r="BV6" s="543" t="s">
        <v>15</v>
      </c>
      <c r="BW6" s="544"/>
      <c r="BX6" s="544"/>
      <c r="BY6" s="544"/>
      <c r="BZ6" s="544"/>
      <c r="CA6" s="544"/>
      <c r="CB6" s="544"/>
      <c r="CC6" s="544"/>
      <c r="CD6" s="544"/>
      <c r="CE6" s="544"/>
      <c r="CF6" s="544"/>
      <c r="CG6" s="544"/>
      <c r="CH6" s="544"/>
      <c r="CI6" s="544"/>
      <c r="CJ6" s="544"/>
      <c r="CK6" s="544"/>
      <c r="CL6" s="544"/>
      <c r="CM6" s="544"/>
      <c r="CN6" s="544"/>
      <c r="CO6" s="544"/>
      <c r="CP6" s="544"/>
      <c r="CQ6" s="544"/>
      <c r="CR6" s="544"/>
      <c r="CS6" s="544"/>
      <c r="CT6" s="545"/>
      <c r="CU6" s="545"/>
      <c r="CV6" s="545"/>
      <c r="CW6" s="545"/>
      <c r="CX6" s="545"/>
      <c r="CY6" s="545"/>
      <c r="CZ6" s="545"/>
      <c r="DA6" s="545"/>
      <c r="DB6" s="546"/>
      <c r="DC6" s="526" t="s">
        <v>16</v>
      </c>
      <c r="DD6" s="526"/>
      <c r="DE6" s="644" t="s">
        <v>712</v>
      </c>
      <c r="DF6" s="645"/>
      <c r="DG6" s="645"/>
      <c r="DH6" s="645"/>
      <c r="DI6" s="645"/>
      <c r="DJ6" s="645"/>
      <c r="DK6" s="645"/>
      <c r="DL6" s="645"/>
    </row>
    <row r="7" spans="1:116" ht="96" customHeight="1" x14ac:dyDescent="0.25">
      <c r="A7" s="533" t="s">
        <v>17</v>
      </c>
      <c r="B7" s="509" t="s">
        <v>18</v>
      </c>
      <c r="C7" s="509" t="s">
        <v>19</v>
      </c>
      <c r="D7" s="509" t="s">
        <v>20</v>
      </c>
      <c r="E7" s="509" t="s">
        <v>21</v>
      </c>
      <c r="F7" s="509" t="s">
        <v>22</v>
      </c>
      <c r="G7" s="531" t="s">
        <v>23</v>
      </c>
      <c r="H7" s="531" t="s">
        <v>24</v>
      </c>
      <c r="I7" s="531" t="s">
        <v>25</v>
      </c>
      <c r="J7" s="532" t="s">
        <v>26</v>
      </c>
      <c r="K7" s="526" t="s">
        <v>27</v>
      </c>
      <c r="L7" s="526" t="s">
        <v>28</v>
      </c>
      <c r="M7" s="526" t="s">
        <v>29</v>
      </c>
      <c r="N7" s="526" t="s">
        <v>30</v>
      </c>
      <c r="O7" s="528" t="s">
        <v>31</v>
      </c>
      <c r="P7" s="528"/>
      <c r="Q7" s="528" t="s">
        <v>32</v>
      </c>
      <c r="R7" s="642" t="s">
        <v>33</v>
      </c>
      <c r="S7" s="642" t="s">
        <v>34</v>
      </c>
      <c r="T7" s="529" t="s">
        <v>526</v>
      </c>
      <c r="U7" s="529" t="s">
        <v>524</v>
      </c>
      <c r="V7" s="529" t="s">
        <v>525</v>
      </c>
      <c r="W7" s="529" t="s">
        <v>523</v>
      </c>
      <c r="X7" s="520" t="s">
        <v>570</v>
      </c>
      <c r="Y7" s="520" t="s">
        <v>571</v>
      </c>
      <c r="Z7" s="520" t="s">
        <v>572</v>
      </c>
      <c r="AA7" s="520" t="s">
        <v>573</v>
      </c>
      <c r="AB7" s="520" t="s">
        <v>666</v>
      </c>
      <c r="AC7" s="520" t="s">
        <v>667</v>
      </c>
      <c r="AD7" s="520" t="s">
        <v>668</v>
      </c>
      <c r="AE7" s="520" t="s">
        <v>669</v>
      </c>
      <c r="AF7" s="530" t="s">
        <v>698</v>
      </c>
      <c r="AG7" s="530" t="s">
        <v>699</v>
      </c>
      <c r="AH7" s="530" t="s">
        <v>700</v>
      </c>
      <c r="AI7" s="530" t="s">
        <v>701</v>
      </c>
      <c r="AJ7" s="642" t="s">
        <v>35</v>
      </c>
      <c r="AK7" s="672" t="s">
        <v>776</v>
      </c>
      <c r="AL7" s="674" t="s">
        <v>777</v>
      </c>
      <c r="AM7" s="674" t="s">
        <v>778</v>
      </c>
      <c r="AN7" s="527" t="s">
        <v>36</v>
      </c>
      <c r="AO7" s="527" t="s">
        <v>37</v>
      </c>
      <c r="AP7" s="527" t="s">
        <v>38</v>
      </c>
      <c r="AQ7" s="527" t="s">
        <v>39</v>
      </c>
      <c r="AR7" s="526" t="s">
        <v>40</v>
      </c>
      <c r="AS7" s="642" t="s">
        <v>41</v>
      </c>
      <c r="AT7" s="526" t="s">
        <v>42</v>
      </c>
      <c r="AU7" s="525" t="s">
        <v>43</v>
      </c>
      <c r="AV7" s="525" t="s">
        <v>44</v>
      </c>
      <c r="AW7" s="525" t="s">
        <v>45</v>
      </c>
      <c r="AX7" s="525" t="s">
        <v>46</v>
      </c>
      <c r="AY7" s="199" t="s">
        <v>611</v>
      </c>
      <c r="AZ7" s="199" t="s">
        <v>612</v>
      </c>
      <c r="BA7" s="199" t="s">
        <v>713</v>
      </c>
      <c r="BB7" s="701" t="s">
        <v>714</v>
      </c>
      <c r="BC7" s="703" t="s">
        <v>779</v>
      </c>
      <c r="BD7" s="703" t="s">
        <v>780</v>
      </c>
      <c r="BE7" s="703" t="s">
        <v>781</v>
      </c>
      <c r="BF7" s="703"/>
      <c r="BG7" s="703" t="s">
        <v>785</v>
      </c>
      <c r="BH7" s="703" t="s">
        <v>780</v>
      </c>
      <c r="BI7" s="703" t="s">
        <v>781</v>
      </c>
      <c r="BJ7" s="714" t="s">
        <v>782</v>
      </c>
      <c r="BK7" s="714" t="s">
        <v>783</v>
      </c>
      <c r="BL7" s="703" t="s">
        <v>784</v>
      </c>
      <c r="BM7" s="210"/>
      <c r="BN7" s="525" t="s">
        <v>47</v>
      </c>
      <c r="BO7" s="525" t="s">
        <v>48</v>
      </c>
      <c r="BP7" s="520" t="s">
        <v>49</v>
      </c>
      <c r="BQ7" s="520" t="s">
        <v>50</v>
      </c>
      <c r="BR7" s="520" t="s">
        <v>51</v>
      </c>
      <c r="BS7" s="520" t="s">
        <v>52</v>
      </c>
      <c r="BT7" s="520" t="s">
        <v>53</v>
      </c>
      <c r="BU7" s="520" t="s">
        <v>54</v>
      </c>
      <c r="BV7" s="520" t="s">
        <v>55</v>
      </c>
      <c r="BW7" s="101" t="s">
        <v>56</v>
      </c>
      <c r="BX7" s="101" t="s">
        <v>57</v>
      </c>
      <c r="BY7" s="101" t="s">
        <v>558</v>
      </c>
      <c r="BZ7" s="101" t="s">
        <v>569</v>
      </c>
      <c r="CA7" s="101" t="s">
        <v>560</v>
      </c>
      <c r="CB7" s="101" t="s">
        <v>702</v>
      </c>
      <c r="CC7" s="101" t="s">
        <v>703</v>
      </c>
      <c r="CD7" s="144" t="s">
        <v>520</v>
      </c>
      <c r="CE7" s="144" t="s">
        <v>521</v>
      </c>
      <c r="CF7" s="144" t="s">
        <v>522</v>
      </c>
      <c r="CG7" s="101" t="s">
        <v>559</v>
      </c>
      <c r="CH7" s="101" t="s">
        <v>574</v>
      </c>
      <c r="CI7" s="101" t="s">
        <v>575</v>
      </c>
      <c r="CJ7" s="101" t="s">
        <v>576</v>
      </c>
      <c r="CK7" s="101" t="s">
        <v>577</v>
      </c>
      <c r="CL7" s="101" t="s">
        <v>671</v>
      </c>
      <c r="CM7" s="101" t="s">
        <v>672</v>
      </c>
      <c r="CN7" s="101" t="s">
        <v>673</v>
      </c>
      <c r="CO7" s="101" t="s">
        <v>674</v>
      </c>
      <c r="CP7" s="143" t="s">
        <v>704</v>
      </c>
      <c r="CQ7" s="143" t="s">
        <v>705</v>
      </c>
      <c r="CR7" s="143" t="s">
        <v>706</v>
      </c>
      <c r="CS7" s="143" t="s">
        <v>707</v>
      </c>
      <c r="CT7" s="521" t="s">
        <v>58</v>
      </c>
      <c r="CU7" s="523" t="s">
        <v>59</v>
      </c>
      <c r="CV7" s="431" t="s">
        <v>60</v>
      </c>
      <c r="CW7" s="510" t="s">
        <v>61</v>
      </c>
      <c r="CX7" s="512" t="s">
        <v>62</v>
      </c>
      <c r="CY7" s="514" t="s">
        <v>63</v>
      </c>
      <c r="CZ7" s="512" t="s">
        <v>64</v>
      </c>
      <c r="DA7" s="516" t="s">
        <v>65</v>
      </c>
      <c r="DB7" s="518" t="s">
        <v>66</v>
      </c>
      <c r="DC7" s="436" t="s">
        <v>67</v>
      </c>
      <c r="DD7" s="436" t="s">
        <v>68</v>
      </c>
      <c r="DE7" s="238" t="s">
        <v>579</v>
      </c>
      <c r="DF7" s="238" t="s">
        <v>578</v>
      </c>
      <c r="DG7" s="64"/>
      <c r="DH7" s="64"/>
      <c r="DI7" s="238" t="s">
        <v>578</v>
      </c>
      <c r="DJ7" s="64"/>
      <c r="DK7" s="238" t="s">
        <v>670</v>
      </c>
      <c r="DL7" s="143" t="s">
        <v>711</v>
      </c>
    </row>
    <row r="8" spans="1:116" ht="15.75" customHeight="1" thickBot="1" x14ac:dyDescent="0.3">
      <c r="A8" s="534"/>
      <c r="B8" s="526"/>
      <c r="C8" s="526"/>
      <c r="D8" s="526"/>
      <c r="E8" s="526"/>
      <c r="F8" s="526"/>
      <c r="G8" s="528"/>
      <c r="H8" s="528"/>
      <c r="I8" s="528"/>
      <c r="J8" s="532"/>
      <c r="K8" s="526"/>
      <c r="L8" s="526"/>
      <c r="M8" s="526"/>
      <c r="N8" s="526"/>
      <c r="O8" s="74" t="s">
        <v>69</v>
      </c>
      <c r="P8" s="74" t="s">
        <v>70</v>
      </c>
      <c r="Q8" s="528"/>
      <c r="R8" s="642"/>
      <c r="S8" s="642"/>
      <c r="T8" s="529"/>
      <c r="U8" s="529"/>
      <c r="V8" s="529"/>
      <c r="W8" s="529"/>
      <c r="X8" s="520"/>
      <c r="Y8" s="520"/>
      <c r="Z8" s="520"/>
      <c r="AA8" s="520"/>
      <c r="AB8" s="520"/>
      <c r="AC8" s="520"/>
      <c r="AD8" s="520"/>
      <c r="AE8" s="520"/>
      <c r="AF8" s="530"/>
      <c r="AG8" s="530"/>
      <c r="AH8" s="530"/>
      <c r="AI8" s="530"/>
      <c r="AJ8" s="642"/>
      <c r="AK8" s="673"/>
      <c r="AL8" s="675"/>
      <c r="AM8" s="675"/>
      <c r="AN8" s="527"/>
      <c r="AO8" s="527"/>
      <c r="AP8" s="527"/>
      <c r="AQ8" s="527"/>
      <c r="AR8" s="526"/>
      <c r="AS8" s="642"/>
      <c r="AT8" s="526"/>
      <c r="AU8" s="525"/>
      <c r="AV8" s="525"/>
      <c r="AW8" s="525"/>
      <c r="AX8" s="525"/>
      <c r="AY8" s="199"/>
      <c r="AZ8" s="199"/>
      <c r="BA8" s="174"/>
      <c r="BB8" s="702"/>
      <c r="BC8" s="704"/>
      <c r="BD8" s="704"/>
      <c r="BE8" s="704"/>
      <c r="BF8" s="704"/>
      <c r="BG8" s="704"/>
      <c r="BH8" s="704"/>
      <c r="BI8" s="704"/>
      <c r="BJ8" s="715"/>
      <c r="BK8" s="715"/>
      <c r="BL8" s="704"/>
      <c r="BM8" s="174"/>
      <c r="BN8" s="525"/>
      <c r="BO8" s="525"/>
      <c r="BP8" s="520"/>
      <c r="BQ8" s="520"/>
      <c r="BR8" s="520"/>
      <c r="BS8" s="520"/>
      <c r="BT8" s="520"/>
      <c r="BU8" s="520"/>
      <c r="BV8" s="520"/>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522"/>
      <c r="CU8" s="524"/>
      <c r="CV8" s="432"/>
      <c r="CW8" s="511"/>
      <c r="CX8" s="513"/>
      <c r="CY8" s="515"/>
      <c r="CZ8" s="513"/>
      <c r="DA8" s="517"/>
      <c r="DB8" s="519"/>
      <c r="DC8" s="436"/>
      <c r="DD8" s="436"/>
      <c r="DE8" s="173"/>
      <c r="DF8" s="173"/>
      <c r="DG8" s="64"/>
      <c r="DH8" s="64"/>
      <c r="DI8" s="64"/>
      <c r="DJ8" s="64"/>
      <c r="DK8" s="64"/>
      <c r="DL8" s="239"/>
    </row>
    <row r="9" spans="1:116" ht="114" x14ac:dyDescent="0.25">
      <c r="A9" s="449" t="s">
        <v>71</v>
      </c>
      <c r="B9" s="506" t="s">
        <v>72</v>
      </c>
      <c r="C9" s="506" t="s">
        <v>73</v>
      </c>
      <c r="D9" s="506" t="s">
        <v>74</v>
      </c>
      <c r="E9" s="507">
        <v>0</v>
      </c>
      <c r="F9" s="507" t="s">
        <v>75</v>
      </c>
      <c r="G9" s="405">
        <v>1</v>
      </c>
      <c r="H9" s="405" t="s">
        <v>76</v>
      </c>
      <c r="I9" s="405">
        <v>1</v>
      </c>
      <c r="J9" s="627" t="s">
        <v>77</v>
      </c>
      <c r="K9" s="504" t="s">
        <v>78</v>
      </c>
      <c r="L9" s="436" t="s">
        <v>76</v>
      </c>
      <c r="M9" s="436">
        <v>0</v>
      </c>
      <c r="N9" s="436" t="s">
        <v>79</v>
      </c>
      <c r="O9" s="436"/>
      <c r="P9" s="436" t="s">
        <v>80</v>
      </c>
      <c r="Q9" s="436" t="s">
        <v>81</v>
      </c>
      <c r="R9" s="635">
        <v>500</v>
      </c>
      <c r="S9" s="640">
        <f>R9-AJ9</f>
        <v>245</v>
      </c>
      <c r="T9" s="503">
        <v>0</v>
      </c>
      <c r="U9" s="503">
        <v>0</v>
      </c>
      <c r="V9" s="503">
        <v>0</v>
      </c>
      <c r="W9" s="503">
        <f>T9+U9+V9</f>
        <v>0</v>
      </c>
      <c r="X9" s="495">
        <v>0</v>
      </c>
      <c r="Y9" s="495">
        <v>15</v>
      </c>
      <c r="Z9" s="495">
        <v>13</v>
      </c>
      <c r="AA9" s="495">
        <f>X9+Y9+Z9</f>
        <v>28</v>
      </c>
      <c r="AB9" s="495">
        <v>0</v>
      </c>
      <c r="AC9" s="495">
        <v>15</v>
      </c>
      <c r="AD9" s="495">
        <v>2</v>
      </c>
      <c r="AE9" s="495">
        <f>AB9+AC9+AD9</f>
        <v>17</v>
      </c>
      <c r="AF9" s="495">
        <v>0</v>
      </c>
      <c r="AG9" s="495">
        <v>0</v>
      </c>
      <c r="AH9" s="495">
        <v>0</v>
      </c>
      <c r="AI9" s="495">
        <f>AF9+AG9+AH9</f>
        <v>0</v>
      </c>
      <c r="AJ9" s="641">
        <f>25+71+159</f>
        <v>255</v>
      </c>
      <c r="AK9" s="676">
        <v>90</v>
      </c>
      <c r="AL9" s="679">
        <f>AK9/S9</f>
        <v>0.36734693877551022</v>
      </c>
      <c r="AM9" s="679">
        <f>SUM(AJ9+AK9)/R9</f>
        <v>0.69</v>
      </c>
      <c r="AN9" s="481" t="s">
        <v>82</v>
      </c>
      <c r="AO9" s="475" t="s">
        <v>83</v>
      </c>
      <c r="AP9" s="502" t="s">
        <v>84</v>
      </c>
      <c r="AQ9" s="436" t="s">
        <v>85</v>
      </c>
      <c r="AR9" s="436" t="s">
        <v>86</v>
      </c>
      <c r="AS9" s="565" t="s">
        <v>87</v>
      </c>
      <c r="AT9" s="436" t="s">
        <v>88</v>
      </c>
      <c r="AU9" s="4" t="s">
        <v>89</v>
      </c>
      <c r="AV9" s="4" t="s">
        <v>90</v>
      </c>
      <c r="AW9" s="4">
        <v>1</v>
      </c>
      <c r="AX9" s="65">
        <v>0.2</v>
      </c>
      <c r="AY9" s="200">
        <v>1</v>
      </c>
      <c r="AZ9" s="200">
        <v>0</v>
      </c>
      <c r="BA9" s="200">
        <v>0</v>
      </c>
      <c r="BB9" s="206">
        <v>0</v>
      </c>
      <c r="BC9" s="206"/>
      <c r="BD9" s="206"/>
      <c r="BE9" s="206"/>
      <c r="BF9" s="349"/>
      <c r="BG9" s="379">
        <f>BB9/AW9</f>
        <v>0</v>
      </c>
      <c r="BH9" s="349"/>
      <c r="BI9" s="349" t="s">
        <v>786</v>
      </c>
      <c r="BJ9" s="705">
        <v>900000000</v>
      </c>
      <c r="BK9" s="705">
        <f>0</f>
        <v>0</v>
      </c>
      <c r="BL9" s="708">
        <f>BK9/BJ9</f>
        <v>0</v>
      </c>
      <c r="BM9" s="206"/>
      <c r="BN9" s="78">
        <v>44927</v>
      </c>
      <c r="BO9" s="78">
        <v>45291</v>
      </c>
      <c r="BP9" s="4">
        <v>365</v>
      </c>
      <c r="BQ9" s="4">
        <v>245</v>
      </c>
      <c r="BR9" s="4">
        <v>255</v>
      </c>
      <c r="BS9" s="4" t="s">
        <v>91</v>
      </c>
      <c r="BT9" s="4" t="s">
        <v>92</v>
      </c>
      <c r="BU9" s="4" t="s">
        <v>93</v>
      </c>
      <c r="BV9" s="102">
        <v>0</v>
      </c>
      <c r="BW9" s="102">
        <v>0</v>
      </c>
      <c r="BX9" s="225">
        <f>BV9+BW9</f>
        <v>0</v>
      </c>
      <c r="BY9" s="102">
        <v>0</v>
      </c>
      <c r="BZ9" s="102">
        <v>0</v>
      </c>
      <c r="CA9" s="226">
        <f>BV9+BW9+BY9+BZ9</f>
        <v>0</v>
      </c>
      <c r="CB9" s="86">
        <v>0</v>
      </c>
      <c r="CC9" s="226">
        <f>BV9+BW9+BY9+BZ9+CB9</f>
        <v>0</v>
      </c>
      <c r="CD9" s="102">
        <v>0</v>
      </c>
      <c r="CE9" s="102">
        <v>0</v>
      </c>
      <c r="CF9" s="102">
        <v>0</v>
      </c>
      <c r="CG9" s="102">
        <f>SUM(CD9:CF9)</f>
        <v>0</v>
      </c>
      <c r="CH9" s="86">
        <v>0</v>
      </c>
      <c r="CI9" s="86">
        <v>0</v>
      </c>
      <c r="CJ9" s="86">
        <v>0</v>
      </c>
      <c r="CK9" s="86">
        <f>SUM(CH9:CJ9)</f>
        <v>0</v>
      </c>
      <c r="CL9" s="102">
        <v>0</v>
      </c>
      <c r="CM9" s="102">
        <v>0</v>
      </c>
      <c r="CN9" s="102">
        <v>0</v>
      </c>
      <c r="CO9" s="102">
        <f>SUM(CL9:CN9)</f>
        <v>0</v>
      </c>
      <c r="CP9" s="86">
        <v>0</v>
      </c>
      <c r="CQ9" s="86">
        <v>0</v>
      </c>
      <c r="CR9" s="86">
        <v>0</v>
      </c>
      <c r="CS9" s="226">
        <f>SUM(CP9:CR9)</f>
        <v>0</v>
      </c>
      <c r="CT9" s="619" t="s">
        <v>561</v>
      </c>
      <c r="CU9" s="478" t="s">
        <v>568</v>
      </c>
      <c r="CV9" s="478" t="s">
        <v>95</v>
      </c>
      <c r="CW9" s="64" t="s">
        <v>96</v>
      </c>
      <c r="CX9" s="64" t="s">
        <v>97</v>
      </c>
      <c r="CY9" s="64" t="s">
        <v>97</v>
      </c>
      <c r="CZ9" s="64" t="s">
        <v>97</v>
      </c>
      <c r="DA9" s="64" t="s">
        <v>97</v>
      </c>
      <c r="DB9" s="64" t="s">
        <v>98</v>
      </c>
      <c r="DC9" s="438" t="s">
        <v>99</v>
      </c>
      <c r="DD9" s="438" t="s">
        <v>100</v>
      </c>
      <c r="DE9" s="173" t="s">
        <v>531</v>
      </c>
      <c r="DF9" s="173" t="s">
        <v>581</v>
      </c>
      <c r="DG9" s="86">
        <f>CG9+CK9</f>
        <v>0</v>
      </c>
      <c r="DH9" s="80">
        <v>1</v>
      </c>
      <c r="DI9" s="64" t="s">
        <v>687</v>
      </c>
      <c r="DJ9" s="80">
        <v>1</v>
      </c>
      <c r="DK9" s="64" t="s">
        <v>690</v>
      </c>
      <c r="DL9" s="117" t="s">
        <v>748</v>
      </c>
    </row>
    <row r="10" spans="1:116" ht="71.25" x14ac:dyDescent="0.25">
      <c r="A10" s="450"/>
      <c r="B10" s="506"/>
      <c r="C10" s="506"/>
      <c r="D10" s="506"/>
      <c r="E10" s="508"/>
      <c r="F10" s="508"/>
      <c r="G10" s="406"/>
      <c r="H10" s="406"/>
      <c r="I10" s="406"/>
      <c r="J10" s="628"/>
      <c r="K10" s="504"/>
      <c r="L10" s="436"/>
      <c r="M10" s="436"/>
      <c r="N10" s="436"/>
      <c r="O10" s="436"/>
      <c r="P10" s="436"/>
      <c r="Q10" s="436"/>
      <c r="R10" s="635"/>
      <c r="S10" s="640"/>
      <c r="T10" s="503"/>
      <c r="U10" s="503"/>
      <c r="V10" s="503"/>
      <c r="W10" s="503"/>
      <c r="X10" s="495"/>
      <c r="Y10" s="495"/>
      <c r="Z10" s="495"/>
      <c r="AA10" s="495"/>
      <c r="AB10" s="495"/>
      <c r="AC10" s="495"/>
      <c r="AD10" s="495"/>
      <c r="AE10" s="495"/>
      <c r="AF10" s="495"/>
      <c r="AG10" s="495"/>
      <c r="AH10" s="495"/>
      <c r="AI10" s="495"/>
      <c r="AJ10" s="641"/>
      <c r="AK10" s="677"/>
      <c r="AL10" s="680"/>
      <c r="AM10" s="680"/>
      <c r="AN10" s="481"/>
      <c r="AO10" s="475"/>
      <c r="AP10" s="502"/>
      <c r="AQ10" s="436"/>
      <c r="AR10" s="436"/>
      <c r="AS10" s="565"/>
      <c r="AT10" s="436"/>
      <c r="AU10" s="4" t="s">
        <v>101</v>
      </c>
      <c r="AV10" s="4" t="s">
        <v>102</v>
      </c>
      <c r="AW10" s="4">
        <v>1</v>
      </c>
      <c r="AX10" s="65">
        <v>0.1</v>
      </c>
      <c r="AY10" s="201">
        <v>0</v>
      </c>
      <c r="AZ10" s="201">
        <v>1</v>
      </c>
      <c r="BA10" s="201">
        <v>0</v>
      </c>
      <c r="BB10" s="206">
        <v>0</v>
      </c>
      <c r="BC10" s="206"/>
      <c r="BD10" s="206"/>
      <c r="BE10" s="206"/>
      <c r="BF10" s="349"/>
      <c r="BG10" s="379">
        <f t="shared" ref="BG10:BG73" si="0">BB10/AW10</f>
        <v>0</v>
      </c>
      <c r="BH10" s="349"/>
      <c r="BI10" s="349"/>
      <c r="BJ10" s="706"/>
      <c r="BK10" s="706"/>
      <c r="BL10" s="709"/>
      <c r="BM10" s="206"/>
      <c r="BN10" s="78">
        <v>44927</v>
      </c>
      <c r="BO10" s="78">
        <v>45291</v>
      </c>
      <c r="BP10" s="4">
        <v>365</v>
      </c>
      <c r="BQ10" s="4">
        <v>245</v>
      </c>
      <c r="BR10" s="4">
        <v>255</v>
      </c>
      <c r="BS10" s="4" t="s">
        <v>91</v>
      </c>
      <c r="BT10" s="4" t="s">
        <v>92</v>
      </c>
      <c r="BU10" s="4" t="s">
        <v>93</v>
      </c>
      <c r="BV10" s="102">
        <v>0</v>
      </c>
      <c r="BW10" s="102">
        <v>0</v>
      </c>
      <c r="BX10" s="225">
        <f t="shared" ref="BX10:BX82" si="1">BV10+BW10</f>
        <v>0</v>
      </c>
      <c r="BY10" s="102">
        <v>0</v>
      </c>
      <c r="BZ10" s="102">
        <v>0</v>
      </c>
      <c r="CA10" s="226">
        <f t="shared" ref="CA10:CA82" si="2">BV10+BW10+BY10+BZ10</f>
        <v>0</v>
      </c>
      <c r="CB10" s="86">
        <v>0</v>
      </c>
      <c r="CC10" s="226">
        <f t="shared" ref="CC10:CC80" si="3">BV10+BW10+BY10+BZ10+CB10</f>
        <v>0</v>
      </c>
      <c r="CD10" s="102">
        <v>0</v>
      </c>
      <c r="CE10" s="102">
        <v>0</v>
      </c>
      <c r="CF10" s="102">
        <v>0</v>
      </c>
      <c r="CG10" s="102">
        <f t="shared" ref="CG10:CG42" si="4">SUM(CD10:CF10)</f>
        <v>0</v>
      </c>
      <c r="CH10" s="86">
        <v>0</v>
      </c>
      <c r="CI10" s="86">
        <v>0</v>
      </c>
      <c r="CJ10" s="86">
        <v>0</v>
      </c>
      <c r="CK10" s="86">
        <f t="shared" ref="CK10:CK42" si="5">SUM(CH10:CJ10)</f>
        <v>0</v>
      </c>
      <c r="CL10" s="102">
        <v>0</v>
      </c>
      <c r="CM10" s="102">
        <v>0</v>
      </c>
      <c r="CN10" s="102">
        <v>0</v>
      </c>
      <c r="CO10" s="102">
        <f t="shared" ref="CO10:CS42" si="6">SUM(CL10:CN10)</f>
        <v>0</v>
      </c>
      <c r="CP10" s="86">
        <v>0</v>
      </c>
      <c r="CQ10" s="86">
        <v>0</v>
      </c>
      <c r="CR10" s="86">
        <v>0</v>
      </c>
      <c r="CS10" s="226">
        <f t="shared" ref="CS10:CS82" si="7">SUM(CP10:CR10)</f>
        <v>0</v>
      </c>
      <c r="CT10" s="620"/>
      <c r="CU10" s="479"/>
      <c r="CV10" s="479"/>
      <c r="CW10" s="64" t="s">
        <v>96</v>
      </c>
      <c r="CX10" s="64" t="s">
        <v>97</v>
      </c>
      <c r="CY10" s="64" t="s">
        <v>97</v>
      </c>
      <c r="CZ10" s="64" t="s">
        <v>97</v>
      </c>
      <c r="DA10" s="64" t="s">
        <v>97</v>
      </c>
      <c r="DB10" s="64" t="s">
        <v>103</v>
      </c>
      <c r="DC10" s="438"/>
      <c r="DD10" s="438"/>
      <c r="DE10" s="173" t="s">
        <v>530</v>
      </c>
      <c r="DF10" s="173" t="s">
        <v>582</v>
      </c>
      <c r="DG10" s="86">
        <f t="shared" ref="DG10:DG82" si="8">CG10+CK10</f>
        <v>0</v>
      </c>
      <c r="DH10" s="80">
        <v>1</v>
      </c>
      <c r="DI10" s="64" t="s">
        <v>630</v>
      </c>
      <c r="DJ10" s="80">
        <v>1</v>
      </c>
      <c r="DK10" s="64" t="s">
        <v>688</v>
      </c>
      <c r="DL10" s="117" t="s">
        <v>748</v>
      </c>
    </row>
    <row r="11" spans="1:116" ht="71.25" x14ac:dyDescent="0.25">
      <c r="A11" s="450"/>
      <c r="B11" s="506"/>
      <c r="C11" s="506"/>
      <c r="D11" s="506"/>
      <c r="E11" s="508"/>
      <c r="F11" s="508"/>
      <c r="G11" s="406"/>
      <c r="H11" s="406"/>
      <c r="I11" s="406"/>
      <c r="J11" s="628"/>
      <c r="K11" s="505"/>
      <c r="L11" s="438"/>
      <c r="M11" s="436"/>
      <c r="N11" s="438"/>
      <c r="O11" s="438"/>
      <c r="P11" s="438"/>
      <c r="Q11" s="436"/>
      <c r="R11" s="639"/>
      <c r="S11" s="639"/>
      <c r="T11" s="500"/>
      <c r="U11" s="500"/>
      <c r="V11" s="500"/>
      <c r="W11" s="500"/>
      <c r="X11" s="500"/>
      <c r="Y11" s="500"/>
      <c r="Z11" s="500"/>
      <c r="AA11" s="500"/>
      <c r="AB11" s="500"/>
      <c r="AC11" s="500"/>
      <c r="AD11" s="500"/>
      <c r="AE11" s="500"/>
      <c r="AF11" s="500"/>
      <c r="AG11" s="500"/>
      <c r="AH11" s="500"/>
      <c r="AI11" s="500"/>
      <c r="AJ11" s="639"/>
      <c r="AK11" s="677"/>
      <c r="AL11" s="680"/>
      <c r="AM11" s="680"/>
      <c r="AN11" s="481"/>
      <c r="AO11" s="475"/>
      <c r="AP11" s="502"/>
      <c r="AQ11" s="436"/>
      <c r="AR11" s="438"/>
      <c r="AS11" s="464"/>
      <c r="AT11" s="438"/>
      <c r="AU11" s="4" t="s">
        <v>104</v>
      </c>
      <c r="AV11" s="4" t="s">
        <v>105</v>
      </c>
      <c r="AW11" s="4">
        <v>1</v>
      </c>
      <c r="AX11" s="65">
        <v>0.1</v>
      </c>
      <c r="AY11" s="201">
        <v>0</v>
      </c>
      <c r="AZ11" s="201">
        <v>1</v>
      </c>
      <c r="BA11" s="201">
        <v>0</v>
      </c>
      <c r="BB11" s="206">
        <v>0</v>
      </c>
      <c r="BC11" s="206"/>
      <c r="BD11" s="206"/>
      <c r="BE11" s="206"/>
      <c r="BF11" s="349"/>
      <c r="BG11" s="379">
        <f t="shared" si="0"/>
        <v>0</v>
      </c>
      <c r="BH11" s="349"/>
      <c r="BI11" s="349"/>
      <c r="BJ11" s="706"/>
      <c r="BK11" s="706"/>
      <c r="BL11" s="709"/>
      <c r="BM11" s="206"/>
      <c r="BN11" s="78">
        <v>44927</v>
      </c>
      <c r="BO11" s="78">
        <v>45291</v>
      </c>
      <c r="BP11" s="4">
        <v>365</v>
      </c>
      <c r="BQ11" s="4">
        <v>245</v>
      </c>
      <c r="BR11" s="4">
        <v>255</v>
      </c>
      <c r="BS11" s="4" t="s">
        <v>91</v>
      </c>
      <c r="BT11" s="4" t="s">
        <v>92</v>
      </c>
      <c r="BU11" s="4" t="s">
        <v>93</v>
      </c>
      <c r="BV11" s="102">
        <v>0</v>
      </c>
      <c r="BW11" s="102">
        <v>0</v>
      </c>
      <c r="BX11" s="225">
        <f t="shared" si="1"/>
        <v>0</v>
      </c>
      <c r="BY11" s="102">
        <v>0</v>
      </c>
      <c r="BZ11" s="102">
        <v>0</v>
      </c>
      <c r="CA11" s="226">
        <f t="shared" si="2"/>
        <v>0</v>
      </c>
      <c r="CB11" s="86">
        <v>0</v>
      </c>
      <c r="CC11" s="226">
        <f t="shared" si="3"/>
        <v>0</v>
      </c>
      <c r="CD11" s="102">
        <v>0</v>
      </c>
      <c r="CE11" s="102">
        <v>0</v>
      </c>
      <c r="CF11" s="102">
        <v>0</v>
      </c>
      <c r="CG11" s="102">
        <f t="shared" si="4"/>
        <v>0</v>
      </c>
      <c r="CH11" s="86">
        <v>0</v>
      </c>
      <c r="CI11" s="86">
        <v>0</v>
      </c>
      <c r="CJ11" s="86">
        <v>0</v>
      </c>
      <c r="CK11" s="86">
        <f t="shared" si="5"/>
        <v>0</v>
      </c>
      <c r="CL11" s="102">
        <v>0</v>
      </c>
      <c r="CM11" s="102">
        <v>0</v>
      </c>
      <c r="CN11" s="102">
        <v>0</v>
      </c>
      <c r="CO11" s="102">
        <f t="shared" si="6"/>
        <v>0</v>
      </c>
      <c r="CP11" s="86">
        <v>0</v>
      </c>
      <c r="CQ11" s="86">
        <v>0</v>
      </c>
      <c r="CR11" s="86">
        <v>0</v>
      </c>
      <c r="CS11" s="226">
        <v>0</v>
      </c>
      <c r="CT11" s="620"/>
      <c r="CU11" s="479"/>
      <c r="CV11" s="479"/>
      <c r="CW11" s="64" t="s">
        <v>96</v>
      </c>
      <c r="CX11" s="64" t="s">
        <v>97</v>
      </c>
      <c r="CY11" s="64" t="s">
        <v>97</v>
      </c>
      <c r="CZ11" s="64" t="s">
        <v>97</v>
      </c>
      <c r="DA11" s="64" t="s">
        <v>97</v>
      </c>
      <c r="DB11" s="64" t="s">
        <v>103</v>
      </c>
      <c r="DC11" s="438"/>
      <c r="DD11" s="438"/>
      <c r="DE11" s="173" t="s">
        <v>103</v>
      </c>
      <c r="DF11" s="173" t="s">
        <v>582</v>
      </c>
      <c r="DG11" s="86">
        <f t="shared" si="8"/>
        <v>0</v>
      </c>
      <c r="DH11" s="80">
        <v>1</v>
      </c>
      <c r="DI11" s="64" t="s">
        <v>629</v>
      </c>
      <c r="DJ11" s="80">
        <v>1</v>
      </c>
      <c r="DK11" s="64" t="s">
        <v>689</v>
      </c>
      <c r="DL11" s="117" t="s">
        <v>748</v>
      </c>
    </row>
    <row r="12" spans="1:116" ht="142.5" x14ac:dyDescent="0.25">
      <c r="A12" s="450"/>
      <c r="B12" s="506"/>
      <c r="C12" s="506"/>
      <c r="D12" s="506"/>
      <c r="E12" s="508"/>
      <c r="F12" s="508"/>
      <c r="G12" s="406"/>
      <c r="H12" s="406"/>
      <c r="I12" s="406"/>
      <c r="J12" s="628"/>
      <c r="K12" s="505"/>
      <c r="L12" s="438"/>
      <c r="M12" s="436"/>
      <c r="N12" s="438"/>
      <c r="O12" s="438"/>
      <c r="P12" s="438"/>
      <c r="Q12" s="436"/>
      <c r="R12" s="639"/>
      <c r="S12" s="639"/>
      <c r="T12" s="500"/>
      <c r="U12" s="500"/>
      <c r="V12" s="500"/>
      <c r="W12" s="500"/>
      <c r="X12" s="500"/>
      <c r="Y12" s="500"/>
      <c r="Z12" s="500"/>
      <c r="AA12" s="500"/>
      <c r="AB12" s="500"/>
      <c r="AC12" s="500"/>
      <c r="AD12" s="500"/>
      <c r="AE12" s="500"/>
      <c r="AF12" s="500"/>
      <c r="AG12" s="500"/>
      <c r="AH12" s="500"/>
      <c r="AI12" s="500"/>
      <c r="AJ12" s="639"/>
      <c r="AK12" s="677"/>
      <c r="AL12" s="680"/>
      <c r="AM12" s="680"/>
      <c r="AN12" s="481"/>
      <c r="AO12" s="475"/>
      <c r="AP12" s="502"/>
      <c r="AQ12" s="436"/>
      <c r="AR12" s="438"/>
      <c r="AS12" s="464"/>
      <c r="AT12" s="438"/>
      <c r="AU12" s="4" t="s">
        <v>106</v>
      </c>
      <c r="AV12" s="4" t="s">
        <v>107</v>
      </c>
      <c r="AW12" s="4">
        <v>1</v>
      </c>
      <c r="AX12" s="65">
        <v>0.4</v>
      </c>
      <c r="AY12" s="201">
        <v>0</v>
      </c>
      <c r="AZ12" s="201">
        <v>0</v>
      </c>
      <c r="BA12" s="201">
        <v>0</v>
      </c>
      <c r="BB12" s="206">
        <v>1</v>
      </c>
      <c r="BC12" s="206"/>
      <c r="BD12" s="206"/>
      <c r="BE12" s="206"/>
      <c r="BF12" s="349"/>
      <c r="BG12" s="379">
        <f t="shared" si="0"/>
        <v>1</v>
      </c>
      <c r="BH12" s="349"/>
      <c r="BI12" s="349"/>
      <c r="BJ12" s="706"/>
      <c r="BK12" s="707"/>
      <c r="BL12" s="710"/>
      <c r="BM12" s="206"/>
      <c r="BN12" s="78">
        <v>44927</v>
      </c>
      <c r="BO12" s="78">
        <v>45291</v>
      </c>
      <c r="BP12" s="4">
        <v>365</v>
      </c>
      <c r="BQ12" s="4">
        <v>245</v>
      </c>
      <c r="BR12" s="4">
        <v>255</v>
      </c>
      <c r="BS12" s="4" t="s">
        <v>91</v>
      </c>
      <c r="BT12" s="4" t="s">
        <v>92</v>
      </c>
      <c r="BU12" s="4" t="s">
        <v>93</v>
      </c>
      <c r="BV12" s="102">
        <v>600000000</v>
      </c>
      <c r="BW12" s="102">
        <v>0</v>
      </c>
      <c r="BX12" s="225">
        <f t="shared" si="1"/>
        <v>600000000</v>
      </c>
      <c r="BY12" s="152">
        <v>300000000</v>
      </c>
      <c r="BZ12" s="102">
        <v>0</v>
      </c>
      <c r="CA12" s="232">
        <f t="shared" si="2"/>
        <v>900000000</v>
      </c>
      <c r="CB12" s="86">
        <v>0</v>
      </c>
      <c r="CC12" s="226">
        <f t="shared" si="3"/>
        <v>900000000</v>
      </c>
      <c r="CD12" s="102">
        <v>0</v>
      </c>
      <c r="CE12" s="102">
        <v>0</v>
      </c>
      <c r="CF12" s="102">
        <v>0</v>
      </c>
      <c r="CG12" s="102">
        <f t="shared" si="4"/>
        <v>0</v>
      </c>
      <c r="CH12" s="86">
        <v>0</v>
      </c>
      <c r="CI12" s="86">
        <v>0</v>
      </c>
      <c r="CJ12" s="86">
        <v>0</v>
      </c>
      <c r="CK12" s="86">
        <f t="shared" si="5"/>
        <v>0</v>
      </c>
      <c r="CL12" s="102">
        <v>0</v>
      </c>
      <c r="CM12" s="102">
        <v>0</v>
      </c>
      <c r="CN12" s="102">
        <v>0</v>
      </c>
      <c r="CO12" s="102">
        <f t="shared" si="6"/>
        <v>0</v>
      </c>
      <c r="CP12" s="86">
        <v>0</v>
      </c>
      <c r="CQ12" s="86">
        <v>0</v>
      </c>
      <c r="CR12" s="86">
        <v>0</v>
      </c>
      <c r="CS12" s="226">
        <f t="shared" si="7"/>
        <v>0</v>
      </c>
      <c r="CT12" s="620"/>
      <c r="CU12" s="479"/>
      <c r="CV12" s="479"/>
      <c r="CW12" s="64" t="s">
        <v>108</v>
      </c>
      <c r="CX12" s="64" t="s">
        <v>109</v>
      </c>
      <c r="CY12" s="64" t="s">
        <v>110</v>
      </c>
      <c r="CZ12" s="64" t="s">
        <v>111</v>
      </c>
      <c r="DA12" s="248">
        <v>44958</v>
      </c>
      <c r="DB12" s="64" t="s">
        <v>112</v>
      </c>
      <c r="DC12" s="438"/>
      <c r="DD12" s="438"/>
      <c r="DE12" s="173" t="s">
        <v>529</v>
      </c>
      <c r="DF12" s="173" t="s">
        <v>583</v>
      </c>
      <c r="DG12" s="86">
        <f t="shared" si="8"/>
        <v>0</v>
      </c>
      <c r="DH12" s="80">
        <v>0</v>
      </c>
      <c r="DI12" s="236" t="s">
        <v>628</v>
      </c>
      <c r="DJ12" s="80">
        <v>0</v>
      </c>
      <c r="DK12" s="64" t="s">
        <v>691</v>
      </c>
      <c r="DL12" s="117" t="s">
        <v>764</v>
      </c>
    </row>
    <row r="13" spans="1:116" ht="71.25" x14ac:dyDescent="0.25">
      <c r="A13" s="450"/>
      <c r="B13" s="506"/>
      <c r="C13" s="506"/>
      <c r="D13" s="506"/>
      <c r="E13" s="508"/>
      <c r="F13" s="508"/>
      <c r="G13" s="406"/>
      <c r="H13" s="406"/>
      <c r="I13" s="406"/>
      <c r="J13" s="629"/>
      <c r="K13" s="505"/>
      <c r="L13" s="438"/>
      <c r="M13" s="436"/>
      <c r="N13" s="438"/>
      <c r="O13" s="438"/>
      <c r="P13" s="438"/>
      <c r="Q13" s="436"/>
      <c r="R13" s="639"/>
      <c r="S13" s="639"/>
      <c r="T13" s="500"/>
      <c r="U13" s="500"/>
      <c r="V13" s="500"/>
      <c r="W13" s="500"/>
      <c r="X13" s="500"/>
      <c r="Y13" s="500"/>
      <c r="Z13" s="500"/>
      <c r="AA13" s="500"/>
      <c r="AB13" s="500"/>
      <c r="AC13" s="500"/>
      <c r="AD13" s="500"/>
      <c r="AE13" s="500"/>
      <c r="AF13" s="500"/>
      <c r="AG13" s="500"/>
      <c r="AH13" s="500"/>
      <c r="AI13" s="500"/>
      <c r="AJ13" s="639"/>
      <c r="AK13" s="678"/>
      <c r="AL13" s="681"/>
      <c r="AM13" s="681"/>
      <c r="AN13" s="481"/>
      <c r="AO13" s="475"/>
      <c r="AP13" s="502"/>
      <c r="AQ13" s="436"/>
      <c r="AR13" s="438"/>
      <c r="AS13" s="464"/>
      <c r="AT13" s="438"/>
      <c r="AU13" s="4" t="s">
        <v>113</v>
      </c>
      <c r="AV13" s="4" t="s">
        <v>114</v>
      </c>
      <c r="AW13" s="4">
        <v>1</v>
      </c>
      <c r="AX13" s="65">
        <v>0.2</v>
      </c>
      <c r="AY13" s="201">
        <v>0.25</v>
      </c>
      <c r="AZ13" s="201">
        <v>0.25</v>
      </c>
      <c r="BA13" s="201">
        <v>0.25</v>
      </c>
      <c r="BB13" s="206">
        <v>0.25</v>
      </c>
      <c r="BC13" s="206"/>
      <c r="BD13" s="206"/>
      <c r="BE13" s="206"/>
      <c r="BF13" s="350"/>
      <c r="BG13" s="379">
        <f t="shared" si="0"/>
        <v>0.25</v>
      </c>
      <c r="BH13" s="350"/>
      <c r="BI13" s="350"/>
      <c r="BJ13" s="707"/>
      <c r="BK13" s="312"/>
      <c r="BL13" s="206"/>
      <c r="BM13" s="206"/>
      <c r="BN13" s="78">
        <v>44927</v>
      </c>
      <c r="BO13" s="78">
        <v>45291</v>
      </c>
      <c r="BP13" s="4">
        <v>365</v>
      </c>
      <c r="BQ13" s="4">
        <v>245</v>
      </c>
      <c r="BR13" s="4">
        <v>255</v>
      </c>
      <c r="BS13" s="4" t="s">
        <v>91</v>
      </c>
      <c r="BT13" s="4" t="s">
        <v>92</v>
      </c>
      <c r="BU13" s="4" t="s">
        <v>93</v>
      </c>
      <c r="BV13" s="102">
        <v>0</v>
      </c>
      <c r="BW13" s="102">
        <v>0</v>
      </c>
      <c r="BX13" s="225">
        <f t="shared" si="1"/>
        <v>0</v>
      </c>
      <c r="BY13" s="102">
        <v>0</v>
      </c>
      <c r="BZ13" s="102">
        <v>0</v>
      </c>
      <c r="CA13" s="226">
        <f t="shared" si="2"/>
        <v>0</v>
      </c>
      <c r="CB13" s="86">
        <v>0</v>
      </c>
      <c r="CC13" s="226">
        <f t="shared" si="3"/>
        <v>0</v>
      </c>
      <c r="CD13" s="102">
        <v>0</v>
      </c>
      <c r="CE13" s="102">
        <v>0</v>
      </c>
      <c r="CF13" s="102">
        <v>0</v>
      </c>
      <c r="CG13" s="102">
        <f t="shared" si="4"/>
        <v>0</v>
      </c>
      <c r="CH13" s="86">
        <v>0</v>
      </c>
      <c r="CI13" s="86">
        <v>0</v>
      </c>
      <c r="CJ13" s="86">
        <v>0</v>
      </c>
      <c r="CK13" s="86">
        <f t="shared" si="5"/>
        <v>0</v>
      </c>
      <c r="CL13" s="102">
        <v>0</v>
      </c>
      <c r="CM13" s="102">
        <v>0</v>
      </c>
      <c r="CN13" s="102">
        <v>0</v>
      </c>
      <c r="CO13" s="102">
        <f t="shared" si="6"/>
        <v>0</v>
      </c>
      <c r="CP13" s="86">
        <v>0</v>
      </c>
      <c r="CQ13" s="86">
        <v>0</v>
      </c>
      <c r="CR13" s="86">
        <v>0</v>
      </c>
      <c r="CS13" s="226">
        <f t="shared" si="7"/>
        <v>0</v>
      </c>
      <c r="CT13" s="621"/>
      <c r="CU13" s="480"/>
      <c r="CV13" s="480"/>
      <c r="CW13" s="64" t="s">
        <v>96</v>
      </c>
      <c r="CX13" s="64" t="s">
        <v>97</v>
      </c>
      <c r="CY13" s="64" t="s">
        <v>97</v>
      </c>
      <c r="CZ13" s="64" t="s">
        <v>97</v>
      </c>
      <c r="DA13" s="64" t="s">
        <v>97</v>
      </c>
      <c r="DB13" s="64" t="s">
        <v>115</v>
      </c>
      <c r="DC13" s="438"/>
      <c r="DD13" s="438"/>
      <c r="DE13" s="173" t="s">
        <v>544</v>
      </c>
      <c r="DF13" s="173" t="s">
        <v>582</v>
      </c>
      <c r="DG13" s="86">
        <f t="shared" si="8"/>
        <v>0</v>
      </c>
      <c r="DH13" s="80">
        <v>0.5</v>
      </c>
      <c r="DI13" s="64" t="s">
        <v>627</v>
      </c>
      <c r="DJ13" s="80">
        <v>0.5</v>
      </c>
      <c r="DK13" s="64" t="s">
        <v>686</v>
      </c>
      <c r="DL13" s="117" t="s">
        <v>715</v>
      </c>
    </row>
    <row r="14" spans="1:116" ht="50.25" customHeight="1" x14ac:dyDescent="0.25">
      <c r="A14" s="450"/>
      <c r="B14" s="506"/>
      <c r="C14" s="506"/>
      <c r="D14" s="506"/>
      <c r="E14" s="508"/>
      <c r="F14" s="508"/>
      <c r="G14" s="406"/>
      <c r="H14" s="406"/>
      <c r="I14" s="406"/>
      <c r="J14" s="757"/>
      <c r="K14" s="758"/>
      <c r="L14" s="758"/>
      <c r="M14" s="760" t="s">
        <v>791</v>
      </c>
      <c r="N14" s="760"/>
      <c r="O14" s="760"/>
      <c r="P14" s="760"/>
      <c r="Q14" s="760"/>
      <c r="R14" s="758"/>
      <c r="S14" s="758"/>
      <c r="T14" s="758"/>
      <c r="U14" s="758"/>
      <c r="V14" s="758"/>
      <c r="W14" s="758"/>
      <c r="X14" s="758"/>
      <c r="Y14" s="758"/>
      <c r="Z14" s="758"/>
      <c r="AA14" s="758"/>
      <c r="AB14" s="758"/>
      <c r="AC14" s="758"/>
      <c r="AD14" s="758"/>
      <c r="AE14" s="758"/>
      <c r="AF14" s="758"/>
      <c r="AG14" s="758"/>
      <c r="AH14" s="758"/>
      <c r="AI14" s="758"/>
      <c r="AJ14" s="758"/>
      <c r="AK14" s="759"/>
      <c r="AL14" s="338">
        <f>AL9</f>
        <v>0.36734693877551022</v>
      </c>
      <c r="AM14" s="338">
        <f>AM9</f>
        <v>0.69</v>
      </c>
      <c r="AN14" s="322"/>
      <c r="AO14" s="71"/>
      <c r="AP14" s="323"/>
      <c r="AQ14" s="4"/>
      <c r="AR14" s="64"/>
      <c r="AS14" s="148"/>
      <c r="AT14" s="64"/>
      <c r="AU14" s="4"/>
      <c r="AV14" s="4"/>
      <c r="AW14" s="4"/>
      <c r="AX14" s="65"/>
      <c r="AY14" s="201"/>
      <c r="AZ14" s="711" t="s">
        <v>788</v>
      </c>
      <c r="BA14" s="712"/>
      <c r="BB14" s="712"/>
      <c r="BC14" s="712"/>
      <c r="BD14" s="712"/>
      <c r="BE14" s="712"/>
      <c r="BF14" s="713"/>
      <c r="BG14" s="380">
        <f>SUM(BG9:BG13)/(5)</f>
        <v>0.25</v>
      </c>
      <c r="BH14" s="590" t="s">
        <v>789</v>
      </c>
      <c r="BI14" s="591"/>
      <c r="BJ14" s="337">
        <f>BJ9</f>
        <v>900000000</v>
      </c>
      <c r="BK14" s="370">
        <f>BK9</f>
        <v>0</v>
      </c>
      <c r="BL14" s="381">
        <f>BK14/BJ14</f>
        <v>0</v>
      </c>
      <c r="BM14" s="206"/>
      <c r="BN14" s="78"/>
      <c r="BO14" s="78"/>
      <c r="BP14" s="4"/>
      <c r="BQ14" s="4"/>
      <c r="BR14" s="4"/>
      <c r="BS14" s="4"/>
      <c r="BT14" s="4"/>
      <c r="BU14" s="4"/>
      <c r="BV14" s="102"/>
      <c r="BW14" s="102"/>
      <c r="BX14" s="225"/>
      <c r="BY14" s="102"/>
      <c r="BZ14" s="102"/>
      <c r="CA14" s="226"/>
      <c r="CB14" s="86"/>
      <c r="CC14" s="226"/>
      <c r="CD14" s="102"/>
      <c r="CE14" s="102"/>
      <c r="CF14" s="102"/>
      <c r="CG14" s="102"/>
      <c r="CH14" s="86"/>
      <c r="CI14" s="86"/>
      <c r="CJ14" s="86"/>
      <c r="CK14" s="86"/>
      <c r="CL14" s="102"/>
      <c r="CM14" s="102"/>
      <c r="CN14" s="102"/>
      <c r="CO14" s="102"/>
      <c r="CP14" s="86"/>
      <c r="CQ14" s="86"/>
      <c r="CR14" s="86"/>
      <c r="CS14" s="226"/>
      <c r="CT14" s="339"/>
      <c r="CU14" s="329"/>
      <c r="CV14" s="329"/>
      <c r="CW14" s="64"/>
      <c r="CX14" s="64"/>
      <c r="CY14" s="64"/>
      <c r="CZ14" s="64"/>
      <c r="DA14" s="64"/>
      <c r="DB14" s="64"/>
      <c r="DC14" s="64"/>
      <c r="DD14" s="64"/>
      <c r="DE14" s="173"/>
      <c r="DF14" s="173"/>
      <c r="DG14" s="86"/>
      <c r="DH14" s="80"/>
      <c r="DI14" s="64"/>
      <c r="DJ14" s="80"/>
      <c r="DK14" s="64"/>
      <c r="DL14" s="117"/>
    </row>
    <row r="15" spans="1:116" ht="57" customHeight="1" x14ac:dyDescent="0.25">
      <c r="A15" s="450"/>
      <c r="B15" s="506"/>
      <c r="C15" s="506"/>
      <c r="D15" s="506"/>
      <c r="E15" s="508"/>
      <c r="F15" s="508"/>
      <c r="G15" s="406"/>
      <c r="H15" s="406"/>
      <c r="I15" s="406"/>
      <c r="J15" s="437" t="s">
        <v>116</v>
      </c>
      <c r="K15" s="7" t="s">
        <v>117</v>
      </c>
      <c r="L15" s="4" t="s">
        <v>76</v>
      </c>
      <c r="M15" s="4">
        <v>0</v>
      </c>
      <c r="N15" s="7" t="s">
        <v>118</v>
      </c>
      <c r="O15" s="4" t="s">
        <v>80</v>
      </c>
      <c r="P15" s="4"/>
      <c r="Q15" s="4" t="s">
        <v>119</v>
      </c>
      <c r="R15" s="283">
        <v>1</v>
      </c>
      <c r="S15" s="284" t="s">
        <v>120</v>
      </c>
      <c r="T15" s="73" t="s">
        <v>527</v>
      </c>
      <c r="U15" s="73" t="s">
        <v>527</v>
      </c>
      <c r="V15" s="73" t="s">
        <v>527</v>
      </c>
      <c r="W15" s="73" t="s">
        <v>527</v>
      </c>
      <c r="X15" s="73" t="s">
        <v>527</v>
      </c>
      <c r="Y15" s="73" t="s">
        <v>527</v>
      </c>
      <c r="Z15" s="73" t="s">
        <v>527</v>
      </c>
      <c r="AA15" s="73" t="s">
        <v>527</v>
      </c>
      <c r="AB15" s="73" t="s">
        <v>527</v>
      </c>
      <c r="AC15" s="73" t="s">
        <v>527</v>
      </c>
      <c r="AD15" s="73" t="s">
        <v>527</v>
      </c>
      <c r="AE15" s="73" t="s">
        <v>527</v>
      </c>
      <c r="AF15" s="73" t="s">
        <v>527</v>
      </c>
      <c r="AG15" s="73" t="s">
        <v>527</v>
      </c>
      <c r="AH15" s="73" t="s">
        <v>527</v>
      </c>
      <c r="AI15" s="73" t="s">
        <v>527</v>
      </c>
      <c r="AJ15" s="288">
        <v>1</v>
      </c>
      <c r="AK15" s="72"/>
      <c r="AL15" s="301"/>
      <c r="AM15" s="301"/>
      <c r="AN15" s="481" t="s">
        <v>82</v>
      </c>
      <c r="AO15" s="475" t="s">
        <v>83</v>
      </c>
      <c r="AP15" s="502" t="s">
        <v>84</v>
      </c>
      <c r="AQ15" s="436" t="s">
        <v>85</v>
      </c>
      <c r="AR15" s="436" t="s">
        <v>121</v>
      </c>
      <c r="AS15" s="565" t="s">
        <v>122</v>
      </c>
      <c r="AT15" s="436" t="s">
        <v>123</v>
      </c>
      <c r="AU15" s="4" t="s">
        <v>124</v>
      </c>
      <c r="AV15" s="4" t="s">
        <v>97</v>
      </c>
      <c r="AW15" s="4" t="s">
        <v>97</v>
      </c>
      <c r="AX15" s="4" t="s">
        <v>97</v>
      </c>
      <c r="AY15" s="4" t="s">
        <v>219</v>
      </c>
      <c r="AZ15" s="4" t="s">
        <v>219</v>
      </c>
      <c r="BA15" s="4" t="s">
        <v>219</v>
      </c>
      <c r="BB15" s="64" t="s">
        <v>219</v>
      </c>
      <c r="BC15" s="64"/>
      <c r="BD15" s="565" t="s">
        <v>122</v>
      </c>
      <c r="BE15" s="64"/>
      <c r="BF15" s="328"/>
      <c r="BG15" s="379"/>
      <c r="BH15" s="328"/>
      <c r="BI15" s="328"/>
      <c r="BJ15" s="669">
        <v>101668280</v>
      </c>
      <c r="BK15" s="669">
        <v>93050000</v>
      </c>
      <c r="BL15" s="691">
        <f>BK15/BJ15</f>
        <v>0.91523137796764142</v>
      </c>
      <c r="BM15" s="64"/>
      <c r="BN15" s="4" t="s">
        <v>97</v>
      </c>
      <c r="BO15" s="4" t="s">
        <v>97</v>
      </c>
      <c r="BP15" s="4" t="s">
        <v>97</v>
      </c>
      <c r="BQ15" s="4" t="s">
        <v>97</v>
      </c>
      <c r="BR15" s="4" t="s">
        <v>97</v>
      </c>
      <c r="BS15" s="4" t="s">
        <v>97</v>
      </c>
      <c r="BT15" s="4" t="s">
        <v>97</v>
      </c>
      <c r="BU15" s="4" t="s">
        <v>97</v>
      </c>
      <c r="BV15" s="102">
        <v>0</v>
      </c>
      <c r="BW15" s="102">
        <v>0</v>
      </c>
      <c r="BX15" s="225">
        <v>0</v>
      </c>
      <c r="BY15" s="102">
        <v>0</v>
      </c>
      <c r="BZ15" s="102">
        <v>0</v>
      </c>
      <c r="CA15" s="226">
        <v>0</v>
      </c>
      <c r="CB15" s="86">
        <v>0</v>
      </c>
      <c r="CC15" s="226">
        <f t="shared" si="3"/>
        <v>0</v>
      </c>
      <c r="CD15" s="102" t="s">
        <v>97</v>
      </c>
      <c r="CE15" s="102" t="s">
        <v>97</v>
      </c>
      <c r="CF15" s="102" t="s">
        <v>97</v>
      </c>
      <c r="CG15" s="102">
        <v>0</v>
      </c>
      <c r="CH15" s="86" t="s">
        <v>97</v>
      </c>
      <c r="CI15" s="86" t="s">
        <v>97</v>
      </c>
      <c r="CJ15" s="86" t="s">
        <v>97</v>
      </c>
      <c r="CK15" s="86">
        <v>0</v>
      </c>
      <c r="CL15" s="86">
        <v>0</v>
      </c>
      <c r="CM15" s="86">
        <v>0</v>
      </c>
      <c r="CN15" s="86">
        <v>0</v>
      </c>
      <c r="CO15" s="86">
        <v>0</v>
      </c>
      <c r="CP15" s="86">
        <v>0</v>
      </c>
      <c r="CQ15" s="86">
        <v>0</v>
      </c>
      <c r="CR15" s="86">
        <v>0</v>
      </c>
      <c r="CS15" s="226">
        <v>0</v>
      </c>
      <c r="CT15" s="619" t="s">
        <v>94</v>
      </c>
      <c r="CU15" s="478" t="s">
        <v>121</v>
      </c>
      <c r="CV15" s="478" t="s">
        <v>125</v>
      </c>
      <c r="CW15" s="64" t="s">
        <v>97</v>
      </c>
      <c r="CX15" s="64" t="s">
        <v>97</v>
      </c>
      <c r="CY15" s="64" t="s">
        <v>97</v>
      </c>
      <c r="CZ15" s="64" t="s">
        <v>97</v>
      </c>
      <c r="DA15" s="64" t="s">
        <v>97</v>
      </c>
      <c r="DB15" s="64" t="s">
        <v>97</v>
      </c>
      <c r="DC15" s="438" t="s">
        <v>99</v>
      </c>
      <c r="DD15" s="438" t="s">
        <v>100</v>
      </c>
      <c r="DE15" s="173"/>
      <c r="DF15" s="173" t="s">
        <v>582</v>
      </c>
      <c r="DG15" s="86">
        <v>0</v>
      </c>
      <c r="DH15" s="64" t="s">
        <v>219</v>
      </c>
      <c r="DI15" s="64" t="s">
        <v>637</v>
      </c>
      <c r="DJ15" s="64" t="s">
        <v>219</v>
      </c>
      <c r="DK15" s="64" t="s">
        <v>677</v>
      </c>
      <c r="DL15" s="117" t="s">
        <v>677</v>
      </c>
    </row>
    <row r="16" spans="1:116" ht="63" customHeight="1" x14ac:dyDescent="0.25">
      <c r="A16" s="450"/>
      <c r="B16" s="506"/>
      <c r="C16" s="506"/>
      <c r="D16" s="506"/>
      <c r="E16" s="508"/>
      <c r="F16" s="508"/>
      <c r="G16" s="406"/>
      <c r="H16" s="406"/>
      <c r="I16" s="406"/>
      <c r="J16" s="437"/>
      <c r="K16" s="436" t="s">
        <v>126</v>
      </c>
      <c r="L16" s="438" t="s">
        <v>76</v>
      </c>
      <c r="M16" s="438">
        <v>0</v>
      </c>
      <c r="N16" s="436" t="s">
        <v>127</v>
      </c>
      <c r="O16" s="436"/>
      <c r="P16" s="438" t="s">
        <v>80</v>
      </c>
      <c r="Q16" s="438" t="s">
        <v>128</v>
      </c>
      <c r="R16" s="635">
        <v>1</v>
      </c>
      <c r="S16" s="639" t="s">
        <v>120</v>
      </c>
      <c r="T16" s="505" t="s">
        <v>527</v>
      </c>
      <c r="U16" s="505" t="s">
        <v>527</v>
      </c>
      <c r="V16" s="505" t="s">
        <v>527</v>
      </c>
      <c r="W16" s="505" t="s">
        <v>527</v>
      </c>
      <c r="X16" s="505" t="s">
        <v>527</v>
      </c>
      <c r="Y16" s="505" t="s">
        <v>527</v>
      </c>
      <c r="Z16" s="505" t="s">
        <v>527</v>
      </c>
      <c r="AA16" s="505" t="s">
        <v>527</v>
      </c>
      <c r="AB16" s="422" t="s">
        <v>527</v>
      </c>
      <c r="AC16" s="422" t="s">
        <v>527</v>
      </c>
      <c r="AD16" s="422" t="s">
        <v>527</v>
      </c>
      <c r="AE16" s="422" t="s">
        <v>527</v>
      </c>
      <c r="AF16" s="422" t="s">
        <v>527</v>
      </c>
      <c r="AG16" s="422" t="s">
        <v>527</v>
      </c>
      <c r="AH16" s="422" t="s">
        <v>527</v>
      </c>
      <c r="AI16" s="422" t="s">
        <v>527</v>
      </c>
      <c r="AJ16" s="635">
        <v>1</v>
      </c>
      <c r="AK16" s="68"/>
      <c r="AL16" s="301"/>
      <c r="AM16" s="301"/>
      <c r="AN16" s="481"/>
      <c r="AO16" s="475"/>
      <c r="AP16" s="502"/>
      <c r="AQ16" s="436"/>
      <c r="AR16" s="436"/>
      <c r="AS16" s="565"/>
      <c r="AT16" s="436"/>
      <c r="AU16" s="4" t="s">
        <v>129</v>
      </c>
      <c r="AV16" s="4" t="s">
        <v>130</v>
      </c>
      <c r="AW16" s="4">
        <v>1</v>
      </c>
      <c r="AX16" s="65">
        <v>0.05</v>
      </c>
      <c r="AY16" s="246">
        <v>0</v>
      </c>
      <c r="AZ16" s="246">
        <v>0.5</v>
      </c>
      <c r="BA16" s="246">
        <v>0.25</v>
      </c>
      <c r="BB16" s="266">
        <v>0.25</v>
      </c>
      <c r="BC16" s="266"/>
      <c r="BD16" s="565"/>
      <c r="BE16" s="266"/>
      <c r="BF16" s="351"/>
      <c r="BG16" s="379">
        <f t="shared" si="0"/>
        <v>0.25</v>
      </c>
      <c r="BH16" s="351"/>
      <c r="BI16" s="351"/>
      <c r="BJ16" s="670"/>
      <c r="BK16" s="670"/>
      <c r="BL16" s="692"/>
      <c r="BM16" s="266"/>
      <c r="BN16" s="78">
        <v>44927</v>
      </c>
      <c r="BO16" s="78">
        <v>45291</v>
      </c>
      <c r="BP16" s="4">
        <v>365</v>
      </c>
      <c r="BQ16" s="4">
        <v>1028736</v>
      </c>
      <c r="BR16" s="4">
        <v>1028736</v>
      </c>
      <c r="BS16" s="4" t="s">
        <v>91</v>
      </c>
      <c r="BT16" s="4" t="s">
        <v>92</v>
      </c>
      <c r="BU16" s="4" t="s">
        <v>93</v>
      </c>
      <c r="BV16" s="102">
        <v>0</v>
      </c>
      <c r="BW16" s="102">
        <v>0</v>
      </c>
      <c r="BX16" s="225">
        <v>0</v>
      </c>
      <c r="BY16" s="102">
        <v>0</v>
      </c>
      <c r="BZ16" s="102">
        <v>0</v>
      </c>
      <c r="CA16" s="226">
        <v>0</v>
      </c>
      <c r="CB16" s="86">
        <v>0</v>
      </c>
      <c r="CC16" s="226">
        <f t="shared" si="3"/>
        <v>0</v>
      </c>
      <c r="CD16" s="102">
        <v>0</v>
      </c>
      <c r="CE16" s="102">
        <v>0</v>
      </c>
      <c r="CF16" s="102">
        <v>0</v>
      </c>
      <c r="CG16" s="102">
        <v>0</v>
      </c>
      <c r="CH16" s="86">
        <v>0</v>
      </c>
      <c r="CI16" s="86">
        <v>0</v>
      </c>
      <c r="CJ16" s="86">
        <v>0</v>
      </c>
      <c r="CK16" s="86">
        <v>0</v>
      </c>
      <c r="CL16" s="86">
        <v>0</v>
      </c>
      <c r="CM16" s="86">
        <v>0</v>
      </c>
      <c r="CN16" s="86">
        <v>0</v>
      </c>
      <c r="CO16" s="86">
        <v>0</v>
      </c>
      <c r="CP16" s="86">
        <v>0</v>
      </c>
      <c r="CQ16" s="86">
        <v>0</v>
      </c>
      <c r="CR16" s="86">
        <v>0</v>
      </c>
      <c r="CS16" s="226">
        <v>0</v>
      </c>
      <c r="CT16" s="620"/>
      <c r="CU16" s="479"/>
      <c r="CV16" s="479"/>
      <c r="CW16" s="64" t="s">
        <v>96</v>
      </c>
      <c r="CX16" s="64" t="s">
        <v>97</v>
      </c>
      <c r="CY16" s="64" t="s">
        <v>97</v>
      </c>
      <c r="CZ16" s="64" t="s">
        <v>97</v>
      </c>
      <c r="DA16" s="64" t="s">
        <v>97</v>
      </c>
      <c r="DB16" s="438" t="s">
        <v>131</v>
      </c>
      <c r="DC16" s="438"/>
      <c r="DD16" s="438"/>
      <c r="DE16" s="173"/>
      <c r="DF16" s="173" t="s">
        <v>582</v>
      </c>
      <c r="DG16" s="86">
        <v>0</v>
      </c>
      <c r="DH16" s="80">
        <v>0.5</v>
      </c>
      <c r="DI16" s="64" t="s">
        <v>638</v>
      </c>
      <c r="DJ16" s="80">
        <v>0.5</v>
      </c>
      <c r="DK16" s="173" t="s">
        <v>678</v>
      </c>
      <c r="DL16" s="267" t="s">
        <v>749</v>
      </c>
    </row>
    <row r="17" spans="1:116" ht="63.6" customHeight="1" x14ac:dyDescent="0.25">
      <c r="A17" s="450"/>
      <c r="B17" s="506"/>
      <c r="C17" s="506"/>
      <c r="D17" s="506"/>
      <c r="E17" s="508"/>
      <c r="F17" s="508"/>
      <c r="G17" s="406"/>
      <c r="H17" s="406"/>
      <c r="I17" s="406"/>
      <c r="J17" s="437"/>
      <c r="K17" s="436"/>
      <c r="L17" s="438"/>
      <c r="M17" s="438"/>
      <c r="N17" s="436"/>
      <c r="O17" s="436"/>
      <c r="P17" s="438"/>
      <c r="Q17" s="438"/>
      <c r="R17" s="635"/>
      <c r="S17" s="639"/>
      <c r="T17" s="505"/>
      <c r="U17" s="505"/>
      <c r="V17" s="505"/>
      <c r="W17" s="505"/>
      <c r="X17" s="505"/>
      <c r="Y17" s="505"/>
      <c r="Z17" s="505"/>
      <c r="AA17" s="505"/>
      <c r="AB17" s="423"/>
      <c r="AC17" s="423"/>
      <c r="AD17" s="423"/>
      <c r="AE17" s="423"/>
      <c r="AF17" s="423"/>
      <c r="AG17" s="423"/>
      <c r="AH17" s="423"/>
      <c r="AI17" s="423"/>
      <c r="AJ17" s="635"/>
      <c r="AK17" s="68"/>
      <c r="AL17" s="301"/>
      <c r="AM17" s="301"/>
      <c r="AN17" s="481"/>
      <c r="AO17" s="475"/>
      <c r="AP17" s="502"/>
      <c r="AQ17" s="436"/>
      <c r="AR17" s="436"/>
      <c r="AS17" s="565"/>
      <c r="AT17" s="436"/>
      <c r="AU17" s="4" t="s">
        <v>132</v>
      </c>
      <c r="AV17" s="4" t="s">
        <v>133</v>
      </c>
      <c r="AW17" s="4">
        <v>1</v>
      </c>
      <c r="AX17" s="65">
        <v>0.05</v>
      </c>
      <c r="AY17" s="201">
        <v>0</v>
      </c>
      <c r="AZ17" s="246">
        <v>0.33</v>
      </c>
      <c r="BA17" s="246">
        <v>0.33</v>
      </c>
      <c r="BB17" s="266">
        <v>0.34</v>
      </c>
      <c r="BC17" s="266"/>
      <c r="BD17" s="565"/>
      <c r="BE17" s="266"/>
      <c r="BF17" s="351"/>
      <c r="BG17" s="379">
        <f t="shared" si="0"/>
        <v>0.34</v>
      </c>
      <c r="BH17" s="351"/>
      <c r="BI17" s="351"/>
      <c r="BJ17" s="670"/>
      <c r="BK17" s="670"/>
      <c r="BL17" s="692"/>
      <c r="BM17" s="266"/>
      <c r="BN17" s="78">
        <v>44927</v>
      </c>
      <c r="BO17" s="78">
        <v>45291</v>
      </c>
      <c r="BP17" s="4">
        <v>365</v>
      </c>
      <c r="BQ17" s="4">
        <v>1028736</v>
      </c>
      <c r="BR17" s="4">
        <v>1028736</v>
      </c>
      <c r="BS17" s="4" t="s">
        <v>91</v>
      </c>
      <c r="BT17" s="4" t="s">
        <v>92</v>
      </c>
      <c r="BU17" s="4" t="s">
        <v>93</v>
      </c>
      <c r="BV17" s="102">
        <v>0</v>
      </c>
      <c r="BW17" s="102">
        <v>0</v>
      </c>
      <c r="BX17" s="225">
        <v>0</v>
      </c>
      <c r="BY17" s="102">
        <v>0</v>
      </c>
      <c r="BZ17" s="102">
        <v>0</v>
      </c>
      <c r="CA17" s="226">
        <v>0</v>
      </c>
      <c r="CB17" s="86">
        <v>0</v>
      </c>
      <c r="CC17" s="226">
        <f t="shared" si="3"/>
        <v>0</v>
      </c>
      <c r="CD17" s="102">
        <v>0</v>
      </c>
      <c r="CE17" s="102">
        <v>0</v>
      </c>
      <c r="CF17" s="102">
        <v>0</v>
      </c>
      <c r="CG17" s="102">
        <v>0</v>
      </c>
      <c r="CH17" s="86">
        <v>0</v>
      </c>
      <c r="CI17" s="86">
        <v>0</v>
      </c>
      <c r="CJ17" s="86">
        <v>0</v>
      </c>
      <c r="CK17" s="86">
        <v>0</v>
      </c>
      <c r="CL17" s="86">
        <v>0</v>
      </c>
      <c r="CM17" s="86">
        <v>0</v>
      </c>
      <c r="CN17" s="86">
        <v>0</v>
      </c>
      <c r="CO17" s="86">
        <v>0</v>
      </c>
      <c r="CP17" s="86">
        <v>0</v>
      </c>
      <c r="CQ17" s="86">
        <v>0</v>
      </c>
      <c r="CR17" s="86">
        <v>0</v>
      </c>
      <c r="CS17" s="226">
        <v>0</v>
      </c>
      <c r="CT17" s="620"/>
      <c r="CU17" s="479"/>
      <c r="CV17" s="479"/>
      <c r="CW17" s="64" t="s">
        <v>96</v>
      </c>
      <c r="CX17" s="64" t="s">
        <v>97</v>
      </c>
      <c r="CY17" s="64" t="s">
        <v>97</v>
      </c>
      <c r="CZ17" s="64" t="s">
        <v>97</v>
      </c>
      <c r="DA17" s="64" t="s">
        <v>97</v>
      </c>
      <c r="DB17" s="438"/>
      <c r="DC17" s="438"/>
      <c r="DD17" s="438"/>
      <c r="DE17" s="173"/>
      <c r="DF17" s="173" t="s">
        <v>582</v>
      </c>
      <c r="DG17" s="86">
        <v>0</v>
      </c>
      <c r="DH17" s="80">
        <v>0.33</v>
      </c>
      <c r="DI17" s="64" t="s">
        <v>639</v>
      </c>
      <c r="DJ17" s="80">
        <v>0.33</v>
      </c>
      <c r="DK17" s="173" t="s">
        <v>679</v>
      </c>
      <c r="DL17" s="117" t="s">
        <v>750</v>
      </c>
    </row>
    <row r="18" spans="1:116" ht="71.45" customHeight="1" x14ac:dyDescent="0.25">
      <c r="A18" s="450"/>
      <c r="B18" s="506"/>
      <c r="C18" s="506"/>
      <c r="D18" s="506"/>
      <c r="E18" s="508"/>
      <c r="F18" s="508"/>
      <c r="G18" s="406"/>
      <c r="H18" s="406"/>
      <c r="I18" s="406"/>
      <c r="J18" s="437"/>
      <c r="K18" s="436" t="s">
        <v>134</v>
      </c>
      <c r="L18" s="438" t="s">
        <v>76</v>
      </c>
      <c r="M18" s="438">
        <v>0</v>
      </c>
      <c r="N18" s="436" t="s">
        <v>135</v>
      </c>
      <c r="O18" s="436"/>
      <c r="P18" s="436" t="s">
        <v>80</v>
      </c>
      <c r="Q18" s="436" t="s">
        <v>136</v>
      </c>
      <c r="R18" s="635">
        <v>4</v>
      </c>
      <c r="S18" s="639">
        <v>2</v>
      </c>
      <c r="T18" s="505">
        <v>0</v>
      </c>
      <c r="U18" s="505">
        <v>0</v>
      </c>
      <c r="V18" s="505">
        <v>0</v>
      </c>
      <c r="W18" s="505">
        <v>0</v>
      </c>
      <c r="X18" s="505">
        <v>1</v>
      </c>
      <c r="Y18" s="505">
        <v>0</v>
      </c>
      <c r="Z18" s="505">
        <v>0</v>
      </c>
      <c r="AA18" s="505">
        <v>1</v>
      </c>
      <c r="AB18" s="422">
        <v>0</v>
      </c>
      <c r="AC18" s="422">
        <v>0</v>
      </c>
      <c r="AD18" s="422">
        <v>0</v>
      </c>
      <c r="AE18" s="422">
        <v>0</v>
      </c>
      <c r="AF18" s="422">
        <v>0</v>
      </c>
      <c r="AG18" s="422">
        <v>0</v>
      </c>
      <c r="AH18" s="422">
        <v>1</v>
      </c>
      <c r="AI18" s="422">
        <v>1</v>
      </c>
      <c r="AJ18" s="641">
        <v>2</v>
      </c>
      <c r="AK18" s="676">
        <v>2</v>
      </c>
      <c r="AL18" s="679">
        <v>1</v>
      </c>
      <c r="AM18" s="679">
        <v>1</v>
      </c>
      <c r="AN18" s="481"/>
      <c r="AO18" s="475"/>
      <c r="AP18" s="502"/>
      <c r="AQ18" s="436"/>
      <c r="AR18" s="436"/>
      <c r="AS18" s="565"/>
      <c r="AT18" s="436"/>
      <c r="AU18" s="4" t="s">
        <v>137</v>
      </c>
      <c r="AV18" s="4" t="s">
        <v>138</v>
      </c>
      <c r="AW18" s="4">
        <v>2</v>
      </c>
      <c r="AX18" s="65">
        <v>0.05</v>
      </c>
      <c r="AY18" s="201">
        <v>0</v>
      </c>
      <c r="AZ18" s="201">
        <v>1</v>
      </c>
      <c r="BA18" s="201">
        <v>0</v>
      </c>
      <c r="BB18" s="206">
        <v>1</v>
      </c>
      <c r="BC18" s="206"/>
      <c r="BD18" s="565"/>
      <c r="BE18" s="206"/>
      <c r="BF18" s="349"/>
      <c r="BG18" s="379">
        <f t="shared" si="0"/>
        <v>0.5</v>
      </c>
      <c r="BH18" s="349"/>
      <c r="BI18" s="349"/>
      <c r="BJ18" s="670"/>
      <c r="BK18" s="670"/>
      <c r="BL18" s="692"/>
      <c r="BM18" s="206"/>
      <c r="BN18" s="78">
        <v>44927</v>
      </c>
      <c r="BO18" s="78">
        <v>45291</v>
      </c>
      <c r="BP18" s="4">
        <v>365</v>
      </c>
      <c r="BQ18" s="4">
        <v>1028736</v>
      </c>
      <c r="BR18" s="4">
        <v>1028736</v>
      </c>
      <c r="BS18" s="4" t="s">
        <v>91</v>
      </c>
      <c r="BT18" s="4" t="s">
        <v>92</v>
      </c>
      <c r="BU18" s="4" t="s">
        <v>93</v>
      </c>
      <c r="BV18" s="102">
        <v>142328500</v>
      </c>
      <c r="BW18" s="153">
        <v>-142328500</v>
      </c>
      <c r="BX18" s="225">
        <v>0</v>
      </c>
      <c r="BY18" s="102">
        <v>0</v>
      </c>
      <c r="BZ18" s="102">
        <v>0</v>
      </c>
      <c r="CA18" s="226">
        <v>0</v>
      </c>
      <c r="CB18" s="86">
        <v>0</v>
      </c>
      <c r="CC18" s="226">
        <f t="shared" si="3"/>
        <v>0</v>
      </c>
      <c r="CD18" s="102">
        <v>0</v>
      </c>
      <c r="CE18" s="102">
        <v>0</v>
      </c>
      <c r="CF18" s="102">
        <v>0</v>
      </c>
      <c r="CG18" s="102">
        <v>0</v>
      </c>
      <c r="CH18" s="86">
        <v>0</v>
      </c>
      <c r="CI18" s="86">
        <v>0</v>
      </c>
      <c r="CJ18" s="86">
        <v>0</v>
      </c>
      <c r="CK18" s="86">
        <v>0</v>
      </c>
      <c r="CL18" s="86">
        <v>0</v>
      </c>
      <c r="CM18" s="86">
        <v>0</v>
      </c>
      <c r="CN18" s="86">
        <v>0</v>
      </c>
      <c r="CO18" s="86">
        <v>0</v>
      </c>
      <c r="CP18" s="86">
        <v>0</v>
      </c>
      <c r="CQ18" s="86">
        <v>0</v>
      </c>
      <c r="CR18" s="86">
        <v>0</v>
      </c>
      <c r="CS18" s="226">
        <v>0</v>
      </c>
      <c r="CT18" s="620"/>
      <c r="CU18" s="479"/>
      <c r="CV18" s="479"/>
      <c r="CW18" s="64" t="s">
        <v>108</v>
      </c>
      <c r="CX18" s="64" t="s">
        <v>139</v>
      </c>
      <c r="CY18" s="64" t="s">
        <v>140</v>
      </c>
      <c r="CZ18" s="64" t="s">
        <v>111</v>
      </c>
      <c r="DA18" s="248">
        <v>44958</v>
      </c>
      <c r="DB18" s="117" t="s">
        <v>141</v>
      </c>
      <c r="DC18" s="438"/>
      <c r="DD18" s="438"/>
      <c r="DE18" s="173"/>
      <c r="DF18" s="173" t="s">
        <v>582</v>
      </c>
      <c r="DG18" s="86">
        <v>0</v>
      </c>
      <c r="DH18" s="80">
        <v>0.5</v>
      </c>
      <c r="DI18" s="64" t="s">
        <v>640</v>
      </c>
      <c r="DJ18" s="80">
        <v>0.5</v>
      </c>
      <c r="DK18" s="173" t="s">
        <v>680</v>
      </c>
      <c r="DL18" s="117" t="s">
        <v>751</v>
      </c>
    </row>
    <row r="19" spans="1:116" ht="28.5" x14ac:dyDescent="0.25">
      <c r="A19" s="450"/>
      <c r="B19" s="506"/>
      <c r="C19" s="506"/>
      <c r="D19" s="506"/>
      <c r="E19" s="508"/>
      <c r="F19" s="508"/>
      <c r="G19" s="406"/>
      <c r="H19" s="406"/>
      <c r="I19" s="406"/>
      <c r="J19" s="437"/>
      <c r="K19" s="436"/>
      <c r="L19" s="438"/>
      <c r="M19" s="438"/>
      <c r="N19" s="436"/>
      <c r="O19" s="436"/>
      <c r="P19" s="436"/>
      <c r="Q19" s="436"/>
      <c r="R19" s="635"/>
      <c r="S19" s="639"/>
      <c r="T19" s="505"/>
      <c r="U19" s="505"/>
      <c r="V19" s="505"/>
      <c r="W19" s="505"/>
      <c r="X19" s="505"/>
      <c r="Y19" s="505"/>
      <c r="Z19" s="505"/>
      <c r="AA19" s="505"/>
      <c r="AB19" s="643"/>
      <c r="AC19" s="643"/>
      <c r="AD19" s="643"/>
      <c r="AE19" s="643"/>
      <c r="AF19" s="643"/>
      <c r="AG19" s="643"/>
      <c r="AH19" s="643"/>
      <c r="AI19" s="643"/>
      <c r="AJ19" s="641"/>
      <c r="AK19" s="677"/>
      <c r="AL19" s="680"/>
      <c r="AM19" s="680"/>
      <c r="AN19" s="481"/>
      <c r="AO19" s="475"/>
      <c r="AP19" s="502"/>
      <c r="AQ19" s="436"/>
      <c r="AR19" s="436"/>
      <c r="AS19" s="565"/>
      <c r="AT19" s="436"/>
      <c r="AU19" s="4" t="s">
        <v>142</v>
      </c>
      <c r="AV19" s="4" t="s">
        <v>114</v>
      </c>
      <c r="AW19" s="4">
        <v>1</v>
      </c>
      <c r="AX19" s="65">
        <v>0.2</v>
      </c>
      <c r="AY19" s="201">
        <v>0.25</v>
      </c>
      <c r="AZ19" s="201">
        <v>0.25</v>
      </c>
      <c r="BA19" s="201">
        <v>0.25</v>
      </c>
      <c r="BB19" s="206">
        <v>0.25</v>
      </c>
      <c r="BC19" s="206"/>
      <c r="BD19" s="565"/>
      <c r="BE19" s="206"/>
      <c r="BF19" s="349"/>
      <c r="BG19" s="379">
        <f t="shared" si="0"/>
        <v>0.25</v>
      </c>
      <c r="BH19" s="349"/>
      <c r="BI19" s="349"/>
      <c r="BJ19" s="670"/>
      <c r="BK19" s="670"/>
      <c r="BL19" s="692"/>
      <c r="BM19" s="206"/>
      <c r="BN19" s="78">
        <v>44927</v>
      </c>
      <c r="BO19" s="78">
        <v>45291</v>
      </c>
      <c r="BP19" s="4">
        <v>365</v>
      </c>
      <c r="BQ19" s="4">
        <v>1028736</v>
      </c>
      <c r="BR19" s="4">
        <v>1028736</v>
      </c>
      <c r="BS19" s="4" t="s">
        <v>91</v>
      </c>
      <c r="BT19" s="4" t="s">
        <v>92</v>
      </c>
      <c r="BU19" s="4" t="s">
        <v>93</v>
      </c>
      <c r="BV19" s="102">
        <v>0</v>
      </c>
      <c r="BW19" s="102">
        <v>0</v>
      </c>
      <c r="BX19" s="225">
        <v>0</v>
      </c>
      <c r="BY19" s="102">
        <v>0</v>
      </c>
      <c r="BZ19" s="102">
        <v>0</v>
      </c>
      <c r="CA19" s="226">
        <v>0</v>
      </c>
      <c r="CB19" s="86">
        <v>0</v>
      </c>
      <c r="CC19" s="226">
        <f t="shared" si="3"/>
        <v>0</v>
      </c>
      <c r="CD19" s="102">
        <v>0</v>
      </c>
      <c r="CE19" s="102">
        <v>0</v>
      </c>
      <c r="CF19" s="102">
        <v>0</v>
      </c>
      <c r="CG19" s="102">
        <v>0</v>
      </c>
      <c r="CH19" s="86">
        <v>0</v>
      </c>
      <c r="CI19" s="86">
        <v>0</v>
      </c>
      <c r="CJ19" s="86">
        <v>0</v>
      </c>
      <c r="CK19" s="86">
        <v>0</v>
      </c>
      <c r="CL19" s="86">
        <v>0</v>
      </c>
      <c r="CM19" s="86">
        <v>0</v>
      </c>
      <c r="CN19" s="86">
        <v>0</v>
      </c>
      <c r="CO19" s="86">
        <v>0</v>
      </c>
      <c r="CP19" s="86">
        <v>0</v>
      </c>
      <c r="CQ19" s="86">
        <v>0</v>
      </c>
      <c r="CR19" s="86">
        <v>0</v>
      </c>
      <c r="CS19" s="226">
        <v>0</v>
      </c>
      <c r="CT19" s="620"/>
      <c r="CU19" s="479"/>
      <c r="CV19" s="479"/>
      <c r="CW19" s="64" t="s">
        <v>96</v>
      </c>
      <c r="CX19" s="64" t="s">
        <v>97</v>
      </c>
      <c r="CY19" s="64" t="s">
        <v>97</v>
      </c>
      <c r="CZ19" s="64" t="s">
        <v>97</v>
      </c>
      <c r="DA19" s="64" t="s">
        <v>97</v>
      </c>
      <c r="DB19" s="117" t="s">
        <v>143</v>
      </c>
      <c r="DC19" s="438"/>
      <c r="DD19" s="438"/>
      <c r="DE19" s="173"/>
      <c r="DF19" s="173" t="s">
        <v>582</v>
      </c>
      <c r="DG19" s="86">
        <v>0</v>
      </c>
      <c r="DH19" s="80">
        <v>0.5</v>
      </c>
      <c r="DI19" s="64" t="s">
        <v>641</v>
      </c>
      <c r="DJ19" s="80">
        <v>0.5</v>
      </c>
      <c r="DK19" s="173" t="s">
        <v>681</v>
      </c>
      <c r="DL19" s="117" t="s">
        <v>681</v>
      </c>
    </row>
    <row r="20" spans="1:116" ht="45.6" customHeight="1" x14ac:dyDescent="0.2">
      <c r="A20" s="450"/>
      <c r="B20" s="506"/>
      <c r="C20" s="506"/>
      <c r="D20" s="506"/>
      <c r="E20" s="508"/>
      <c r="F20" s="508"/>
      <c r="G20" s="406"/>
      <c r="H20" s="406"/>
      <c r="I20" s="406"/>
      <c r="J20" s="437"/>
      <c r="K20" s="436"/>
      <c r="L20" s="438"/>
      <c r="M20" s="438"/>
      <c r="N20" s="436"/>
      <c r="O20" s="436"/>
      <c r="P20" s="436"/>
      <c r="Q20" s="436"/>
      <c r="R20" s="635"/>
      <c r="S20" s="639"/>
      <c r="T20" s="505"/>
      <c r="U20" s="505"/>
      <c r="V20" s="505"/>
      <c r="W20" s="505"/>
      <c r="X20" s="505"/>
      <c r="Y20" s="505"/>
      <c r="Z20" s="505"/>
      <c r="AA20" s="505"/>
      <c r="AB20" s="423"/>
      <c r="AC20" s="423"/>
      <c r="AD20" s="423"/>
      <c r="AE20" s="423"/>
      <c r="AF20" s="423"/>
      <c r="AG20" s="423"/>
      <c r="AH20" s="423"/>
      <c r="AI20" s="423"/>
      <c r="AJ20" s="641"/>
      <c r="AK20" s="678"/>
      <c r="AL20" s="681"/>
      <c r="AM20" s="681"/>
      <c r="AN20" s="481"/>
      <c r="AO20" s="475"/>
      <c r="AP20" s="502"/>
      <c r="AQ20" s="436"/>
      <c r="AR20" s="436"/>
      <c r="AS20" s="565"/>
      <c r="AT20" s="436"/>
      <c r="AU20" s="64" t="s">
        <v>144</v>
      </c>
      <c r="AV20" s="64" t="s">
        <v>145</v>
      </c>
      <c r="AW20" s="4">
        <v>1</v>
      </c>
      <c r="AX20" s="65">
        <v>0.2</v>
      </c>
      <c r="AY20" s="201">
        <v>0.25</v>
      </c>
      <c r="AZ20" s="201">
        <v>0.25</v>
      </c>
      <c r="BA20" s="201">
        <v>0.25</v>
      </c>
      <c r="BB20" s="206">
        <v>0.25</v>
      </c>
      <c r="BC20" s="206"/>
      <c r="BD20" s="565"/>
      <c r="BE20" s="206"/>
      <c r="BF20" s="349"/>
      <c r="BG20" s="379">
        <f t="shared" si="0"/>
        <v>0.25</v>
      </c>
      <c r="BH20" s="349"/>
      <c r="BI20" s="349"/>
      <c r="BJ20" s="670"/>
      <c r="BK20" s="670"/>
      <c r="BL20" s="692"/>
      <c r="BM20" s="206"/>
      <c r="BN20" s="78">
        <v>44927</v>
      </c>
      <c r="BO20" s="78">
        <v>45291</v>
      </c>
      <c r="BP20" s="4">
        <v>365</v>
      </c>
      <c r="BQ20" s="4">
        <v>1028736</v>
      </c>
      <c r="BR20" s="4">
        <v>1028736</v>
      </c>
      <c r="BS20" s="4" t="s">
        <v>91</v>
      </c>
      <c r="BT20" s="4" t="s">
        <v>92</v>
      </c>
      <c r="BU20" s="4" t="s">
        <v>93</v>
      </c>
      <c r="BV20" s="102">
        <v>57500000</v>
      </c>
      <c r="BW20" s="102">
        <v>0</v>
      </c>
      <c r="BX20" s="225">
        <v>57500000</v>
      </c>
      <c r="BY20" s="102">
        <v>0</v>
      </c>
      <c r="BZ20" s="102">
        <v>0</v>
      </c>
      <c r="CA20" s="226">
        <v>57500000</v>
      </c>
      <c r="CB20" s="86">
        <v>0</v>
      </c>
      <c r="CC20" s="226">
        <f t="shared" si="3"/>
        <v>57500000</v>
      </c>
      <c r="CD20" s="102">
        <v>0</v>
      </c>
      <c r="CE20" s="102">
        <v>0</v>
      </c>
      <c r="CF20" s="102">
        <v>5000000</v>
      </c>
      <c r="CG20" s="102">
        <v>5000000</v>
      </c>
      <c r="CH20" s="86">
        <v>5000000</v>
      </c>
      <c r="CI20" s="86">
        <v>5000000</v>
      </c>
      <c r="CJ20" s="86">
        <v>5000000</v>
      </c>
      <c r="CK20" s="86">
        <v>15000000</v>
      </c>
      <c r="CL20" s="86">
        <v>5000000</v>
      </c>
      <c r="CM20" s="86">
        <v>5000000</v>
      </c>
      <c r="CN20" s="86">
        <v>0</v>
      </c>
      <c r="CO20" s="86">
        <v>10000000</v>
      </c>
      <c r="CP20" s="86">
        <v>10000000</v>
      </c>
      <c r="CQ20" s="86">
        <v>5000000</v>
      </c>
      <c r="CR20" s="86">
        <v>10000000</v>
      </c>
      <c r="CS20" s="226">
        <v>25000000</v>
      </c>
      <c r="CT20" s="620"/>
      <c r="CU20" s="479"/>
      <c r="CV20" s="479"/>
      <c r="CW20" s="64" t="s">
        <v>108</v>
      </c>
      <c r="CX20" s="64" t="s">
        <v>146</v>
      </c>
      <c r="CY20" s="64" t="s">
        <v>147</v>
      </c>
      <c r="CZ20" s="64" t="s">
        <v>111</v>
      </c>
      <c r="DA20" s="248">
        <v>44927</v>
      </c>
      <c r="DB20" s="117" t="s">
        <v>148</v>
      </c>
      <c r="DC20" s="438"/>
      <c r="DD20" s="438"/>
      <c r="DE20" s="268" t="s">
        <v>708</v>
      </c>
      <c r="DF20" s="173" t="s">
        <v>584</v>
      </c>
      <c r="DG20" s="86">
        <v>20000000</v>
      </c>
      <c r="DH20" s="80">
        <v>0.5</v>
      </c>
      <c r="DI20" s="64" t="s">
        <v>642</v>
      </c>
      <c r="DJ20" s="80">
        <v>0.5</v>
      </c>
      <c r="DK20" s="173" t="s">
        <v>682</v>
      </c>
      <c r="DL20" s="117" t="s">
        <v>752</v>
      </c>
    </row>
    <row r="21" spans="1:116" ht="38.450000000000003" customHeight="1" x14ac:dyDescent="0.25">
      <c r="A21" s="450"/>
      <c r="B21" s="506"/>
      <c r="C21" s="506"/>
      <c r="D21" s="506"/>
      <c r="E21" s="508"/>
      <c r="F21" s="508"/>
      <c r="G21" s="406"/>
      <c r="H21" s="406"/>
      <c r="I21" s="406"/>
      <c r="J21" s="437"/>
      <c r="K21" s="436" t="s">
        <v>149</v>
      </c>
      <c r="L21" s="438" t="s">
        <v>76</v>
      </c>
      <c r="M21" s="438">
        <v>100</v>
      </c>
      <c r="N21" s="436" t="s">
        <v>150</v>
      </c>
      <c r="O21" s="436"/>
      <c r="P21" s="438" t="s">
        <v>80</v>
      </c>
      <c r="Q21" s="436" t="s">
        <v>136</v>
      </c>
      <c r="R21" s="635">
        <v>200</v>
      </c>
      <c r="S21" s="639" t="s">
        <v>120</v>
      </c>
      <c r="T21" s="505" t="s">
        <v>527</v>
      </c>
      <c r="U21" s="505" t="s">
        <v>527</v>
      </c>
      <c r="V21" s="505" t="s">
        <v>527</v>
      </c>
      <c r="W21" s="505" t="s">
        <v>527</v>
      </c>
      <c r="X21" s="505">
        <v>31</v>
      </c>
      <c r="Y21" s="505" t="s">
        <v>527</v>
      </c>
      <c r="Z21" s="505">
        <v>74</v>
      </c>
      <c r="AA21" s="505">
        <v>105</v>
      </c>
      <c r="AB21" s="422" t="s">
        <v>527</v>
      </c>
      <c r="AC21" s="422">
        <v>10</v>
      </c>
      <c r="AD21" s="422">
        <v>3</v>
      </c>
      <c r="AE21" s="422">
        <v>13</v>
      </c>
      <c r="AF21" s="422">
        <v>20</v>
      </c>
      <c r="AG21" s="422" t="s">
        <v>527</v>
      </c>
      <c r="AH21" s="422" t="s">
        <v>527</v>
      </c>
      <c r="AI21" s="422">
        <v>20</v>
      </c>
      <c r="AJ21" s="668">
        <v>209</v>
      </c>
      <c r="AK21" s="70"/>
      <c r="AL21" s="303"/>
      <c r="AM21" s="303"/>
      <c r="AN21" s="481"/>
      <c r="AO21" s="475"/>
      <c r="AP21" s="502"/>
      <c r="AQ21" s="436"/>
      <c r="AR21" s="436"/>
      <c r="AS21" s="565"/>
      <c r="AT21" s="436"/>
      <c r="AU21" s="64" t="s">
        <v>151</v>
      </c>
      <c r="AV21" s="64" t="s">
        <v>152</v>
      </c>
      <c r="AW21" s="4">
        <v>1</v>
      </c>
      <c r="AX21" s="65">
        <v>0.05</v>
      </c>
      <c r="AY21" s="201">
        <v>0</v>
      </c>
      <c r="AZ21" s="201">
        <v>0</v>
      </c>
      <c r="BA21" s="201">
        <v>0.25</v>
      </c>
      <c r="BB21" s="206">
        <v>0.75</v>
      </c>
      <c r="BC21" s="206"/>
      <c r="BD21" s="565"/>
      <c r="BE21" s="206"/>
      <c r="BF21" s="349"/>
      <c r="BG21" s="379">
        <f t="shared" si="0"/>
        <v>0.75</v>
      </c>
      <c r="BH21" s="349"/>
      <c r="BI21" s="349"/>
      <c r="BJ21" s="670"/>
      <c r="BK21" s="670"/>
      <c r="BL21" s="692"/>
      <c r="BM21" s="206"/>
      <c r="BN21" s="78">
        <v>44927</v>
      </c>
      <c r="BO21" s="78">
        <v>45291</v>
      </c>
      <c r="BP21" s="4">
        <v>365</v>
      </c>
      <c r="BQ21" s="4">
        <v>1028736</v>
      </c>
      <c r="BR21" s="4">
        <v>1028736</v>
      </c>
      <c r="BS21" s="4" t="s">
        <v>91</v>
      </c>
      <c r="BT21" s="4" t="s">
        <v>92</v>
      </c>
      <c r="BU21" s="4" t="s">
        <v>93</v>
      </c>
      <c r="BV21" s="102">
        <v>0</v>
      </c>
      <c r="BW21" s="102">
        <v>0</v>
      </c>
      <c r="BX21" s="225">
        <v>0</v>
      </c>
      <c r="BY21" s="102">
        <v>0</v>
      </c>
      <c r="BZ21" s="102">
        <v>0</v>
      </c>
      <c r="CA21" s="233">
        <v>0</v>
      </c>
      <c r="CB21" s="86">
        <v>0</v>
      </c>
      <c r="CC21" s="226">
        <f t="shared" si="3"/>
        <v>0</v>
      </c>
      <c r="CD21" s="102">
        <v>0</v>
      </c>
      <c r="CE21" s="102">
        <v>0</v>
      </c>
      <c r="CF21" s="102">
        <v>0</v>
      </c>
      <c r="CG21" s="102">
        <v>0</v>
      </c>
      <c r="CH21" s="86">
        <v>0</v>
      </c>
      <c r="CI21" s="86">
        <v>0</v>
      </c>
      <c r="CJ21" s="86">
        <v>0</v>
      </c>
      <c r="CK21" s="86">
        <v>0</v>
      </c>
      <c r="CL21" s="86">
        <v>0</v>
      </c>
      <c r="CM21" s="86">
        <v>0</v>
      </c>
      <c r="CN21" s="86">
        <v>0</v>
      </c>
      <c r="CO21" s="86">
        <v>0</v>
      </c>
      <c r="CP21" s="86">
        <v>0</v>
      </c>
      <c r="CQ21" s="86">
        <v>0</v>
      </c>
      <c r="CR21" s="86">
        <v>0</v>
      </c>
      <c r="CS21" s="226">
        <v>0</v>
      </c>
      <c r="CT21" s="620"/>
      <c r="CU21" s="479"/>
      <c r="CV21" s="479"/>
      <c r="CW21" s="64" t="s">
        <v>96</v>
      </c>
      <c r="CX21" s="64" t="s">
        <v>97</v>
      </c>
      <c r="CY21" s="64" t="s">
        <v>97</v>
      </c>
      <c r="CZ21" s="64" t="s">
        <v>97</v>
      </c>
      <c r="DA21" s="64" t="s">
        <v>97</v>
      </c>
      <c r="DB21" s="117" t="s">
        <v>153</v>
      </c>
      <c r="DC21" s="438"/>
      <c r="DD21" s="438"/>
      <c r="DE21" s="173"/>
      <c r="DF21" s="173" t="s">
        <v>582</v>
      </c>
      <c r="DG21" s="86">
        <v>0</v>
      </c>
      <c r="DH21" s="80">
        <v>0</v>
      </c>
      <c r="DI21" s="64" t="s">
        <v>638</v>
      </c>
      <c r="DJ21" s="80">
        <v>0</v>
      </c>
      <c r="DK21" s="173" t="s">
        <v>683</v>
      </c>
      <c r="DL21" s="117" t="s">
        <v>753</v>
      </c>
    </row>
    <row r="22" spans="1:116" ht="28.5" x14ac:dyDescent="0.25">
      <c r="A22" s="450"/>
      <c r="B22" s="506"/>
      <c r="C22" s="506"/>
      <c r="D22" s="506"/>
      <c r="E22" s="508"/>
      <c r="F22" s="508"/>
      <c r="G22" s="406"/>
      <c r="H22" s="406"/>
      <c r="I22" s="406"/>
      <c r="J22" s="437"/>
      <c r="K22" s="436"/>
      <c r="L22" s="438"/>
      <c r="M22" s="438"/>
      <c r="N22" s="436"/>
      <c r="O22" s="436"/>
      <c r="P22" s="438"/>
      <c r="Q22" s="436"/>
      <c r="R22" s="635"/>
      <c r="S22" s="639"/>
      <c r="T22" s="505"/>
      <c r="U22" s="505"/>
      <c r="V22" s="505"/>
      <c r="W22" s="505"/>
      <c r="X22" s="505"/>
      <c r="Y22" s="505"/>
      <c r="Z22" s="505"/>
      <c r="AA22" s="505"/>
      <c r="AB22" s="643"/>
      <c r="AC22" s="643"/>
      <c r="AD22" s="643"/>
      <c r="AE22" s="643"/>
      <c r="AF22" s="643"/>
      <c r="AG22" s="643"/>
      <c r="AH22" s="643"/>
      <c r="AI22" s="643"/>
      <c r="AJ22" s="668"/>
      <c r="AK22" s="70"/>
      <c r="AL22" s="303"/>
      <c r="AM22" s="303"/>
      <c r="AN22" s="481"/>
      <c r="AO22" s="475"/>
      <c r="AP22" s="502"/>
      <c r="AQ22" s="436"/>
      <c r="AR22" s="436"/>
      <c r="AS22" s="565"/>
      <c r="AT22" s="436"/>
      <c r="AU22" s="64" t="s">
        <v>154</v>
      </c>
      <c r="AV22" s="64" t="s">
        <v>155</v>
      </c>
      <c r="AW22" s="4">
        <v>1</v>
      </c>
      <c r="AX22" s="65">
        <v>0.05</v>
      </c>
      <c r="AY22" s="201">
        <v>0</v>
      </c>
      <c r="AZ22" s="201">
        <v>0</v>
      </c>
      <c r="BA22" s="201">
        <v>0.25</v>
      </c>
      <c r="BB22" s="206">
        <v>0.75</v>
      </c>
      <c r="BC22" s="206"/>
      <c r="BD22" s="565"/>
      <c r="BE22" s="206"/>
      <c r="BF22" s="349"/>
      <c r="BG22" s="379">
        <f t="shared" si="0"/>
        <v>0.75</v>
      </c>
      <c r="BH22" s="349"/>
      <c r="BI22" s="349"/>
      <c r="BJ22" s="670"/>
      <c r="BK22" s="670"/>
      <c r="BL22" s="692"/>
      <c r="BM22" s="206"/>
      <c r="BN22" s="78">
        <v>44927</v>
      </c>
      <c r="BO22" s="78">
        <v>45291</v>
      </c>
      <c r="BP22" s="4">
        <v>365</v>
      </c>
      <c r="BQ22" s="4">
        <v>1028736</v>
      </c>
      <c r="BR22" s="4">
        <v>1028736</v>
      </c>
      <c r="BS22" s="4" t="s">
        <v>91</v>
      </c>
      <c r="BT22" s="4" t="s">
        <v>92</v>
      </c>
      <c r="BU22" s="4" t="s">
        <v>93</v>
      </c>
      <c r="BV22" s="102">
        <v>0</v>
      </c>
      <c r="BW22" s="102">
        <v>0</v>
      </c>
      <c r="BX22" s="225">
        <v>0</v>
      </c>
      <c r="BY22" s="102">
        <v>0</v>
      </c>
      <c r="BZ22" s="102">
        <v>0</v>
      </c>
      <c r="CA22" s="233">
        <v>0</v>
      </c>
      <c r="CB22" s="86">
        <v>0</v>
      </c>
      <c r="CC22" s="226">
        <f t="shared" si="3"/>
        <v>0</v>
      </c>
      <c r="CD22" s="102">
        <v>0</v>
      </c>
      <c r="CE22" s="102">
        <v>0</v>
      </c>
      <c r="CF22" s="102">
        <v>0</v>
      </c>
      <c r="CG22" s="102">
        <v>0</v>
      </c>
      <c r="CH22" s="86">
        <v>0</v>
      </c>
      <c r="CI22" s="86">
        <v>0</v>
      </c>
      <c r="CJ22" s="86">
        <v>0</v>
      </c>
      <c r="CK22" s="86">
        <v>0</v>
      </c>
      <c r="CL22" s="86">
        <v>0</v>
      </c>
      <c r="CM22" s="86">
        <v>0</v>
      </c>
      <c r="CN22" s="86">
        <v>0</v>
      </c>
      <c r="CO22" s="86">
        <v>0</v>
      </c>
      <c r="CP22" s="86">
        <v>0</v>
      </c>
      <c r="CQ22" s="86">
        <v>0</v>
      </c>
      <c r="CR22" s="86">
        <v>0</v>
      </c>
      <c r="CS22" s="226">
        <v>0</v>
      </c>
      <c r="CT22" s="620"/>
      <c r="CU22" s="479"/>
      <c r="CV22" s="479"/>
      <c r="CW22" s="64" t="s">
        <v>96</v>
      </c>
      <c r="CX22" s="64" t="s">
        <v>97</v>
      </c>
      <c r="CY22" s="64" t="s">
        <v>97</v>
      </c>
      <c r="CZ22" s="64" t="s">
        <v>97</v>
      </c>
      <c r="DA22" s="64" t="s">
        <v>97</v>
      </c>
      <c r="DB22" s="117" t="s">
        <v>156</v>
      </c>
      <c r="DC22" s="438"/>
      <c r="DD22" s="438"/>
      <c r="DE22" s="173"/>
      <c r="DF22" s="173" t="s">
        <v>582</v>
      </c>
      <c r="DG22" s="86">
        <v>0</v>
      </c>
      <c r="DH22" s="80">
        <v>0</v>
      </c>
      <c r="DI22" s="64" t="s">
        <v>638</v>
      </c>
      <c r="DJ22" s="80">
        <v>0</v>
      </c>
      <c r="DK22" s="173" t="s">
        <v>638</v>
      </c>
      <c r="DL22" s="117" t="s">
        <v>754</v>
      </c>
    </row>
    <row r="23" spans="1:116" ht="42.75" x14ac:dyDescent="0.25">
      <c r="A23" s="450"/>
      <c r="B23" s="506"/>
      <c r="C23" s="506"/>
      <c r="D23" s="506"/>
      <c r="E23" s="508"/>
      <c r="F23" s="508"/>
      <c r="G23" s="406"/>
      <c r="H23" s="406"/>
      <c r="I23" s="406"/>
      <c r="J23" s="437"/>
      <c r="K23" s="436"/>
      <c r="L23" s="438"/>
      <c r="M23" s="438"/>
      <c r="N23" s="436"/>
      <c r="O23" s="436"/>
      <c r="P23" s="438"/>
      <c r="Q23" s="436"/>
      <c r="R23" s="635"/>
      <c r="S23" s="639"/>
      <c r="T23" s="505"/>
      <c r="U23" s="505"/>
      <c r="V23" s="505"/>
      <c r="W23" s="505"/>
      <c r="X23" s="505"/>
      <c r="Y23" s="505"/>
      <c r="Z23" s="505"/>
      <c r="AA23" s="505"/>
      <c r="AB23" s="643"/>
      <c r="AC23" s="643"/>
      <c r="AD23" s="643"/>
      <c r="AE23" s="643"/>
      <c r="AF23" s="643"/>
      <c r="AG23" s="643"/>
      <c r="AH23" s="643"/>
      <c r="AI23" s="643"/>
      <c r="AJ23" s="668"/>
      <c r="AK23" s="70"/>
      <c r="AL23" s="303"/>
      <c r="AM23" s="303"/>
      <c r="AN23" s="481"/>
      <c r="AO23" s="475"/>
      <c r="AP23" s="502"/>
      <c r="AQ23" s="436"/>
      <c r="AR23" s="436"/>
      <c r="AS23" s="565"/>
      <c r="AT23" s="436"/>
      <c r="AU23" s="64" t="s">
        <v>157</v>
      </c>
      <c r="AV23" s="64" t="s">
        <v>114</v>
      </c>
      <c r="AW23" s="4">
        <v>1</v>
      </c>
      <c r="AX23" s="65">
        <v>0.2</v>
      </c>
      <c r="AY23" s="201">
        <v>0.25</v>
      </c>
      <c r="AZ23" s="201">
        <v>0.25</v>
      </c>
      <c r="BA23" s="201">
        <v>0.25</v>
      </c>
      <c r="BB23" s="206">
        <v>0.25</v>
      </c>
      <c r="BC23" s="206"/>
      <c r="BD23" s="565"/>
      <c r="BE23" s="206"/>
      <c r="BF23" s="349"/>
      <c r="BG23" s="379">
        <f t="shared" si="0"/>
        <v>0.25</v>
      </c>
      <c r="BH23" s="349"/>
      <c r="BI23" s="349"/>
      <c r="BJ23" s="670"/>
      <c r="BK23" s="670"/>
      <c r="BL23" s="692"/>
      <c r="BM23" s="206"/>
      <c r="BN23" s="78">
        <v>44927</v>
      </c>
      <c r="BO23" s="78">
        <v>45291</v>
      </c>
      <c r="BP23" s="4">
        <v>365</v>
      </c>
      <c r="BQ23" s="4">
        <v>1028736</v>
      </c>
      <c r="BR23" s="4">
        <v>1028736</v>
      </c>
      <c r="BS23" s="4" t="s">
        <v>91</v>
      </c>
      <c r="BT23" s="4" t="s">
        <v>92</v>
      </c>
      <c r="BU23" s="4" t="s">
        <v>93</v>
      </c>
      <c r="BV23" s="102">
        <v>44171500</v>
      </c>
      <c r="BW23" s="153">
        <v>-3220</v>
      </c>
      <c r="BX23" s="225">
        <v>44168280</v>
      </c>
      <c r="BY23" s="102">
        <v>0</v>
      </c>
      <c r="BZ23" s="102">
        <v>0</v>
      </c>
      <c r="CA23" s="233">
        <v>44168280</v>
      </c>
      <c r="CB23" s="86">
        <v>0</v>
      </c>
      <c r="CC23" s="226">
        <f t="shared" si="3"/>
        <v>44168280</v>
      </c>
      <c r="CD23" s="102">
        <v>0</v>
      </c>
      <c r="CE23" s="102">
        <v>0</v>
      </c>
      <c r="CF23" s="102">
        <v>3500000</v>
      </c>
      <c r="CG23" s="102">
        <v>3500000</v>
      </c>
      <c r="CH23" s="86">
        <v>3500000</v>
      </c>
      <c r="CI23" s="86">
        <v>3500000</v>
      </c>
      <c r="CJ23" s="86">
        <v>3500000</v>
      </c>
      <c r="CK23" s="86">
        <v>10500000</v>
      </c>
      <c r="CL23" s="86">
        <v>3500000</v>
      </c>
      <c r="CM23" s="86">
        <v>3500000</v>
      </c>
      <c r="CN23" s="86">
        <v>3500000</v>
      </c>
      <c r="CO23" s="86">
        <v>10500000</v>
      </c>
      <c r="CP23" s="86">
        <v>3500000</v>
      </c>
      <c r="CQ23" s="86">
        <v>3500000</v>
      </c>
      <c r="CR23" s="86">
        <v>6883333</v>
      </c>
      <c r="CS23" s="226">
        <v>13883333</v>
      </c>
      <c r="CT23" s="620"/>
      <c r="CU23" s="479"/>
      <c r="CV23" s="479"/>
      <c r="CW23" s="64" t="s">
        <v>108</v>
      </c>
      <c r="CX23" s="64" t="s">
        <v>158</v>
      </c>
      <c r="CY23" s="64" t="s">
        <v>147</v>
      </c>
      <c r="CZ23" s="64" t="s">
        <v>111</v>
      </c>
      <c r="DA23" s="248">
        <v>44927</v>
      </c>
      <c r="DB23" s="117" t="s">
        <v>143</v>
      </c>
      <c r="DC23" s="438"/>
      <c r="DD23" s="438"/>
      <c r="DE23" s="173" t="s">
        <v>545</v>
      </c>
      <c r="DF23" s="173" t="s">
        <v>585</v>
      </c>
      <c r="DG23" s="86">
        <v>14000000</v>
      </c>
      <c r="DH23" s="80">
        <v>0.5</v>
      </c>
      <c r="DI23" s="64" t="s">
        <v>641</v>
      </c>
      <c r="DJ23" s="80">
        <v>0.5</v>
      </c>
      <c r="DK23" s="173" t="s">
        <v>641</v>
      </c>
      <c r="DL23" s="117" t="s">
        <v>755</v>
      </c>
    </row>
    <row r="24" spans="1:116" ht="41.45" customHeight="1" x14ac:dyDescent="0.25">
      <c r="A24" s="450"/>
      <c r="B24" s="506"/>
      <c r="C24" s="506"/>
      <c r="D24" s="506"/>
      <c r="E24" s="508"/>
      <c r="F24" s="508"/>
      <c r="G24" s="406"/>
      <c r="H24" s="406"/>
      <c r="I24" s="406"/>
      <c r="J24" s="437"/>
      <c r="K24" s="436"/>
      <c r="L24" s="438"/>
      <c r="M24" s="438"/>
      <c r="N24" s="436"/>
      <c r="O24" s="436"/>
      <c r="P24" s="438"/>
      <c r="Q24" s="436"/>
      <c r="R24" s="635"/>
      <c r="S24" s="639"/>
      <c r="T24" s="505"/>
      <c r="U24" s="505"/>
      <c r="V24" s="505"/>
      <c r="W24" s="505"/>
      <c r="X24" s="505"/>
      <c r="Y24" s="505"/>
      <c r="Z24" s="505"/>
      <c r="AA24" s="505"/>
      <c r="AB24" s="423"/>
      <c r="AC24" s="423"/>
      <c r="AD24" s="423"/>
      <c r="AE24" s="423"/>
      <c r="AF24" s="423"/>
      <c r="AG24" s="423"/>
      <c r="AH24" s="423"/>
      <c r="AI24" s="423"/>
      <c r="AJ24" s="668"/>
      <c r="AK24" s="70"/>
      <c r="AL24" s="303"/>
      <c r="AM24" s="303"/>
      <c r="AN24" s="481"/>
      <c r="AO24" s="475"/>
      <c r="AP24" s="502"/>
      <c r="AQ24" s="436"/>
      <c r="AR24" s="436"/>
      <c r="AS24" s="565"/>
      <c r="AT24" s="436"/>
      <c r="AU24" s="64" t="s">
        <v>159</v>
      </c>
      <c r="AV24" s="64" t="s">
        <v>160</v>
      </c>
      <c r="AW24" s="4">
        <v>1</v>
      </c>
      <c r="AX24" s="65">
        <v>0.15</v>
      </c>
      <c r="AY24" s="201">
        <v>0.25</v>
      </c>
      <c r="AZ24" s="201">
        <v>0.25</v>
      </c>
      <c r="BA24" s="201">
        <v>0.25</v>
      </c>
      <c r="BB24" s="206">
        <v>0.25</v>
      </c>
      <c r="BC24" s="206"/>
      <c r="BD24" s="565"/>
      <c r="BE24" s="206"/>
      <c r="BF24" s="350"/>
      <c r="BG24" s="379">
        <f t="shared" si="0"/>
        <v>0.25</v>
      </c>
      <c r="BH24" s="350"/>
      <c r="BI24" s="350"/>
      <c r="BJ24" s="671"/>
      <c r="BK24" s="671"/>
      <c r="BL24" s="384"/>
      <c r="BM24" s="206"/>
      <c r="BN24" s="78">
        <v>44927</v>
      </c>
      <c r="BO24" s="78">
        <v>45291</v>
      </c>
      <c r="BP24" s="4">
        <v>365</v>
      </c>
      <c r="BQ24" s="4">
        <v>1028736</v>
      </c>
      <c r="BR24" s="4">
        <v>1028736</v>
      </c>
      <c r="BS24" s="4" t="s">
        <v>91</v>
      </c>
      <c r="BT24" s="4" t="s">
        <v>92</v>
      </c>
      <c r="BU24" s="4" t="s">
        <v>93</v>
      </c>
      <c r="BV24" s="102">
        <v>0</v>
      </c>
      <c r="BW24" s="102">
        <v>0</v>
      </c>
      <c r="BX24" s="225">
        <v>0</v>
      </c>
      <c r="BY24" s="102">
        <v>0</v>
      </c>
      <c r="BZ24" s="102">
        <v>0</v>
      </c>
      <c r="CA24" s="226">
        <v>0</v>
      </c>
      <c r="CB24" s="86">
        <v>0</v>
      </c>
      <c r="CC24" s="226">
        <f t="shared" si="3"/>
        <v>0</v>
      </c>
      <c r="CD24" s="102">
        <v>0</v>
      </c>
      <c r="CE24" s="102">
        <v>0</v>
      </c>
      <c r="CF24" s="102">
        <v>0</v>
      </c>
      <c r="CG24" s="102">
        <v>0</v>
      </c>
      <c r="CH24" s="86">
        <v>0</v>
      </c>
      <c r="CI24" s="86">
        <v>0</v>
      </c>
      <c r="CJ24" s="86">
        <v>0</v>
      </c>
      <c r="CK24" s="86">
        <v>0</v>
      </c>
      <c r="CL24" s="86">
        <v>0</v>
      </c>
      <c r="CM24" s="86">
        <v>0</v>
      </c>
      <c r="CN24" s="86">
        <v>0</v>
      </c>
      <c r="CO24" s="86">
        <v>0</v>
      </c>
      <c r="CP24" s="86">
        <v>0</v>
      </c>
      <c r="CQ24" s="86">
        <v>0</v>
      </c>
      <c r="CR24" s="86">
        <v>0</v>
      </c>
      <c r="CS24" s="226">
        <v>0</v>
      </c>
      <c r="CT24" s="621"/>
      <c r="CU24" s="480"/>
      <c r="CV24" s="480"/>
      <c r="CW24" s="64" t="s">
        <v>96</v>
      </c>
      <c r="CX24" s="64" t="s">
        <v>97</v>
      </c>
      <c r="CY24" s="64" t="s">
        <v>97</v>
      </c>
      <c r="CZ24" s="64" t="s">
        <v>97</v>
      </c>
      <c r="DA24" s="64" t="s">
        <v>97</v>
      </c>
      <c r="DB24" s="117" t="s">
        <v>161</v>
      </c>
      <c r="DC24" s="438"/>
      <c r="DD24" s="438"/>
      <c r="DE24" s="173" t="s">
        <v>550</v>
      </c>
      <c r="DF24" s="173" t="s">
        <v>586</v>
      </c>
      <c r="DG24" s="86">
        <v>0</v>
      </c>
      <c r="DH24" s="80">
        <v>0.5</v>
      </c>
      <c r="DI24" s="64" t="s">
        <v>643</v>
      </c>
      <c r="DJ24" s="80">
        <v>0.5</v>
      </c>
      <c r="DK24" s="250" t="s">
        <v>709</v>
      </c>
      <c r="DL24" s="117" t="s">
        <v>756</v>
      </c>
    </row>
    <row r="25" spans="1:116" ht="41.45" customHeight="1" x14ac:dyDescent="0.2">
      <c r="A25" s="450"/>
      <c r="B25" s="506"/>
      <c r="C25" s="506"/>
      <c r="D25" s="506"/>
      <c r="E25" s="508"/>
      <c r="F25" s="508"/>
      <c r="G25" s="406"/>
      <c r="H25" s="406"/>
      <c r="I25" s="406"/>
      <c r="J25" s="761" t="s">
        <v>792</v>
      </c>
      <c r="K25" s="760"/>
      <c r="L25" s="760"/>
      <c r="M25" s="760"/>
      <c r="N25" s="760"/>
      <c r="O25" s="760"/>
      <c r="P25" s="760"/>
      <c r="Q25" s="760"/>
      <c r="R25" s="760"/>
      <c r="S25" s="760"/>
      <c r="T25" s="760"/>
      <c r="U25" s="760"/>
      <c r="V25" s="760"/>
      <c r="W25" s="760"/>
      <c r="X25" s="760"/>
      <c r="Y25" s="760"/>
      <c r="Z25" s="760"/>
      <c r="AA25" s="762"/>
      <c r="AB25" s="335"/>
      <c r="AC25" s="335"/>
      <c r="AD25" s="335"/>
      <c r="AE25" s="335"/>
      <c r="AF25" s="729"/>
      <c r="AG25" s="730"/>
      <c r="AH25" s="730"/>
      <c r="AI25" s="730"/>
      <c r="AJ25" s="730"/>
      <c r="AK25" s="731"/>
      <c r="AL25" s="382">
        <f>AL18</f>
        <v>1</v>
      </c>
      <c r="AM25" s="382">
        <f>AM18</f>
        <v>1</v>
      </c>
      <c r="AN25" s="322"/>
      <c r="AO25" s="71"/>
      <c r="AP25" s="323"/>
      <c r="AQ25" s="4"/>
      <c r="AR25" s="4"/>
      <c r="AS25" s="175"/>
      <c r="AT25" s="4"/>
      <c r="AU25" s="64"/>
      <c r="AV25" s="64"/>
      <c r="AW25" s="732" t="s">
        <v>788</v>
      </c>
      <c r="AX25" s="733"/>
      <c r="AY25" s="733"/>
      <c r="AZ25" s="733"/>
      <c r="BA25" s="733"/>
      <c r="BB25" s="733"/>
      <c r="BC25" s="733"/>
      <c r="BD25" s="733"/>
      <c r="BE25" s="733"/>
      <c r="BF25" s="554"/>
      <c r="BG25" s="383">
        <f>SUM(BG15:BG24)/(9)</f>
        <v>0.39888888888888885</v>
      </c>
      <c r="BH25" s="734" t="s">
        <v>789</v>
      </c>
      <c r="BI25" s="735"/>
      <c r="BJ25" s="387">
        <f>BJ15</f>
        <v>101668280</v>
      </c>
      <c r="BK25" s="387">
        <f>BK15</f>
        <v>93050000</v>
      </c>
      <c r="BL25" s="386">
        <f>BK25/BJ25</f>
        <v>0.91523137796764142</v>
      </c>
      <c r="BM25" s="206"/>
      <c r="BN25" s="78"/>
      <c r="BO25" s="78"/>
      <c r="BP25" s="4"/>
      <c r="BQ25" s="4"/>
      <c r="BR25" s="4"/>
      <c r="BS25" s="4"/>
      <c r="BT25" s="4"/>
      <c r="BU25" s="4"/>
      <c r="BV25" s="102"/>
      <c r="BW25" s="102"/>
      <c r="BX25" s="225"/>
      <c r="BY25" s="102"/>
      <c r="BZ25" s="102"/>
      <c r="CA25" s="226"/>
      <c r="CB25" s="86"/>
      <c r="CC25" s="226"/>
      <c r="CD25" s="102"/>
      <c r="CE25" s="102"/>
      <c r="CF25" s="102"/>
      <c r="CG25" s="102"/>
      <c r="CH25" s="86"/>
      <c r="CI25" s="86"/>
      <c r="CJ25" s="86"/>
      <c r="CK25" s="86"/>
      <c r="CL25" s="86"/>
      <c r="CM25" s="86"/>
      <c r="CN25" s="86"/>
      <c r="CO25" s="86"/>
      <c r="CP25" s="86"/>
      <c r="CQ25" s="86"/>
      <c r="CR25" s="86"/>
      <c r="CS25" s="226"/>
      <c r="CT25" s="339"/>
      <c r="CU25" s="9"/>
      <c r="CV25" s="9"/>
      <c r="CW25" s="64"/>
      <c r="CX25" s="64"/>
      <c r="CY25" s="64"/>
      <c r="CZ25" s="64"/>
      <c r="DA25" s="64"/>
      <c r="DB25" s="117"/>
      <c r="DC25" s="328"/>
      <c r="DD25" s="328"/>
      <c r="DE25" s="173"/>
      <c r="DF25" s="173"/>
      <c r="DG25" s="86"/>
      <c r="DH25" s="80"/>
      <c r="DI25" s="64"/>
      <c r="DJ25" s="80"/>
      <c r="DK25" s="250"/>
      <c r="DL25" s="117"/>
    </row>
    <row r="26" spans="1:116" s="8" customFormat="1" ht="71.25" x14ac:dyDescent="0.25">
      <c r="A26" s="450"/>
      <c r="B26" s="506"/>
      <c r="C26" s="506"/>
      <c r="D26" s="506"/>
      <c r="E26" s="508"/>
      <c r="F26" s="508"/>
      <c r="G26" s="406"/>
      <c r="H26" s="406"/>
      <c r="I26" s="406"/>
      <c r="J26" s="627" t="s">
        <v>162</v>
      </c>
      <c r="K26" s="64" t="s">
        <v>163</v>
      </c>
      <c r="L26" s="64" t="s">
        <v>76</v>
      </c>
      <c r="M26" s="64">
        <v>0</v>
      </c>
      <c r="N26" s="64" t="s">
        <v>164</v>
      </c>
      <c r="O26" s="64"/>
      <c r="P26" s="64" t="s">
        <v>80</v>
      </c>
      <c r="Q26" s="64" t="s">
        <v>119</v>
      </c>
      <c r="R26" s="148">
        <v>1</v>
      </c>
      <c r="S26" s="148" t="s">
        <v>527</v>
      </c>
      <c r="T26" s="64" t="s">
        <v>527</v>
      </c>
      <c r="U26" s="64" t="s">
        <v>527</v>
      </c>
      <c r="V26" s="64" t="s">
        <v>527</v>
      </c>
      <c r="W26" s="64" t="s">
        <v>527</v>
      </c>
      <c r="X26" s="64" t="s">
        <v>527</v>
      </c>
      <c r="Y26" s="64" t="s">
        <v>527</v>
      </c>
      <c r="Z26" s="64" t="s">
        <v>527</v>
      </c>
      <c r="AA26" s="64" t="s">
        <v>527</v>
      </c>
      <c r="AB26" s="64" t="s">
        <v>527</v>
      </c>
      <c r="AC26" s="64" t="s">
        <v>527</v>
      </c>
      <c r="AD26" s="64" t="s">
        <v>527</v>
      </c>
      <c r="AE26" s="64" t="s">
        <v>527</v>
      </c>
      <c r="AF26" s="64" t="s">
        <v>527</v>
      </c>
      <c r="AG26" s="64" t="s">
        <v>527</v>
      </c>
      <c r="AH26" s="64" t="s">
        <v>527</v>
      </c>
      <c r="AI26" s="64" t="s">
        <v>527</v>
      </c>
      <c r="AJ26" s="148">
        <v>1</v>
      </c>
      <c r="AK26" s="64"/>
      <c r="AL26" s="304"/>
      <c r="AM26" s="304"/>
      <c r="AN26" s="438" t="s">
        <v>82</v>
      </c>
      <c r="AO26" s="438" t="s">
        <v>83</v>
      </c>
      <c r="AP26" s="438" t="s">
        <v>84</v>
      </c>
      <c r="AQ26" s="438" t="s">
        <v>85</v>
      </c>
      <c r="AR26" s="436" t="s">
        <v>165</v>
      </c>
      <c r="AS26" s="633" t="s">
        <v>166</v>
      </c>
      <c r="AT26" s="436" t="s">
        <v>167</v>
      </c>
      <c r="AU26" s="4" t="s">
        <v>168</v>
      </c>
      <c r="AV26" s="4" t="s">
        <v>169</v>
      </c>
      <c r="AW26" s="4">
        <v>1</v>
      </c>
      <c r="AX26" s="79">
        <v>0.1</v>
      </c>
      <c r="AY26" s="202">
        <v>0</v>
      </c>
      <c r="AZ26" s="202">
        <v>1</v>
      </c>
      <c r="BA26" s="202">
        <v>0</v>
      </c>
      <c r="BB26" s="202">
        <v>0</v>
      </c>
      <c r="BC26" s="202"/>
      <c r="BD26" s="202"/>
      <c r="BE26" s="202"/>
      <c r="BF26" s="352"/>
      <c r="BG26" s="379">
        <f t="shared" si="0"/>
        <v>0</v>
      </c>
      <c r="BH26" s="352"/>
      <c r="BI26" s="352"/>
      <c r="BJ26" s="662">
        <v>48733333</v>
      </c>
      <c r="BK26" s="662">
        <v>47300000</v>
      </c>
      <c r="BL26" s="385"/>
      <c r="BM26" s="202"/>
      <c r="BN26" s="78">
        <v>44927</v>
      </c>
      <c r="BO26" s="78">
        <v>45291</v>
      </c>
      <c r="BP26" s="4">
        <v>365</v>
      </c>
      <c r="BQ26" s="4">
        <v>1028736</v>
      </c>
      <c r="BR26" s="4">
        <v>1028736</v>
      </c>
      <c r="BS26" s="4" t="s">
        <v>91</v>
      </c>
      <c r="BT26" s="4" t="s">
        <v>92</v>
      </c>
      <c r="BU26" s="4" t="s">
        <v>93</v>
      </c>
      <c r="BV26" s="102">
        <v>0</v>
      </c>
      <c r="BW26" s="102">
        <v>0</v>
      </c>
      <c r="BX26" s="225">
        <f t="shared" si="1"/>
        <v>0</v>
      </c>
      <c r="BY26" s="102">
        <v>0</v>
      </c>
      <c r="BZ26" s="102">
        <v>0</v>
      </c>
      <c r="CA26" s="226">
        <f t="shared" si="2"/>
        <v>0</v>
      </c>
      <c r="CB26" s="86">
        <v>0</v>
      </c>
      <c r="CC26" s="226">
        <f t="shared" si="3"/>
        <v>0</v>
      </c>
      <c r="CD26" s="102">
        <v>0</v>
      </c>
      <c r="CE26" s="102">
        <v>0</v>
      </c>
      <c r="CF26" s="102">
        <v>0</v>
      </c>
      <c r="CG26" s="102">
        <f t="shared" si="4"/>
        <v>0</v>
      </c>
      <c r="CH26" s="86">
        <v>0</v>
      </c>
      <c r="CI26" s="86">
        <v>0</v>
      </c>
      <c r="CJ26" s="86">
        <v>0</v>
      </c>
      <c r="CK26" s="86">
        <f t="shared" si="5"/>
        <v>0</v>
      </c>
      <c r="CL26" s="215"/>
      <c r="CM26" s="215"/>
      <c r="CN26" s="215"/>
      <c r="CO26" s="102">
        <f t="shared" si="6"/>
        <v>0</v>
      </c>
      <c r="CP26" s="102">
        <f t="shared" si="6"/>
        <v>0</v>
      </c>
      <c r="CQ26" s="102">
        <f t="shared" si="6"/>
        <v>0</v>
      </c>
      <c r="CR26" s="102">
        <f t="shared" si="6"/>
        <v>0</v>
      </c>
      <c r="CS26" s="226">
        <f t="shared" si="6"/>
        <v>0</v>
      </c>
      <c r="CT26" s="443" t="s">
        <v>94</v>
      </c>
      <c r="CU26" s="436" t="s">
        <v>170</v>
      </c>
      <c r="CV26" s="436" t="s">
        <v>171</v>
      </c>
      <c r="CW26" s="4" t="s">
        <v>96</v>
      </c>
      <c r="CX26" s="4" t="s">
        <v>97</v>
      </c>
      <c r="CY26" s="4" t="s">
        <v>97</v>
      </c>
      <c r="CZ26" s="4" t="s">
        <v>97</v>
      </c>
      <c r="DA26" s="4" t="s">
        <v>97</v>
      </c>
      <c r="DB26" s="4" t="s">
        <v>172</v>
      </c>
      <c r="DC26" s="405" t="s">
        <v>99</v>
      </c>
      <c r="DD26" s="405" t="s">
        <v>100</v>
      </c>
      <c r="DE26" s="173"/>
      <c r="DF26" s="172" t="s">
        <v>587</v>
      </c>
      <c r="DG26" s="86">
        <f t="shared" si="8"/>
        <v>0</v>
      </c>
      <c r="DH26" s="80">
        <v>1</v>
      </c>
      <c r="DI26" s="64" t="s">
        <v>619</v>
      </c>
      <c r="DJ26" s="80">
        <v>1</v>
      </c>
      <c r="DK26" s="64"/>
      <c r="DL26" s="173" t="s">
        <v>219</v>
      </c>
    </row>
    <row r="27" spans="1:116" s="8" customFormat="1" ht="71.25" x14ac:dyDescent="0.25">
      <c r="A27" s="450"/>
      <c r="B27" s="506"/>
      <c r="C27" s="506"/>
      <c r="D27" s="506"/>
      <c r="E27" s="508"/>
      <c r="F27" s="508"/>
      <c r="G27" s="406"/>
      <c r="H27" s="406"/>
      <c r="I27" s="406"/>
      <c r="J27" s="628"/>
      <c r="K27" s="64" t="s">
        <v>173</v>
      </c>
      <c r="L27" s="64" t="s">
        <v>174</v>
      </c>
      <c r="M27" s="64">
        <v>0</v>
      </c>
      <c r="N27" s="64" t="s">
        <v>175</v>
      </c>
      <c r="O27" s="64"/>
      <c r="P27" s="64" t="s">
        <v>80</v>
      </c>
      <c r="Q27" s="64" t="s">
        <v>176</v>
      </c>
      <c r="R27" s="285">
        <v>0.3</v>
      </c>
      <c r="S27" s="148" t="s">
        <v>527</v>
      </c>
      <c r="T27" s="64" t="s">
        <v>527</v>
      </c>
      <c r="U27" s="64" t="s">
        <v>527</v>
      </c>
      <c r="V27" s="64" t="s">
        <v>527</v>
      </c>
      <c r="W27" s="64" t="s">
        <v>527</v>
      </c>
      <c r="X27" s="64" t="s">
        <v>527</v>
      </c>
      <c r="Y27" s="64" t="s">
        <v>527</v>
      </c>
      <c r="Z27" s="64" t="s">
        <v>580</v>
      </c>
      <c r="AA27" s="64" t="s">
        <v>580</v>
      </c>
      <c r="AB27" s="64" t="s">
        <v>527</v>
      </c>
      <c r="AC27" s="64" t="s">
        <v>527</v>
      </c>
      <c r="AD27" s="64" t="s">
        <v>580</v>
      </c>
      <c r="AE27" s="64" t="s">
        <v>580</v>
      </c>
      <c r="AF27" s="64" t="s">
        <v>527</v>
      </c>
      <c r="AG27" s="64" t="s">
        <v>527</v>
      </c>
      <c r="AH27" s="64" t="s">
        <v>527</v>
      </c>
      <c r="AI27" s="64" t="s">
        <v>527</v>
      </c>
      <c r="AJ27" s="285">
        <v>0.3</v>
      </c>
      <c r="AK27" s="80"/>
      <c r="AL27" s="304"/>
      <c r="AM27" s="304"/>
      <c r="AN27" s="438"/>
      <c r="AO27" s="438"/>
      <c r="AP27" s="438"/>
      <c r="AQ27" s="438"/>
      <c r="AR27" s="436"/>
      <c r="AS27" s="633"/>
      <c r="AT27" s="436"/>
      <c r="AU27" s="4" t="s">
        <v>177</v>
      </c>
      <c r="AV27" s="4" t="s">
        <v>178</v>
      </c>
      <c r="AW27" s="4">
        <v>1</v>
      </c>
      <c r="AX27" s="79">
        <v>0.2</v>
      </c>
      <c r="AY27" s="202">
        <v>0.25</v>
      </c>
      <c r="AZ27" s="202">
        <v>0.25</v>
      </c>
      <c r="BA27" s="202">
        <v>0.25</v>
      </c>
      <c r="BB27" s="202">
        <v>0.25</v>
      </c>
      <c r="BC27" s="202"/>
      <c r="BD27" s="202"/>
      <c r="BE27" s="202"/>
      <c r="BF27" s="353"/>
      <c r="BG27" s="379">
        <f t="shared" si="0"/>
        <v>0.25</v>
      </c>
      <c r="BH27" s="353"/>
      <c r="BI27" s="353"/>
      <c r="BJ27" s="663">
        <v>48733333</v>
      </c>
      <c r="BK27" s="663">
        <v>47300000</v>
      </c>
      <c r="BL27" s="202"/>
      <c r="BM27" s="202"/>
      <c r="BN27" s="78">
        <v>44927</v>
      </c>
      <c r="BO27" s="78">
        <v>45291</v>
      </c>
      <c r="BP27" s="4">
        <v>365</v>
      </c>
      <c r="BQ27" s="4">
        <v>1028736</v>
      </c>
      <c r="BR27" s="4">
        <v>1028736</v>
      </c>
      <c r="BS27" s="4" t="s">
        <v>91</v>
      </c>
      <c r="BT27" s="4" t="s">
        <v>92</v>
      </c>
      <c r="BU27" s="4" t="s">
        <v>93</v>
      </c>
      <c r="BV27" s="102">
        <v>0</v>
      </c>
      <c r="BW27" s="102">
        <v>0</v>
      </c>
      <c r="BX27" s="225">
        <f t="shared" si="1"/>
        <v>0</v>
      </c>
      <c r="BY27" s="102">
        <v>0</v>
      </c>
      <c r="BZ27" s="102">
        <v>0</v>
      </c>
      <c r="CA27" s="226">
        <f t="shared" si="2"/>
        <v>0</v>
      </c>
      <c r="CB27" s="86">
        <v>0</v>
      </c>
      <c r="CC27" s="226">
        <f t="shared" si="3"/>
        <v>0</v>
      </c>
      <c r="CD27" s="102">
        <v>0</v>
      </c>
      <c r="CE27" s="102">
        <v>0</v>
      </c>
      <c r="CF27" s="102">
        <v>0</v>
      </c>
      <c r="CG27" s="102">
        <f t="shared" si="4"/>
        <v>0</v>
      </c>
      <c r="CH27" s="86">
        <v>0</v>
      </c>
      <c r="CI27" s="86">
        <v>0</v>
      </c>
      <c r="CJ27" s="86">
        <v>0</v>
      </c>
      <c r="CK27" s="86">
        <f t="shared" si="5"/>
        <v>0</v>
      </c>
      <c r="CL27" s="215"/>
      <c r="CM27" s="215"/>
      <c r="CN27" s="215"/>
      <c r="CO27" s="102">
        <f t="shared" si="6"/>
        <v>0</v>
      </c>
      <c r="CP27" s="102">
        <f t="shared" si="6"/>
        <v>0</v>
      </c>
      <c r="CQ27" s="102">
        <f t="shared" si="6"/>
        <v>0</v>
      </c>
      <c r="CR27" s="102">
        <f t="shared" si="6"/>
        <v>0</v>
      </c>
      <c r="CS27" s="226">
        <f t="shared" si="6"/>
        <v>0</v>
      </c>
      <c r="CT27" s="444"/>
      <c r="CU27" s="436"/>
      <c r="CV27" s="436"/>
      <c r="CW27" s="4" t="s">
        <v>96</v>
      </c>
      <c r="CX27" s="4" t="s">
        <v>97</v>
      </c>
      <c r="CY27" s="4" t="s">
        <v>97</v>
      </c>
      <c r="CZ27" s="4" t="s">
        <v>97</v>
      </c>
      <c r="DA27" s="4" t="s">
        <v>97</v>
      </c>
      <c r="DB27" s="4" t="s">
        <v>161</v>
      </c>
      <c r="DC27" s="406"/>
      <c r="DD27" s="406"/>
      <c r="DE27" s="568" t="s">
        <v>533</v>
      </c>
      <c r="DF27" s="568" t="s">
        <v>588</v>
      </c>
      <c r="DG27" s="86">
        <f t="shared" si="8"/>
        <v>0</v>
      </c>
      <c r="DH27" s="80">
        <v>0.5</v>
      </c>
      <c r="DI27" s="64" t="s">
        <v>618</v>
      </c>
      <c r="DJ27" s="80">
        <v>0.5</v>
      </c>
      <c r="DK27" s="64"/>
      <c r="DL27" s="173" t="s">
        <v>219</v>
      </c>
    </row>
    <row r="28" spans="1:116" s="8" customFormat="1" ht="42.75" x14ac:dyDescent="0.25">
      <c r="A28" s="450"/>
      <c r="B28" s="506"/>
      <c r="C28" s="506"/>
      <c r="D28" s="506"/>
      <c r="E28" s="508"/>
      <c r="F28" s="508"/>
      <c r="G28" s="406"/>
      <c r="H28" s="406"/>
      <c r="I28" s="406"/>
      <c r="J28" s="628"/>
      <c r="K28" s="436" t="s">
        <v>179</v>
      </c>
      <c r="L28" s="436" t="s">
        <v>180</v>
      </c>
      <c r="M28" s="438">
        <v>0</v>
      </c>
      <c r="N28" s="436" t="s">
        <v>181</v>
      </c>
      <c r="O28" s="438"/>
      <c r="P28" s="436" t="s">
        <v>80</v>
      </c>
      <c r="Q28" s="438" t="s">
        <v>182</v>
      </c>
      <c r="R28" s="638">
        <v>0.1</v>
      </c>
      <c r="S28" s="638">
        <v>0.1</v>
      </c>
      <c r="T28" s="496">
        <v>0</v>
      </c>
      <c r="U28" s="496">
        <v>0</v>
      </c>
      <c r="V28" s="496">
        <v>0</v>
      </c>
      <c r="W28" s="496">
        <f>SUM(T28:V29)</f>
        <v>0</v>
      </c>
      <c r="X28" s="634">
        <v>0</v>
      </c>
      <c r="Y28" s="634">
        <v>0</v>
      </c>
      <c r="Z28" s="634">
        <v>0</v>
      </c>
      <c r="AA28" s="634">
        <f>SUM(X28:Z29)</f>
        <v>0</v>
      </c>
      <c r="AB28" s="634">
        <v>0</v>
      </c>
      <c r="AC28" s="634">
        <v>0</v>
      </c>
      <c r="AD28" s="634">
        <v>0</v>
      </c>
      <c r="AE28" s="634">
        <f>SUM(AB28:AD29)</f>
        <v>0</v>
      </c>
      <c r="AF28" s="634">
        <v>0</v>
      </c>
      <c r="AG28" s="634">
        <v>0.04</v>
      </c>
      <c r="AH28" s="634">
        <v>0.04</v>
      </c>
      <c r="AI28" s="634">
        <v>0.04</v>
      </c>
      <c r="AJ28" s="635">
        <v>0</v>
      </c>
      <c r="AK28" s="68"/>
      <c r="AL28" s="301"/>
      <c r="AM28" s="301"/>
      <c r="AN28" s="438"/>
      <c r="AO28" s="438"/>
      <c r="AP28" s="438"/>
      <c r="AQ28" s="438"/>
      <c r="AR28" s="436"/>
      <c r="AS28" s="633"/>
      <c r="AT28" s="436"/>
      <c r="AU28" s="4" t="s">
        <v>183</v>
      </c>
      <c r="AV28" s="4" t="s">
        <v>114</v>
      </c>
      <c r="AW28" s="4">
        <v>1</v>
      </c>
      <c r="AX28" s="79">
        <v>0.4</v>
      </c>
      <c r="AY28" s="202">
        <v>0.25</v>
      </c>
      <c r="AZ28" s="202">
        <v>0.25</v>
      </c>
      <c r="BA28" s="202">
        <v>0.25</v>
      </c>
      <c r="BB28" s="202">
        <v>0.25</v>
      </c>
      <c r="BC28" s="202"/>
      <c r="BD28" s="202"/>
      <c r="BE28" s="202"/>
      <c r="BF28" s="353"/>
      <c r="BG28" s="379">
        <f t="shared" si="0"/>
        <v>0.25</v>
      </c>
      <c r="BH28" s="353"/>
      <c r="BI28" s="353"/>
      <c r="BJ28" s="663">
        <v>48733333</v>
      </c>
      <c r="BK28" s="663">
        <v>47300000</v>
      </c>
      <c r="BL28" s="202"/>
      <c r="BM28" s="202"/>
      <c r="BN28" s="78">
        <v>44927</v>
      </c>
      <c r="BO28" s="78">
        <v>45291</v>
      </c>
      <c r="BP28" s="4">
        <v>365</v>
      </c>
      <c r="BQ28" s="81">
        <v>1028736</v>
      </c>
      <c r="BR28" s="81">
        <v>1028736</v>
      </c>
      <c r="BS28" s="4" t="s">
        <v>91</v>
      </c>
      <c r="BT28" s="4" t="s">
        <v>92</v>
      </c>
      <c r="BU28" s="4" t="s">
        <v>184</v>
      </c>
      <c r="BV28" s="103">
        <v>53003500</v>
      </c>
      <c r="BW28" s="103">
        <v>0</v>
      </c>
      <c r="BX28" s="225">
        <f t="shared" si="1"/>
        <v>53003500</v>
      </c>
      <c r="BY28" s="102">
        <v>0</v>
      </c>
      <c r="BZ28" s="153">
        <v>-4270167</v>
      </c>
      <c r="CA28" s="233">
        <f t="shared" si="2"/>
        <v>48733333</v>
      </c>
      <c r="CB28" s="86">
        <v>0</v>
      </c>
      <c r="CC28" s="226">
        <f t="shared" si="3"/>
        <v>48733333</v>
      </c>
      <c r="CD28" s="102">
        <v>0</v>
      </c>
      <c r="CE28" s="102">
        <v>0</v>
      </c>
      <c r="CF28" s="102">
        <v>4300000</v>
      </c>
      <c r="CG28" s="102">
        <f t="shared" si="4"/>
        <v>4300000</v>
      </c>
      <c r="CH28" s="86">
        <v>4300000</v>
      </c>
      <c r="CI28" s="86">
        <v>4300000</v>
      </c>
      <c r="CJ28" s="86">
        <v>4300000</v>
      </c>
      <c r="CK28" s="86">
        <f t="shared" si="5"/>
        <v>12900000</v>
      </c>
      <c r="CL28" s="215"/>
      <c r="CM28" s="215"/>
      <c r="CN28" s="215"/>
      <c r="CO28" s="102">
        <f t="shared" si="6"/>
        <v>0</v>
      </c>
      <c r="CP28" s="102">
        <v>4300000</v>
      </c>
      <c r="CQ28" s="102">
        <v>4300000</v>
      </c>
      <c r="CR28" s="152">
        <v>8600000</v>
      </c>
      <c r="CS28" s="226">
        <f t="shared" si="6"/>
        <v>17200000</v>
      </c>
      <c r="CT28" s="444"/>
      <c r="CU28" s="436"/>
      <c r="CV28" s="436"/>
      <c r="CW28" s="4" t="s">
        <v>108</v>
      </c>
      <c r="CX28" s="4" t="s">
        <v>185</v>
      </c>
      <c r="CY28" s="4" t="s">
        <v>147</v>
      </c>
      <c r="CZ28" s="4" t="s">
        <v>111</v>
      </c>
      <c r="DA28" s="6">
        <v>44927</v>
      </c>
      <c r="DB28" s="4" t="s">
        <v>143</v>
      </c>
      <c r="DC28" s="406"/>
      <c r="DD28" s="406"/>
      <c r="DE28" s="568"/>
      <c r="DF28" s="568"/>
      <c r="DG28" s="86">
        <f t="shared" si="8"/>
        <v>17200000</v>
      </c>
      <c r="DH28" s="80">
        <v>0.5</v>
      </c>
      <c r="DI28" s="64" t="s">
        <v>617</v>
      </c>
      <c r="DJ28" s="80">
        <v>0.5</v>
      </c>
      <c r="DK28" s="64"/>
      <c r="DL28" s="64" t="s">
        <v>762</v>
      </c>
    </row>
    <row r="29" spans="1:116" s="8" customFormat="1" ht="384.75" x14ac:dyDescent="0.25">
      <c r="A29" s="450"/>
      <c r="B29" s="506"/>
      <c r="C29" s="506"/>
      <c r="D29" s="506"/>
      <c r="E29" s="508"/>
      <c r="F29" s="508"/>
      <c r="G29" s="406"/>
      <c r="H29" s="406"/>
      <c r="I29" s="406"/>
      <c r="J29" s="629"/>
      <c r="K29" s="436"/>
      <c r="L29" s="436"/>
      <c r="M29" s="438"/>
      <c r="N29" s="436"/>
      <c r="O29" s="438"/>
      <c r="P29" s="436"/>
      <c r="Q29" s="438"/>
      <c r="R29" s="635"/>
      <c r="S29" s="635"/>
      <c r="T29" s="497"/>
      <c r="U29" s="497"/>
      <c r="V29" s="497"/>
      <c r="W29" s="497"/>
      <c r="X29" s="500"/>
      <c r="Y29" s="500"/>
      <c r="Z29" s="500"/>
      <c r="AA29" s="500"/>
      <c r="AB29" s="500"/>
      <c r="AC29" s="500"/>
      <c r="AD29" s="500"/>
      <c r="AE29" s="500"/>
      <c r="AF29" s="500"/>
      <c r="AG29" s="500"/>
      <c r="AH29" s="500"/>
      <c r="AI29" s="500"/>
      <c r="AJ29" s="635"/>
      <c r="AK29" s="315"/>
      <c r="AL29" s="301">
        <v>0.39999999999999997</v>
      </c>
      <c r="AM29" s="301">
        <v>0.39999999999999997</v>
      </c>
      <c r="AN29" s="438"/>
      <c r="AO29" s="438"/>
      <c r="AP29" s="438"/>
      <c r="AQ29" s="438"/>
      <c r="AR29" s="436"/>
      <c r="AS29" s="633"/>
      <c r="AT29" s="436"/>
      <c r="AU29" s="4" t="s">
        <v>186</v>
      </c>
      <c r="AV29" s="4" t="s">
        <v>187</v>
      </c>
      <c r="AW29" s="4">
        <v>1</v>
      </c>
      <c r="AX29" s="79">
        <v>0.3</v>
      </c>
      <c r="AY29" s="202">
        <v>0</v>
      </c>
      <c r="AZ29" s="202">
        <v>0</v>
      </c>
      <c r="BA29" s="202">
        <v>0</v>
      </c>
      <c r="BB29" s="202">
        <v>1</v>
      </c>
      <c r="BC29" s="202"/>
      <c r="BD29" s="202"/>
      <c r="BE29" s="202"/>
      <c r="BF29" s="354"/>
      <c r="BG29" s="379">
        <f t="shared" si="0"/>
        <v>1</v>
      </c>
      <c r="BH29" s="354"/>
      <c r="BI29" s="354"/>
      <c r="BJ29" s="664">
        <v>48733333</v>
      </c>
      <c r="BK29" s="664">
        <v>47300000</v>
      </c>
      <c r="BL29" s="79">
        <f>BK26/BJ26</f>
        <v>0.97058824193288806</v>
      </c>
      <c r="BM29" s="202"/>
      <c r="BN29" s="78">
        <v>44927</v>
      </c>
      <c r="BO29" s="78">
        <v>45291</v>
      </c>
      <c r="BP29" s="4">
        <v>365</v>
      </c>
      <c r="BQ29" s="81">
        <v>20</v>
      </c>
      <c r="BR29" s="81">
        <v>20</v>
      </c>
      <c r="BS29" s="4" t="s">
        <v>91</v>
      </c>
      <c r="BT29" s="4" t="s">
        <v>92</v>
      </c>
      <c r="BU29" s="4" t="s">
        <v>184</v>
      </c>
      <c r="BV29" s="103">
        <v>289813258</v>
      </c>
      <c r="BW29" s="103">
        <v>0</v>
      </c>
      <c r="BX29" s="225">
        <f t="shared" si="1"/>
        <v>289813258</v>
      </c>
      <c r="BY29" s="102">
        <v>0</v>
      </c>
      <c r="BZ29" s="154">
        <v>-289813258</v>
      </c>
      <c r="CA29" s="233">
        <f t="shared" si="2"/>
        <v>0</v>
      </c>
      <c r="CB29" s="86">
        <v>0</v>
      </c>
      <c r="CC29" s="226">
        <f t="shared" si="3"/>
        <v>0</v>
      </c>
      <c r="CD29" s="102">
        <v>0</v>
      </c>
      <c r="CE29" s="102">
        <v>0</v>
      </c>
      <c r="CF29" s="102">
        <v>0</v>
      </c>
      <c r="CG29" s="102">
        <f t="shared" si="4"/>
        <v>0</v>
      </c>
      <c r="CH29" s="86">
        <v>0</v>
      </c>
      <c r="CI29" s="86">
        <v>0</v>
      </c>
      <c r="CJ29" s="86">
        <v>0</v>
      </c>
      <c r="CK29" s="86">
        <f t="shared" si="5"/>
        <v>0</v>
      </c>
      <c r="CL29" s="215"/>
      <c r="CM29" s="215"/>
      <c r="CN29" s="215"/>
      <c r="CO29" s="102">
        <f t="shared" si="6"/>
        <v>0</v>
      </c>
      <c r="CP29" s="102">
        <f t="shared" si="6"/>
        <v>0</v>
      </c>
      <c r="CQ29" s="102">
        <f t="shared" si="6"/>
        <v>0</v>
      </c>
      <c r="CR29" s="102">
        <f t="shared" si="6"/>
        <v>0</v>
      </c>
      <c r="CS29" s="226">
        <f t="shared" si="6"/>
        <v>0</v>
      </c>
      <c r="CT29" s="444"/>
      <c r="CU29" s="405"/>
      <c r="CV29" s="405"/>
      <c r="CW29" s="5" t="s">
        <v>108</v>
      </c>
      <c r="CX29" s="4" t="s">
        <v>186</v>
      </c>
      <c r="CY29" s="4" t="s">
        <v>147</v>
      </c>
      <c r="CZ29" s="6" t="s">
        <v>111</v>
      </c>
      <c r="DA29" s="6">
        <v>44958</v>
      </c>
      <c r="DB29" s="4" t="s">
        <v>188</v>
      </c>
      <c r="DC29" s="407"/>
      <c r="DD29" s="407"/>
      <c r="DE29" s="173" t="s">
        <v>532</v>
      </c>
      <c r="DF29" s="173" t="s">
        <v>589</v>
      </c>
      <c r="DG29" s="86">
        <f t="shared" si="8"/>
        <v>0</v>
      </c>
      <c r="DH29" s="80">
        <v>0</v>
      </c>
      <c r="DI29" s="236" t="s">
        <v>616</v>
      </c>
      <c r="DJ29" s="80">
        <v>0</v>
      </c>
      <c r="DK29" s="64"/>
      <c r="DL29" s="173" t="s">
        <v>763</v>
      </c>
    </row>
    <row r="30" spans="1:116" s="8" customFormat="1" ht="93" customHeight="1" x14ac:dyDescent="0.25">
      <c r="A30" s="450"/>
      <c r="B30" s="506"/>
      <c r="C30" s="506"/>
      <c r="D30" s="506"/>
      <c r="E30" s="508"/>
      <c r="F30" s="508"/>
      <c r="G30" s="406"/>
      <c r="H30" s="406"/>
      <c r="I30" s="406"/>
      <c r="J30" s="761" t="s">
        <v>793</v>
      </c>
      <c r="K30" s="760"/>
      <c r="L30" s="760"/>
      <c r="M30" s="760"/>
      <c r="N30" s="760"/>
      <c r="O30" s="760"/>
      <c r="P30" s="760"/>
      <c r="Q30" s="760"/>
      <c r="R30" s="760"/>
      <c r="S30" s="760"/>
      <c r="T30" s="760"/>
      <c r="U30" s="760"/>
      <c r="V30" s="760"/>
      <c r="W30" s="760"/>
      <c r="X30" s="760"/>
      <c r="Y30" s="760"/>
      <c r="Z30" s="760"/>
      <c r="AA30" s="760"/>
      <c r="AB30" s="762"/>
      <c r="AC30" s="69"/>
      <c r="AD30" s="69"/>
      <c r="AE30" s="69"/>
      <c r="AF30" s="69"/>
      <c r="AG30" s="69"/>
      <c r="AH30" s="69"/>
      <c r="AI30" s="69"/>
      <c r="AJ30" s="283"/>
      <c r="AK30" s="315"/>
      <c r="AL30" s="397">
        <v>0.4</v>
      </c>
      <c r="AM30" s="397">
        <v>0.39999999999999997</v>
      </c>
      <c r="AN30" s="64"/>
      <c r="AO30" s="64"/>
      <c r="AP30" s="64"/>
      <c r="AQ30" s="64"/>
      <c r="AR30" s="4"/>
      <c r="AS30" s="340"/>
      <c r="AT30" s="4"/>
      <c r="AU30" s="4"/>
      <c r="AV30" s="4"/>
      <c r="AW30" s="4"/>
      <c r="AX30" s="79"/>
      <c r="AY30" s="202"/>
      <c r="AZ30" s="202"/>
      <c r="BA30" s="693" t="s">
        <v>788</v>
      </c>
      <c r="BB30" s="694"/>
      <c r="BC30" s="694"/>
      <c r="BD30" s="694"/>
      <c r="BE30" s="694"/>
      <c r="BF30" s="695"/>
      <c r="BG30" s="383">
        <f>SUM(BG26:BG29)/4</f>
        <v>0.375</v>
      </c>
      <c r="BH30" s="603" t="s">
        <v>789</v>
      </c>
      <c r="BI30" s="604"/>
      <c r="BJ30" s="388">
        <f>BJ26</f>
        <v>48733333</v>
      </c>
      <c r="BK30" s="388">
        <f>BK26</f>
        <v>47300000</v>
      </c>
      <c r="BL30" s="389">
        <f>BK30/BJ30</f>
        <v>0.97058824193288806</v>
      </c>
      <c r="BM30" s="202"/>
      <c r="BN30" s="78"/>
      <c r="BO30" s="78"/>
      <c r="BP30" s="4"/>
      <c r="BQ30" s="81"/>
      <c r="BR30" s="81"/>
      <c r="BS30" s="4"/>
      <c r="BT30" s="4"/>
      <c r="BU30" s="4"/>
      <c r="BV30" s="103"/>
      <c r="BW30" s="103"/>
      <c r="BX30" s="225"/>
      <c r="BY30" s="102"/>
      <c r="BZ30" s="154"/>
      <c r="CA30" s="233"/>
      <c r="CB30" s="86"/>
      <c r="CC30" s="226"/>
      <c r="CD30" s="102"/>
      <c r="CE30" s="102"/>
      <c r="CF30" s="102"/>
      <c r="CG30" s="102"/>
      <c r="CH30" s="86"/>
      <c r="CI30" s="86"/>
      <c r="CJ30" s="86"/>
      <c r="CK30" s="86"/>
      <c r="CL30" s="215"/>
      <c r="CM30" s="215"/>
      <c r="CN30" s="215"/>
      <c r="CO30" s="102"/>
      <c r="CP30" s="102"/>
      <c r="CQ30" s="102"/>
      <c r="CR30" s="102"/>
      <c r="CS30" s="226"/>
      <c r="CT30" s="324"/>
      <c r="CU30" s="5"/>
      <c r="CV30" s="5"/>
      <c r="CW30" s="5"/>
      <c r="CX30" s="20"/>
      <c r="CY30" s="4"/>
      <c r="CZ30" s="6"/>
      <c r="DA30" s="6"/>
      <c r="DB30" s="1"/>
      <c r="DC30" s="314"/>
      <c r="DD30" s="314"/>
      <c r="DE30" s="173"/>
      <c r="DF30" s="173"/>
      <c r="DG30" s="86"/>
      <c r="DH30" s="80"/>
      <c r="DI30" s="236"/>
      <c r="DJ30" s="80"/>
      <c r="DK30" s="64"/>
      <c r="DL30" s="173"/>
    </row>
    <row r="31" spans="1:116" ht="128.25" x14ac:dyDescent="0.25">
      <c r="A31" s="450"/>
      <c r="B31" s="506"/>
      <c r="C31" s="506"/>
      <c r="D31" s="506"/>
      <c r="E31" s="508"/>
      <c r="F31" s="508"/>
      <c r="G31" s="406"/>
      <c r="H31" s="406"/>
      <c r="I31" s="406"/>
      <c r="J31" s="627" t="s">
        <v>189</v>
      </c>
      <c r="K31" s="4" t="s">
        <v>190</v>
      </c>
      <c r="L31" s="4" t="s">
        <v>191</v>
      </c>
      <c r="M31" s="64">
        <v>0</v>
      </c>
      <c r="N31" s="4" t="s">
        <v>192</v>
      </c>
      <c r="O31" s="4"/>
      <c r="P31" s="4" t="s">
        <v>80</v>
      </c>
      <c r="Q31" s="436" t="s">
        <v>193</v>
      </c>
      <c r="R31" s="286">
        <v>5000</v>
      </c>
      <c r="S31" s="149">
        <f>R31-AJ31</f>
        <v>4431</v>
      </c>
      <c r="T31" s="105">
        <v>0</v>
      </c>
      <c r="U31" s="105">
        <v>0</v>
      </c>
      <c r="V31" s="105">
        <v>0</v>
      </c>
      <c r="W31" s="105">
        <f>SUM(T31:V31)</f>
        <v>0</v>
      </c>
      <c r="X31" s="105">
        <v>0</v>
      </c>
      <c r="Y31" s="105">
        <v>0</v>
      </c>
      <c r="Z31" s="105">
        <v>0</v>
      </c>
      <c r="AA31" s="105">
        <f>SUM(X31:Z31)</f>
        <v>0</v>
      </c>
      <c r="AB31" s="105">
        <v>0</v>
      </c>
      <c r="AC31" s="105">
        <v>0</v>
      </c>
      <c r="AD31" s="105">
        <v>1377</v>
      </c>
      <c r="AE31" s="105">
        <f>SUM(AB31:AD31)</f>
        <v>1377</v>
      </c>
      <c r="AF31" s="105">
        <v>924</v>
      </c>
      <c r="AG31" s="105">
        <v>0</v>
      </c>
      <c r="AH31" s="105">
        <v>840</v>
      </c>
      <c r="AI31" s="105">
        <f>SUM(AF31:AH31)</f>
        <v>1764</v>
      </c>
      <c r="AJ31" s="297">
        <v>569</v>
      </c>
      <c r="AK31" s="70">
        <v>1764</v>
      </c>
      <c r="AL31" s="303">
        <f>AK31/S31</f>
        <v>0.3981042654028436</v>
      </c>
      <c r="AM31" s="303">
        <f>(AJ31+AK31)/R31</f>
        <v>0.46660000000000001</v>
      </c>
      <c r="AN31" s="495" t="s">
        <v>82</v>
      </c>
      <c r="AO31" s="495" t="s">
        <v>194</v>
      </c>
      <c r="AP31" s="495" t="s">
        <v>84</v>
      </c>
      <c r="AQ31" s="495" t="s">
        <v>195</v>
      </c>
      <c r="AR31" s="436" t="s">
        <v>196</v>
      </c>
      <c r="AS31" s="565" t="s">
        <v>197</v>
      </c>
      <c r="AT31" s="436" t="s">
        <v>198</v>
      </c>
      <c r="AU31" s="64" t="s">
        <v>221</v>
      </c>
      <c r="AV31" s="4" t="s">
        <v>222</v>
      </c>
      <c r="AW31" s="11">
        <v>1</v>
      </c>
      <c r="AX31" s="106">
        <v>0.1</v>
      </c>
      <c r="AY31" s="203">
        <v>0.25</v>
      </c>
      <c r="AZ31" s="203">
        <v>0.25</v>
      </c>
      <c r="BA31" s="203">
        <v>0.25</v>
      </c>
      <c r="BB31" s="203">
        <v>0.25</v>
      </c>
      <c r="BC31" s="203"/>
      <c r="BD31" s="203"/>
      <c r="BE31" s="636"/>
      <c r="BF31" s="345"/>
      <c r="BG31" s="379">
        <f t="shared" si="0"/>
        <v>0.25</v>
      </c>
      <c r="BH31" s="345"/>
      <c r="BI31" s="345"/>
      <c r="BJ31" s="818">
        <v>3403301770</v>
      </c>
      <c r="BK31" s="818">
        <v>2786062605</v>
      </c>
      <c r="BL31" s="308">
        <f>BK31/BJ31</f>
        <v>0.81863519408095275</v>
      </c>
      <c r="BM31" s="203"/>
      <c r="BN31" s="108">
        <v>44927</v>
      </c>
      <c r="BO31" s="108">
        <v>45291</v>
      </c>
      <c r="BP31" s="11">
        <v>365</v>
      </c>
      <c r="BQ31" s="81">
        <v>1028736</v>
      </c>
      <c r="BR31" s="81">
        <v>1028736</v>
      </c>
      <c r="BS31" s="11" t="s">
        <v>91</v>
      </c>
      <c r="BT31" s="11" t="s">
        <v>92</v>
      </c>
      <c r="BU31" s="11" t="s">
        <v>184</v>
      </c>
      <c r="BV31" s="110">
        <v>1296932000</v>
      </c>
      <c r="BW31" s="155">
        <v>-1281932000</v>
      </c>
      <c r="BX31" s="225">
        <f t="shared" ref="BX31" si="9">BV31+BW31</f>
        <v>15000000</v>
      </c>
      <c r="BY31" s="102">
        <v>0</v>
      </c>
      <c r="BZ31" s="102">
        <v>0</v>
      </c>
      <c r="CA31" s="226">
        <f t="shared" ref="CA31" si="10">BV31+BW31+BY31+BZ31</f>
        <v>15000000</v>
      </c>
      <c r="CB31" s="86">
        <v>0</v>
      </c>
      <c r="CC31" s="226">
        <f>BV31+BW31+BY31+BZ31+CB31</f>
        <v>15000000</v>
      </c>
      <c r="CD31" s="102">
        <v>0</v>
      </c>
      <c r="CE31" s="102">
        <v>0</v>
      </c>
      <c r="CF31" s="102">
        <v>0</v>
      </c>
      <c r="CG31" s="102">
        <f t="shared" ref="CG31" si="11">SUM(CD31:CF31)</f>
        <v>0</v>
      </c>
      <c r="CH31" s="86">
        <v>0</v>
      </c>
      <c r="CI31" s="86">
        <v>0</v>
      </c>
      <c r="CJ31" s="86">
        <v>0</v>
      </c>
      <c r="CK31" s="86">
        <f t="shared" ref="CK31" si="12">SUM(CH31:CJ31)</f>
        <v>0</v>
      </c>
      <c r="CL31" s="215">
        <v>0</v>
      </c>
      <c r="CM31" s="215">
        <v>0</v>
      </c>
      <c r="CN31" s="215">
        <v>0</v>
      </c>
      <c r="CO31" s="102">
        <f t="shared" ref="CO31" si="13">SUM(CL31:CN31)</f>
        <v>0</v>
      </c>
      <c r="CP31" s="86">
        <v>0</v>
      </c>
      <c r="CQ31" s="86">
        <v>0</v>
      </c>
      <c r="CR31" s="86">
        <v>0</v>
      </c>
      <c r="CS31" s="226">
        <v>0</v>
      </c>
      <c r="CT31" s="581" t="s">
        <v>562</v>
      </c>
      <c r="CU31" s="438" t="s">
        <v>196</v>
      </c>
      <c r="CV31" s="492" t="s">
        <v>202</v>
      </c>
      <c r="CW31" s="251" t="s">
        <v>97</v>
      </c>
      <c r="CX31" s="252" t="s">
        <v>97</v>
      </c>
      <c r="CY31" s="251" t="s">
        <v>97</v>
      </c>
      <c r="CZ31" s="251" t="s">
        <v>97</v>
      </c>
      <c r="DA31" s="248" t="s">
        <v>97</v>
      </c>
      <c r="DB31" s="253" t="s">
        <v>203</v>
      </c>
      <c r="DC31" s="438" t="s">
        <v>99</v>
      </c>
      <c r="DD31" s="438" t="s">
        <v>100</v>
      </c>
      <c r="DE31" s="173"/>
      <c r="DF31" s="173" t="s">
        <v>590</v>
      </c>
      <c r="DG31" s="86">
        <f t="shared" si="8"/>
        <v>0</v>
      </c>
      <c r="DH31" s="64">
        <v>1</v>
      </c>
      <c r="DI31" s="64" t="s">
        <v>615</v>
      </c>
      <c r="DJ31" s="64">
        <v>1</v>
      </c>
      <c r="DK31" s="64"/>
      <c r="DL31" s="117" t="s">
        <v>721</v>
      </c>
    </row>
    <row r="32" spans="1:116" ht="409.5" x14ac:dyDescent="0.2">
      <c r="A32" s="450"/>
      <c r="B32" s="506"/>
      <c r="C32" s="506"/>
      <c r="D32" s="506"/>
      <c r="E32" s="508"/>
      <c r="F32" s="508"/>
      <c r="G32" s="406"/>
      <c r="H32" s="406"/>
      <c r="I32" s="406"/>
      <c r="J32" s="628"/>
      <c r="K32" s="436" t="s">
        <v>204</v>
      </c>
      <c r="L32" s="436" t="s">
        <v>76</v>
      </c>
      <c r="M32" s="438">
        <v>0</v>
      </c>
      <c r="N32" s="436" t="s">
        <v>205</v>
      </c>
      <c r="O32" s="438"/>
      <c r="P32" s="438" t="s">
        <v>80</v>
      </c>
      <c r="Q32" s="436"/>
      <c r="R32" s="464">
        <v>1</v>
      </c>
      <c r="S32" s="464" t="s">
        <v>120</v>
      </c>
      <c r="T32" s="438" t="s">
        <v>527</v>
      </c>
      <c r="U32" s="438" t="s">
        <v>527</v>
      </c>
      <c r="V32" s="438" t="s">
        <v>527</v>
      </c>
      <c r="W32" s="438" t="s">
        <v>527</v>
      </c>
      <c r="X32" s="478" t="s">
        <v>527</v>
      </c>
      <c r="Y32" s="438" t="s">
        <v>527</v>
      </c>
      <c r="Z32" s="438" t="s">
        <v>527</v>
      </c>
      <c r="AA32" s="438" t="s">
        <v>527</v>
      </c>
      <c r="AB32" s="478" t="s">
        <v>527</v>
      </c>
      <c r="AC32" s="438" t="s">
        <v>527</v>
      </c>
      <c r="AD32" s="438" t="s">
        <v>527</v>
      </c>
      <c r="AE32" s="438" t="s">
        <v>527</v>
      </c>
      <c r="AF32" s="478" t="s">
        <v>527</v>
      </c>
      <c r="AG32" s="438" t="s">
        <v>527</v>
      </c>
      <c r="AH32" s="438" t="s">
        <v>527</v>
      </c>
      <c r="AI32" s="438" t="s">
        <v>527</v>
      </c>
      <c r="AJ32" s="464">
        <v>1</v>
      </c>
      <c r="AK32" s="64"/>
      <c r="AL32" s="304"/>
      <c r="AM32" s="304"/>
      <c r="AN32" s="495"/>
      <c r="AO32" s="495"/>
      <c r="AP32" s="495"/>
      <c r="AQ32" s="495"/>
      <c r="AR32" s="438"/>
      <c r="AS32" s="464"/>
      <c r="AT32" s="438"/>
      <c r="AU32" s="64" t="s">
        <v>206</v>
      </c>
      <c r="AV32" s="4" t="s">
        <v>200</v>
      </c>
      <c r="AW32" s="11">
        <v>1</v>
      </c>
      <c r="AX32" s="106">
        <v>0.05</v>
      </c>
      <c r="AY32" s="203">
        <v>0.25</v>
      </c>
      <c r="AZ32" s="203">
        <v>0.25</v>
      </c>
      <c r="BA32" s="203">
        <v>0.25</v>
      </c>
      <c r="BB32" s="203">
        <v>0.25</v>
      </c>
      <c r="BC32" s="203"/>
      <c r="BD32" s="203"/>
      <c r="BE32" s="637"/>
      <c r="BF32" s="346"/>
      <c r="BG32" s="379">
        <f t="shared" si="0"/>
        <v>0.25</v>
      </c>
      <c r="BH32" s="346"/>
      <c r="BI32" s="346"/>
      <c r="BJ32" s="819"/>
      <c r="BK32" s="819"/>
      <c r="BL32" s="203"/>
      <c r="BM32" s="203"/>
      <c r="BN32" s="107" t="s">
        <v>201</v>
      </c>
      <c r="BO32" s="108">
        <v>45291</v>
      </c>
      <c r="BP32" s="11">
        <v>365</v>
      </c>
      <c r="BQ32" s="81">
        <v>1028736</v>
      </c>
      <c r="BR32" s="81">
        <v>1028736</v>
      </c>
      <c r="BS32" s="11" t="s">
        <v>91</v>
      </c>
      <c r="BT32" s="11" t="s">
        <v>92</v>
      </c>
      <c r="BU32" s="11" t="s">
        <v>184</v>
      </c>
      <c r="BV32" s="109">
        <v>0</v>
      </c>
      <c r="BW32" s="109">
        <v>0</v>
      </c>
      <c r="BX32" s="225">
        <f t="shared" si="1"/>
        <v>0</v>
      </c>
      <c r="BY32" s="102">
        <v>0</v>
      </c>
      <c r="BZ32" s="102">
        <v>0</v>
      </c>
      <c r="CA32" s="226">
        <f t="shared" si="2"/>
        <v>0</v>
      </c>
      <c r="CB32" s="86">
        <v>0</v>
      </c>
      <c r="CC32" s="226">
        <f t="shared" si="3"/>
        <v>0</v>
      </c>
      <c r="CD32" s="102">
        <v>0</v>
      </c>
      <c r="CE32" s="102">
        <v>0</v>
      </c>
      <c r="CF32" s="102">
        <v>0</v>
      </c>
      <c r="CG32" s="102">
        <f t="shared" si="4"/>
        <v>0</v>
      </c>
      <c r="CH32" s="86">
        <v>0</v>
      </c>
      <c r="CI32" s="86">
        <v>0</v>
      </c>
      <c r="CJ32" s="86">
        <v>0</v>
      </c>
      <c r="CK32" s="86">
        <f t="shared" si="5"/>
        <v>0</v>
      </c>
      <c r="CL32" s="215">
        <v>0</v>
      </c>
      <c r="CM32" s="215">
        <v>0</v>
      </c>
      <c r="CN32" s="215">
        <v>0</v>
      </c>
      <c r="CO32" s="102">
        <f t="shared" si="6"/>
        <v>0</v>
      </c>
      <c r="CP32" s="86">
        <v>0</v>
      </c>
      <c r="CQ32" s="86">
        <v>0</v>
      </c>
      <c r="CR32" s="86">
        <v>0</v>
      </c>
      <c r="CS32" s="226">
        <f t="shared" si="7"/>
        <v>0</v>
      </c>
      <c r="CT32" s="632"/>
      <c r="CU32" s="438"/>
      <c r="CV32" s="492"/>
      <c r="CW32" s="251" t="s">
        <v>97</v>
      </c>
      <c r="CX32" s="252" t="s">
        <v>97</v>
      </c>
      <c r="CY32" s="251" t="s">
        <v>97</v>
      </c>
      <c r="CZ32" s="251" t="s">
        <v>97</v>
      </c>
      <c r="DA32" s="248" t="s">
        <v>97</v>
      </c>
      <c r="DB32" s="253" t="s">
        <v>207</v>
      </c>
      <c r="DC32" s="438"/>
      <c r="DD32" s="438"/>
      <c r="DE32" s="173" t="s">
        <v>542</v>
      </c>
      <c r="DF32" s="173" t="s">
        <v>591</v>
      </c>
      <c r="DG32" s="86">
        <f t="shared" si="8"/>
        <v>0</v>
      </c>
      <c r="DH32" s="64"/>
      <c r="DI32" s="64" t="s">
        <v>662</v>
      </c>
      <c r="DJ32" s="64"/>
      <c r="DK32" s="64"/>
      <c r="DL32" s="250" t="s">
        <v>717</v>
      </c>
    </row>
    <row r="33" spans="1:116" ht="42.75" x14ac:dyDescent="0.25">
      <c r="A33" s="450"/>
      <c r="B33" s="506"/>
      <c r="C33" s="506"/>
      <c r="D33" s="506"/>
      <c r="E33" s="508"/>
      <c r="F33" s="508"/>
      <c r="G33" s="406"/>
      <c r="H33" s="406"/>
      <c r="I33" s="406"/>
      <c r="J33" s="628"/>
      <c r="K33" s="436"/>
      <c r="L33" s="436"/>
      <c r="M33" s="438"/>
      <c r="N33" s="436"/>
      <c r="O33" s="438"/>
      <c r="P33" s="438"/>
      <c r="Q33" s="436"/>
      <c r="R33" s="464"/>
      <c r="S33" s="464"/>
      <c r="T33" s="438"/>
      <c r="U33" s="438"/>
      <c r="V33" s="438"/>
      <c r="W33" s="438"/>
      <c r="X33" s="479"/>
      <c r="Y33" s="438"/>
      <c r="Z33" s="438"/>
      <c r="AA33" s="438"/>
      <c r="AB33" s="479"/>
      <c r="AC33" s="438"/>
      <c r="AD33" s="438"/>
      <c r="AE33" s="438"/>
      <c r="AF33" s="479"/>
      <c r="AG33" s="438"/>
      <c r="AH33" s="438"/>
      <c r="AI33" s="438"/>
      <c r="AJ33" s="464"/>
      <c r="AK33" s="64"/>
      <c r="AL33" s="304"/>
      <c r="AM33" s="304"/>
      <c r="AN33" s="495"/>
      <c r="AO33" s="495"/>
      <c r="AP33" s="495"/>
      <c r="AQ33" s="495"/>
      <c r="AR33" s="438"/>
      <c r="AS33" s="464"/>
      <c r="AT33" s="438"/>
      <c r="AU33" s="64" t="s">
        <v>208</v>
      </c>
      <c r="AV33" s="4" t="s">
        <v>200</v>
      </c>
      <c r="AW33" s="11">
        <v>50</v>
      </c>
      <c r="AX33" s="106">
        <v>0.05</v>
      </c>
      <c r="AY33" s="203">
        <v>0.25</v>
      </c>
      <c r="AZ33" s="203">
        <v>0.25</v>
      </c>
      <c r="BA33" s="203">
        <v>0.25</v>
      </c>
      <c r="BB33" s="203">
        <v>0.25</v>
      </c>
      <c r="BC33" s="203"/>
      <c r="BD33" s="203"/>
      <c r="BE33" s="203"/>
      <c r="BF33" s="203"/>
      <c r="BG33" s="379">
        <f t="shared" si="0"/>
        <v>5.0000000000000001E-3</v>
      </c>
      <c r="BH33" s="203"/>
      <c r="BI33" s="203"/>
      <c r="BJ33" s="819"/>
      <c r="BK33" s="819"/>
      <c r="BL33" s="203"/>
      <c r="BM33" s="203"/>
      <c r="BN33" s="107" t="s">
        <v>201</v>
      </c>
      <c r="BO33" s="108">
        <v>45291</v>
      </c>
      <c r="BP33" s="11">
        <v>365</v>
      </c>
      <c r="BQ33" s="81">
        <v>1028736</v>
      </c>
      <c r="BR33" s="81">
        <v>1028736</v>
      </c>
      <c r="BS33" s="11" t="s">
        <v>91</v>
      </c>
      <c r="BT33" s="11" t="s">
        <v>92</v>
      </c>
      <c r="BU33" s="11" t="s">
        <v>184</v>
      </c>
      <c r="BV33" s="109">
        <v>0</v>
      </c>
      <c r="BW33" s="109">
        <v>0</v>
      </c>
      <c r="BX33" s="225">
        <f t="shared" si="1"/>
        <v>0</v>
      </c>
      <c r="BY33" s="102">
        <v>0</v>
      </c>
      <c r="BZ33" s="102">
        <v>0</v>
      </c>
      <c r="CA33" s="226">
        <f t="shared" si="2"/>
        <v>0</v>
      </c>
      <c r="CB33" s="86">
        <v>0</v>
      </c>
      <c r="CC33" s="226">
        <f t="shared" si="3"/>
        <v>0</v>
      </c>
      <c r="CD33" s="102">
        <v>0</v>
      </c>
      <c r="CE33" s="102">
        <v>0</v>
      </c>
      <c r="CF33" s="102">
        <v>0</v>
      </c>
      <c r="CG33" s="102">
        <f t="shared" si="4"/>
        <v>0</v>
      </c>
      <c r="CH33" s="86">
        <v>0</v>
      </c>
      <c r="CI33" s="86">
        <v>0</v>
      </c>
      <c r="CJ33" s="86">
        <v>0</v>
      </c>
      <c r="CK33" s="86">
        <f t="shared" si="5"/>
        <v>0</v>
      </c>
      <c r="CL33" s="215">
        <v>0</v>
      </c>
      <c r="CM33" s="215">
        <v>0</v>
      </c>
      <c r="CN33" s="215">
        <v>0</v>
      </c>
      <c r="CO33" s="102">
        <f t="shared" si="6"/>
        <v>0</v>
      </c>
      <c r="CP33" s="86">
        <v>0</v>
      </c>
      <c r="CQ33" s="86">
        <v>0</v>
      </c>
      <c r="CR33" s="86">
        <v>0</v>
      </c>
      <c r="CS33" s="226">
        <f t="shared" si="7"/>
        <v>0</v>
      </c>
      <c r="CT33" s="632"/>
      <c r="CU33" s="438"/>
      <c r="CV33" s="492"/>
      <c r="CW33" s="251" t="s">
        <v>97</v>
      </c>
      <c r="CX33" s="252" t="s">
        <v>97</v>
      </c>
      <c r="CY33" s="251" t="s">
        <v>97</v>
      </c>
      <c r="CZ33" s="251" t="s">
        <v>97</v>
      </c>
      <c r="DA33" s="248" t="s">
        <v>97</v>
      </c>
      <c r="DB33" s="254" t="s">
        <v>209</v>
      </c>
      <c r="DC33" s="438"/>
      <c r="DD33" s="438"/>
      <c r="DE33" s="173"/>
      <c r="DF33" s="173" t="s">
        <v>592</v>
      </c>
      <c r="DG33" s="86">
        <f t="shared" si="8"/>
        <v>0</v>
      </c>
      <c r="DH33" s="64"/>
      <c r="DI33" s="64" t="s">
        <v>663</v>
      </c>
      <c r="DJ33" s="64"/>
      <c r="DK33" s="64"/>
      <c r="DL33" s="117" t="s">
        <v>663</v>
      </c>
    </row>
    <row r="34" spans="1:116" ht="114" x14ac:dyDescent="0.25">
      <c r="A34" s="450"/>
      <c r="B34" s="506"/>
      <c r="C34" s="506"/>
      <c r="D34" s="506"/>
      <c r="E34" s="508"/>
      <c r="F34" s="508"/>
      <c r="G34" s="406"/>
      <c r="H34" s="406"/>
      <c r="I34" s="406"/>
      <c r="J34" s="628"/>
      <c r="K34" s="436"/>
      <c r="L34" s="436"/>
      <c r="M34" s="438"/>
      <c r="N34" s="436"/>
      <c r="O34" s="438"/>
      <c r="P34" s="438"/>
      <c r="Q34" s="436"/>
      <c r="R34" s="464"/>
      <c r="S34" s="464"/>
      <c r="T34" s="438"/>
      <c r="U34" s="438"/>
      <c r="V34" s="438"/>
      <c r="W34" s="438"/>
      <c r="X34" s="479"/>
      <c r="Y34" s="438"/>
      <c r="Z34" s="438"/>
      <c r="AA34" s="438"/>
      <c r="AB34" s="479"/>
      <c r="AC34" s="438"/>
      <c r="AD34" s="438"/>
      <c r="AE34" s="438"/>
      <c r="AF34" s="479"/>
      <c r="AG34" s="438"/>
      <c r="AH34" s="438"/>
      <c r="AI34" s="438"/>
      <c r="AJ34" s="464"/>
      <c r="AK34" s="64"/>
      <c r="AL34" s="304"/>
      <c r="AM34" s="304">
        <f>AJ32/R32</f>
        <v>1</v>
      </c>
      <c r="AN34" s="495"/>
      <c r="AO34" s="495"/>
      <c r="AP34" s="495"/>
      <c r="AQ34" s="495"/>
      <c r="AR34" s="438"/>
      <c r="AS34" s="464"/>
      <c r="AT34" s="438"/>
      <c r="AU34" s="64" t="s">
        <v>210</v>
      </c>
      <c r="AV34" s="4" t="s">
        <v>114</v>
      </c>
      <c r="AW34" s="18">
        <v>1</v>
      </c>
      <c r="AX34" s="106">
        <v>0.05</v>
      </c>
      <c r="AY34" s="203">
        <v>0.25</v>
      </c>
      <c r="AZ34" s="203">
        <v>0.25</v>
      </c>
      <c r="BA34" s="203">
        <v>0.25</v>
      </c>
      <c r="BB34" s="203">
        <v>0.25</v>
      </c>
      <c r="BC34" s="203"/>
      <c r="BD34" s="203"/>
      <c r="BE34" s="203"/>
      <c r="BF34" s="203"/>
      <c r="BG34" s="379">
        <f t="shared" si="0"/>
        <v>0.25</v>
      </c>
      <c r="BH34" s="203"/>
      <c r="BI34" s="203"/>
      <c r="BJ34" s="819"/>
      <c r="BK34" s="819"/>
      <c r="BL34" s="203"/>
      <c r="BM34" s="203"/>
      <c r="BN34" s="108">
        <v>44927</v>
      </c>
      <c r="BO34" s="108">
        <v>45291</v>
      </c>
      <c r="BP34" s="11">
        <v>365</v>
      </c>
      <c r="BQ34" s="18" t="s">
        <v>97</v>
      </c>
      <c r="BR34" s="18" t="s">
        <v>97</v>
      </c>
      <c r="BS34" s="11" t="s">
        <v>91</v>
      </c>
      <c r="BT34" s="11" t="s">
        <v>92</v>
      </c>
      <c r="BU34" s="11" t="s">
        <v>184</v>
      </c>
      <c r="BV34" s="109">
        <v>53003500</v>
      </c>
      <c r="BW34" s="109">
        <v>0</v>
      </c>
      <c r="BX34" s="225">
        <f t="shared" si="1"/>
        <v>53003500</v>
      </c>
      <c r="BY34" s="102">
        <v>0</v>
      </c>
      <c r="BZ34" s="102">
        <v>0</v>
      </c>
      <c r="CA34" s="226">
        <v>0</v>
      </c>
      <c r="CB34" s="86">
        <v>0</v>
      </c>
      <c r="CC34" s="226">
        <f t="shared" si="3"/>
        <v>53003500</v>
      </c>
      <c r="CD34" s="102">
        <v>0</v>
      </c>
      <c r="CE34" s="102">
        <v>0</v>
      </c>
      <c r="CF34" s="102">
        <v>4300000</v>
      </c>
      <c r="CG34" s="102">
        <f t="shared" si="4"/>
        <v>4300000</v>
      </c>
      <c r="CH34" s="86">
        <v>4300000</v>
      </c>
      <c r="CI34" s="86">
        <v>4300000</v>
      </c>
      <c r="CJ34" s="86">
        <v>4300000</v>
      </c>
      <c r="CK34" s="86">
        <f t="shared" si="5"/>
        <v>12900000</v>
      </c>
      <c r="CL34" s="215">
        <v>4300000</v>
      </c>
      <c r="CM34" s="215">
        <v>4300000</v>
      </c>
      <c r="CN34" s="215">
        <v>4300000</v>
      </c>
      <c r="CO34" s="102">
        <f t="shared" si="6"/>
        <v>12900000</v>
      </c>
      <c r="CP34" s="86">
        <v>0</v>
      </c>
      <c r="CQ34" s="86">
        <v>0</v>
      </c>
      <c r="CR34" s="86">
        <v>0</v>
      </c>
      <c r="CS34" s="226">
        <f t="shared" si="7"/>
        <v>0</v>
      </c>
      <c r="CT34" s="632"/>
      <c r="CU34" s="438"/>
      <c r="CV34" s="492"/>
      <c r="CW34" s="255" t="s">
        <v>211</v>
      </c>
      <c r="CX34" s="256" t="s">
        <v>212</v>
      </c>
      <c r="CY34" s="255" t="s">
        <v>147</v>
      </c>
      <c r="CZ34" s="255" t="s">
        <v>111</v>
      </c>
      <c r="DA34" s="248">
        <v>44947</v>
      </c>
      <c r="DB34" s="254" t="s">
        <v>213</v>
      </c>
      <c r="DC34" s="438"/>
      <c r="DD34" s="438"/>
      <c r="DE34" s="173" t="s">
        <v>545</v>
      </c>
      <c r="DF34" s="173" t="s">
        <v>593</v>
      </c>
      <c r="DG34" s="86">
        <f t="shared" si="8"/>
        <v>17200000</v>
      </c>
      <c r="DH34" s="64"/>
      <c r="DI34" s="64" t="s">
        <v>617</v>
      </c>
      <c r="DJ34" s="64"/>
      <c r="DK34" s="64"/>
      <c r="DL34" s="117" t="s">
        <v>719</v>
      </c>
    </row>
    <row r="35" spans="1:116" ht="285" x14ac:dyDescent="0.25">
      <c r="A35" s="450"/>
      <c r="B35" s="506"/>
      <c r="C35" s="506"/>
      <c r="D35" s="506"/>
      <c r="E35" s="508"/>
      <c r="F35" s="508"/>
      <c r="G35" s="406"/>
      <c r="H35" s="406"/>
      <c r="I35" s="406"/>
      <c r="J35" s="628"/>
      <c r="K35" s="436"/>
      <c r="L35" s="436"/>
      <c r="M35" s="438"/>
      <c r="N35" s="436"/>
      <c r="O35" s="438"/>
      <c r="P35" s="438"/>
      <c r="Q35" s="436"/>
      <c r="R35" s="464"/>
      <c r="S35" s="464"/>
      <c r="T35" s="438"/>
      <c r="U35" s="438"/>
      <c r="V35" s="438"/>
      <c r="W35" s="438"/>
      <c r="X35" s="479"/>
      <c r="Y35" s="438"/>
      <c r="Z35" s="438"/>
      <c r="AA35" s="438"/>
      <c r="AB35" s="479"/>
      <c r="AC35" s="438"/>
      <c r="AD35" s="438"/>
      <c r="AE35" s="438"/>
      <c r="AF35" s="479"/>
      <c r="AG35" s="438"/>
      <c r="AH35" s="438"/>
      <c r="AI35" s="438"/>
      <c r="AJ35" s="464"/>
      <c r="AK35" s="64"/>
      <c r="AL35" s="304"/>
      <c r="AM35" s="304"/>
      <c r="AN35" s="495"/>
      <c r="AO35" s="495"/>
      <c r="AP35" s="495"/>
      <c r="AQ35" s="495"/>
      <c r="AR35" s="438"/>
      <c r="AS35" s="464"/>
      <c r="AT35" s="438"/>
      <c r="AU35" s="64" t="s">
        <v>214</v>
      </c>
      <c r="AV35" s="4" t="s">
        <v>200</v>
      </c>
      <c r="AW35" s="11">
        <v>1</v>
      </c>
      <c r="AX35" s="106">
        <v>0.2</v>
      </c>
      <c r="AY35" s="203">
        <v>0.25</v>
      </c>
      <c r="AZ35" s="203">
        <v>0.25</v>
      </c>
      <c r="BA35" s="203">
        <v>0.25</v>
      </c>
      <c r="BB35" s="203">
        <v>0.25</v>
      </c>
      <c r="BC35" s="203"/>
      <c r="BD35" s="203"/>
      <c r="BE35" s="203"/>
      <c r="BF35" s="203"/>
      <c r="BG35" s="379">
        <f t="shared" si="0"/>
        <v>0.25</v>
      </c>
      <c r="BH35" s="203"/>
      <c r="BI35" s="203"/>
      <c r="BJ35" s="819"/>
      <c r="BK35" s="819"/>
      <c r="BL35" s="203"/>
      <c r="BM35" s="203"/>
      <c r="BN35" s="108">
        <v>44927</v>
      </c>
      <c r="BO35" s="108">
        <v>45291</v>
      </c>
      <c r="BP35" s="11">
        <v>365</v>
      </c>
      <c r="BQ35" s="81">
        <v>1028736</v>
      </c>
      <c r="BR35" s="81">
        <v>1028736</v>
      </c>
      <c r="BS35" s="11" t="s">
        <v>91</v>
      </c>
      <c r="BT35" s="11" t="s">
        <v>92</v>
      </c>
      <c r="BU35" s="11" t="s">
        <v>184</v>
      </c>
      <c r="BV35" s="109">
        <v>2109564500</v>
      </c>
      <c r="BW35" s="109">
        <v>0</v>
      </c>
      <c r="BX35" s="225">
        <f t="shared" si="1"/>
        <v>2109564500</v>
      </c>
      <c r="BY35" s="102">
        <v>0</v>
      </c>
      <c r="BZ35" s="102">
        <v>0</v>
      </c>
      <c r="CA35" s="226">
        <v>0</v>
      </c>
      <c r="CB35" s="86">
        <v>0</v>
      </c>
      <c r="CC35" s="226">
        <f t="shared" si="3"/>
        <v>2109564500</v>
      </c>
      <c r="CD35" s="102">
        <v>0</v>
      </c>
      <c r="CE35" s="102">
        <v>0</v>
      </c>
      <c r="CF35" s="102">
        <v>0</v>
      </c>
      <c r="CG35" s="102">
        <f t="shared" si="4"/>
        <v>0</v>
      </c>
      <c r="CH35" s="86">
        <v>0</v>
      </c>
      <c r="CI35" s="86">
        <v>0</v>
      </c>
      <c r="CJ35" s="86">
        <v>0</v>
      </c>
      <c r="CK35" s="86">
        <f t="shared" si="5"/>
        <v>0</v>
      </c>
      <c r="CL35" s="215">
        <v>0</v>
      </c>
      <c r="CM35" s="215">
        <v>0</v>
      </c>
      <c r="CN35" s="215">
        <v>0</v>
      </c>
      <c r="CO35" s="102">
        <f t="shared" si="6"/>
        <v>0</v>
      </c>
      <c r="CP35" s="86">
        <v>0</v>
      </c>
      <c r="CQ35" s="86">
        <v>0</v>
      </c>
      <c r="CR35" s="86">
        <v>0</v>
      </c>
      <c r="CS35" s="226">
        <f t="shared" si="7"/>
        <v>0</v>
      </c>
      <c r="CT35" s="632"/>
      <c r="CU35" s="438"/>
      <c r="CV35" s="492"/>
      <c r="CW35" s="251" t="s">
        <v>211</v>
      </c>
      <c r="CX35" s="257" t="s">
        <v>215</v>
      </c>
      <c r="CY35" s="258" t="s">
        <v>216</v>
      </c>
      <c r="CZ35" s="258" t="s">
        <v>111</v>
      </c>
      <c r="DA35" s="248">
        <v>44957</v>
      </c>
      <c r="DB35" s="253" t="s">
        <v>207</v>
      </c>
      <c r="DC35" s="438"/>
      <c r="DD35" s="438"/>
      <c r="DE35" s="568" t="s">
        <v>543</v>
      </c>
      <c r="DF35" s="568" t="s">
        <v>582</v>
      </c>
      <c r="DG35" s="86">
        <f t="shared" si="8"/>
        <v>0</v>
      </c>
      <c r="DH35" s="64"/>
      <c r="DI35" s="64" t="s">
        <v>665</v>
      </c>
      <c r="DJ35" s="64"/>
      <c r="DK35" s="64"/>
      <c r="DL35" s="117" t="s">
        <v>716</v>
      </c>
    </row>
    <row r="36" spans="1:116" ht="71.25" x14ac:dyDescent="0.25">
      <c r="A36" s="450"/>
      <c r="B36" s="506"/>
      <c r="C36" s="506"/>
      <c r="D36" s="506"/>
      <c r="E36" s="508"/>
      <c r="F36" s="508"/>
      <c r="G36" s="406"/>
      <c r="H36" s="406"/>
      <c r="I36" s="406"/>
      <c r="J36" s="628"/>
      <c r="K36" s="436"/>
      <c r="L36" s="436"/>
      <c r="M36" s="438"/>
      <c r="N36" s="436"/>
      <c r="O36" s="438"/>
      <c r="P36" s="438"/>
      <c r="Q36" s="436"/>
      <c r="R36" s="464"/>
      <c r="S36" s="464"/>
      <c r="T36" s="438"/>
      <c r="U36" s="438"/>
      <c r="V36" s="438"/>
      <c r="W36" s="438"/>
      <c r="X36" s="479"/>
      <c r="Y36" s="438"/>
      <c r="Z36" s="438"/>
      <c r="AA36" s="438"/>
      <c r="AB36" s="479"/>
      <c r="AC36" s="438"/>
      <c r="AD36" s="438"/>
      <c r="AE36" s="438"/>
      <c r="AF36" s="479"/>
      <c r="AG36" s="438"/>
      <c r="AH36" s="438"/>
      <c r="AI36" s="438"/>
      <c r="AJ36" s="464"/>
      <c r="AK36" s="64"/>
      <c r="AL36" s="304"/>
      <c r="AM36" s="304"/>
      <c r="AN36" s="495"/>
      <c r="AO36" s="495"/>
      <c r="AP36" s="495"/>
      <c r="AQ36" s="495"/>
      <c r="AR36" s="438"/>
      <c r="AS36" s="464"/>
      <c r="AT36" s="438"/>
      <c r="AU36" s="64" t="s">
        <v>217</v>
      </c>
      <c r="AV36" s="4" t="s">
        <v>218</v>
      </c>
      <c r="AW36" s="11">
        <v>1</v>
      </c>
      <c r="AX36" s="106">
        <v>0.05</v>
      </c>
      <c r="AY36" s="203">
        <v>0.25</v>
      </c>
      <c r="AZ36" s="203">
        <v>0.25</v>
      </c>
      <c r="BA36" s="203">
        <v>0.25</v>
      </c>
      <c r="BB36" s="203">
        <v>0.25</v>
      </c>
      <c r="BC36" s="203"/>
      <c r="BD36" s="203"/>
      <c r="BE36" s="203"/>
      <c r="BF36" s="203"/>
      <c r="BG36" s="379">
        <f t="shared" si="0"/>
        <v>0.25</v>
      </c>
      <c r="BH36" s="203"/>
      <c r="BI36" s="203"/>
      <c r="BJ36" s="819"/>
      <c r="BK36" s="819"/>
      <c r="BL36" s="203"/>
      <c r="BM36" s="203"/>
      <c r="BN36" s="108">
        <v>44927</v>
      </c>
      <c r="BO36" s="108">
        <v>45291</v>
      </c>
      <c r="BP36" s="11">
        <v>365</v>
      </c>
      <c r="BQ36" s="11" t="s">
        <v>219</v>
      </c>
      <c r="BR36" s="11" t="s">
        <v>219</v>
      </c>
      <c r="BS36" s="11" t="s">
        <v>91</v>
      </c>
      <c r="BT36" s="11" t="s">
        <v>92</v>
      </c>
      <c r="BU36" s="11" t="s">
        <v>184</v>
      </c>
      <c r="BV36" s="109">
        <v>34500000</v>
      </c>
      <c r="BW36" s="109">
        <v>0</v>
      </c>
      <c r="BX36" s="225">
        <f t="shared" si="1"/>
        <v>34500000</v>
      </c>
      <c r="BY36" s="102">
        <v>0</v>
      </c>
      <c r="BZ36" s="102">
        <v>0</v>
      </c>
      <c r="CA36" s="226">
        <f t="shared" si="2"/>
        <v>34500000</v>
      </c>
      <c r="CB36" s="86">
        <v>0</v>
      </c>
      <c r="CC36" s="226">
        <f t="shared" si="3"/>
        <v>34500000</v>
      </c>
      <c r="CD36" s="102">
        <v>0</v>
      </c>
      <c r="CE36" s="102">
        <v>0</v>
      </c>
      <c r="CF36" s="102">
        <v>3000000</v>
      </c>
      <c r="CG36" s="102">
        <f t="shared" si="4"/>
        <v>3000000</v>
      </c>
      <c r="CH36" s="86">
        <v>3000000</v>
      </c>
      <c r="CI36" s="86">
        <v>3000000</v>
      </c>
      <c r="CJ36" s="86">
        <v>3000000</v>
      </c>
      <c r="CK36" s="86">
        <f t="shared" si="5"/>
        <v>9000000</v>
      </c>
      <c r="CL36" s="215">
        <v>3000000</v>
      </c>
      <c r="CM36" s="215">
        <v>3000000</v>
      </c>
      <c r="CN36" s="215">
        <v>3000000</v>
      </c>
      <c r="CO36" s="102">
        <f t="shared" si="6"/>
        <v>9000000</v>
      </c>
      <c r="CP36" s="86">
        <v>0</v>
      </c>
      <c r="CQ36" s="86">
        <v>0</v>
      </c>
      <c r="CR36" s="86">
        <v>0</v>
      </c>
      <c r="CS36" s="226">
        <f t="shared" si="7"/>
        <v>0</v>
      </c>
      <c r="CT36" s="632"/>
      <c r="CU36" s="438"/>
      <c r="CV36" s="492"/>
      <c r="CW36" s="251" t="s">
        <v>211</v>
      </c>
      <c r="CX36" s="259" t="s">
        <v>220</v>
      </c>
      <c r="CY36" s="258" t="s">
        <v>147</v>
      </c>
      <c r="CZ36" s="258" t="s">
        <v>111</v>
      </c>
      <c r="DA36" s="248">
        <v>44947</v>
      </c>
      <c r="DB36" s="254" t="s">
        <v>213</v>
      </c>
      <c r="DC36" s="438"/>
      <c r="DD36" s="438"/>
      <c r="DE36" s="568"/>
      <c r="DF36" s="568"/>
      <c r="DG36" s="86">
        <f t="shared" si="8"/>
        <v>12000000</v>
      </c>
      <c r="DH36" s="64"/>
      <c r="DI36" s="64" t="s">
        <v>617</v>
      </c>
      <c r="DJ36" s="64"/>
      <c r="DK36" s="64"/>
      <c r="DL36" s="117" t="s">
        <v>718</v>
      </c>
    </row>
    <row r="37" spans="1:116" ht="28.5" x14ac:dyDescent="0.25">
      <c r="A37" s="450"/>
      <c r="B37" s="506"/>
      <c r="C37" s="506"/>
      <c r="D37" s="506"/>
      <c r="E37" s="508"/>
      <c r="F37" s="508"/>
      <c r="G37" s="406"/>
      <c r="H37" s="406"/>
      <c r="I37" s="406"/>
      <c r="J37" s="628"/>
      <c r="K37" s="436"/>
      <c r="L37" s="436"/>
      <c r="M37" s="438"/>
      <c r="N37" s="436"/>
      <c r="O37" s="438"/>
      <c r="P37" s="438"/>
      <c r="Q37" s="436"/>
      <c r="R37" s="464"/>
      <c r="S37" s="464"/>
      <c r="T37" s="438"/>
      <c r="U37" s="438"/>
      <c r="V37" s="438"/>
      <c r="W37" s="438"/>
      <c r="X37" s="479"/>
      <c r="Y37" s="438"/>
      <c r="Z37" s="438"/>
      <c r="AA37" s="438"/>
      <c r="AB37" s="479"/>
      <c r="AC37" s="438"/>
      <c r="AD37" s="438"/>
      <c r="AE37" s="438"/>
      <c r="AF37" s="479"/>
      <c r="AG37" s="438"/>
      <c r="AH37" s="438"/>
      <c r="AI37" s="438"/>
      <c r="AJ37" s="464"/>
      <c r="AK37" s="64"/>
      <c r="AL37" s="304"/>
      <c r="AM37" s="304"/>
      <c r="AN37" s="495"/>
      <c r="AO37" s="495"/>
      <c r="AP37" s="495"/>
      <c r="AQ37" s="495"/>
      <c r="AR37" s="438"/>
      <c r="AS37" s="464"/>
      <c r="AT37" s="438"/>
      <c r="AU37" s="64" t="s">
        <v>199</v>
      </c>
      <c r="AV37" s="4" t="s">
        <v>200</v>
      </c>
      <c r="AW37" s="11">
        <v>1</v>
      </c>
      <c r="AX37" s="106">
        <v>0.05</v>
      </c>
      <c r="AY37" s="203">
        <v>0.25</v>
      </c>
      <c r="AZ37" s="203">
        <v>0.25</v>
      </c>
      <c r="BA37" s="203">
        <v>0.25</v>
      </c>
      <c r="BB37" s="203">
        <v>0.25</v>
      </c>
      <c r="BC37" s="203"/>
      <c r="BD37" s="203"/>
      <c r="BE37" s="203"/>
      <c r="BF37" s="203"/>
      <c r="BG37" s="379">
        <f t="shared" si="0"/>
        <v>0.25</v>
      </c>
      <c r="BH37" s="203"/>
      <c r="BI37" s="203"/>
      <c r="BJ37" s="819"/>
      <c r="BK37" s="819"/>
      <c r="BL37" s="203"/>
      <c r="BM37" s="203"/>
      <c r="BN37" s="107" t="s">
        <v>201</v>
      </c>
      <c r="BO37" s="108">
        <v>45291</v>
      </c>
      <c r="BP37" s="11">
        <v>365</v>
      </c>
      <c r="BQ37" s="81">
        <v>1028736</v>
      </c>
      <c r="BR37" s="81">
        <v>1028736</v>
      </c>
      <c r="BS37" s="11" t="s">
        <v>91</v>
      </c>
      <c r="BT37" s="11" t="s">
        <v>92</v>
      </c>
      <c r="BU37" s="11" t="s">
        <v>184</v>
      </c>
      <c r="BV37" s="109">
        <v>0</v>
      </c>
      <c r="BW37" s="109">
        <v>0</v>
      </c>
      <c r="BX37" s="225">
        <f t="shared" si="1"/>
        <v>0</v>
      </c>
      <c r="BY37" s="102">
        <v>0</v>
      </c>
      <c r="BZ37" s="102">
        <v>0</v>
      </c>
      <c r="CA37" s="226">
        <f t="shared" si="2"/>
        <v>0</v>
      </c>
      <c r="CB37" s="86">
        <v>0</v>
      </c>
      <c r="CC37" s="226">
        <f t="shared" si="3"/>
        <v>0</v>
      </c>
      <c r="CD37" s="102">
        <v>0</v>
      </c>
      <c r="CE37" s="102">
        <v>0</v>
      </c>
      <c r="CF37" s="102">
        <v>0</v>
      </c>
      <c r="CG37" s="102">
        <f t="shared" si="4"/>
        <v>0</v>
      </c>
      <c r="CH37" s="86">
        <v>0</v>
      </c>
      <c r="CI37" s="86">
        <v>0</v>
      </c>
      <c r="CJ37" s="86">
        <v>0</v>
      </c>
      <c r="CK37" s="86">
        <f t="shared" si="5"/>
        <v>0</v>
      </c>
      <c r="CL37" s="215">
        <v>0</v>
      </c>
      <c r="CM37" s="215">
        <v>0</v>
      </c>
      <c r="CN37" s="215">
        <v>0</v>
      </c>
      <c r="CO37" s="102">
        <f t="shared" si="6"/>
        <v>0</v>
      </c>
      <c r="CP37" s="86">
        <v>0</v>
      </c>
      <c r="CQ37" s="86">
        <v>0</v>
      </c>
      <c r="CR37" s="86">
        <v>0</v>
      </c>
      <c r="CS37" s="226">
        <f t="shared" ref="CS37" si="14">SUM(CP37:CR37)</f>
        <v>0</v>
      </c>
      <c r="CT37" s="632"/>
      <c r="CU37" s="438"/>
      <c r="CV37" s="492"/>
      <c r="CW37" s="64"/>
      <c r="CX37" s="61"/>
      <c r="CY37" s="260"/>
      <c r="CZ37" s="260"/>
      <c r="DA37" s="248"/>
      <c r="DB37" s="253"/>
      <c r="DC37" s="438"/>
      <c r="DD37" s="438"/>
      <c r="DE37" s="568"/>
      <c r="DF37" s="568"/>
      <c r="DG37" s="86"/>
      <c r="DH37" s="64"/>
      <c r="DI37" s="64"/>
      <c r="DJ37" s="64"/>
      <c r="DK37" s="64"/>
      <c r="DL37" s="117" t="s">
        <v>615</v>
      </c>
    </row>
    <row r="38" spans="1:116" ht="114" x14ac:dyDescent="0.25">
      <c r="A38" s="450"/>
      <c r="B38" s="506"/>
      <c r="C38" s="506"/>
      <c r="D38" s="506"/>
      <c r="E38" s="508"/>
      <c r="F38" s="508"/>
      <c r="G38" s="406"/>
      <c r="H38" s="406"/>
      <c r="I38" s="406"/>
      <c r="J38" s="628"/>
      <c r="K38" s="436"/>
      <c r="L38" s="436"/>
      <c r="M38" s="438"/>
      <c r="N38" s="436"/>
      <c r="O38" s="438"/>
      <c r="P38" s="438"/>
      <c r="Q38" s="436"/>
      <c r="R38" s="464"/>
      <c r="S38" s="464"/>
      <c r="T38" s="438"/>
      <c r="U38" s="438"/>
      <c r="V38" s="438"/>
      <c r="W38" s="438"/>
      <c r="X38" s="480"/>
      <c r="Y38" s="438"/>
      <c r="Z38" s="438"/>
      <c r="AA38" s="438"/>
      <c r="AB38" s="480"/>
      <c r="AC38" s="438"/>
      <c r="AD38" s="438"/>
      <c r="AE38" s="438"/>
      <c r="AF38" s="480"/>
      <c r="AG38" s="438"/>
      <c r="AH38" s="438"/>
      <c r="AI38" s="438"/>
      <c r="AJ38" s="464"/>
      <c r="AK38" s="64"/>
      <c r="AL38" s="304"/>
      <c r="AM38" s="304"/>
      <c r="AN38" s="495"/>
      <c r="AO38" s="495"/>
      <c r="AP38" s="495"/>
      <c r="AQ38" s="495"/>
      <c r="AR38" s="438"/>
      <c r="AS38" s="464"/>
      <c r="AT38" s="438"/>
      <c r="AU38" s="64" t="s">
        <v>225</v>
      </c>
      <c r="AV38" s="4" t="s">
        <v>200</v>
      </c>
      <c r="AW38" s="11">
        <v>1</v>
      </c>
      <c r="AX38" s="106">
        <v>0.1</v>
      </c>
      <c r="AY38" s="203">
        <v>0.25</v>
      </c>
      <c r="AZ38" s="203">
        <v>0.25</v>
      </c>
      <c r="BA38" s="203">
        <v>0.25</v>
      </c>
      <c r="BB38" s="203">
        <v>0.25</v>
      </c>
      <c r="BC38" s="203"/>
      <c r="BD38" s="203"/>
      <c r="BE38" s="203"/>
      <c r="BF38" s="203"/>
      <c r="BG38" s="379">
        <f t="shared" si="0"/>
        <v>0.25</v>
      </c>
      <c r="BH38" s="203"/>
      <c r="BI38" s="203"/>
      <c r="BJ38" s="819"/>
      <c r="BK38" s="819"/>
      <c r="BL38" s="203"/>
      <c r="BM38" s="203"/>
      <c r="BN38" s="108">
        <v>44927</v>
      </c>
      <c r="BO38" s="108">
        <v>45291</v>
      </c>
      <c r="BP38" s="11">
        <v>365</v>
      </c>
      <c r="BQ38" s="81">
        <v>1028736</v>
      </c>
      <c r="BR38" s="81">
        <v>1028736</v>
      </c>
      <c r="BS38" s="11" t="s">
        <v>91</v>
      </c>
      <c r="BT38" s="11" t="s">
        <v>92</v>
      </c>
      <c r="BU38" s="11" t="s">
        <v>184</v>
      </c>
      <c r="BV38" s="109">
        <v>100000000</v>
      </c>
      <c r="BW38" s="109">
        <v>0</v>
      </c>
      <c r="BX38" s="225">
        <f t="shared" si="1"/>
        <v>100000000</v>
      </c>
      <c r="BY38" s="102">
        <v>0</v>
      </c>
      <c r="BZ38" s="102">
        <v>0</v>
      </c>
      <c r="CA38" s="226">
        <f t="shared" si="2"/>
        <v>100000000</v>
      </c>
      <c r="CB38" s="86">
        <v>0</v>
      </c>
      <c r="CC38" s="226">
        <f t="shared" si="3"/>
        <v>100000000</v>
      </c>
      <c r="CD38" s="102">
        <v>0</v>
      </c>
      <c r="CE38" s="102">
        <v>0</v>
      </c>
      <c r="CF38" s="102">
        <v>0</v>
      </c>
      <c r="CG38" s="102">
        <f t="shared" si="4"/>
        <v>0</v>
      </c>
      <c r="CH38" s="86">
        <v>0</v>
      </c>
      <c r="CI38" s="86">
        <v>0</v>
      </c>
      <c r="CJ38" s="86">
        <v>0</v>
      </c>
      <c r="CK38" s="86">
        <f t="shared" si="5"/>
        <v>0</v>
      </c>
      <c r="CL38" s="215">
        <v>0</v>
      </c>
      <c r="CM38" s="215">
        <v>0</v>
      </c>
      <c r="CN38" s="215">
        <v>0</v>
      </c>
      <c r="CO38" s="102">
        <f t="shared" si="6"/>
        <v>0</v>
      </c>
      <c r="CP38" s="86">
        <v>0</v>
      </c>
      <c r="CQ38" s="86">
        <v>0</v>
      </c>
      <c r="CR38" s="86">
        <v>0</v>
      </c>
      <c r="CS38" s="226">
        <f t="shared" si="7"/>
        <v>0</v>
      </c>
      <c r="CT38" s="632"/>
      <c r="CU38" s="438"/>
      <c r="CV38" s="492"/>
      <c r="CW38" s="251" t="s">
        <v>211</v>
      </c>
      <c r="CX38" s="259" t="s">
        <v>215</v>
      </c>
      <c r="CY38" s="258" t="s">
        <v>216</v>
      </c>
      <c r="CZ38" s="258" t="s">
        <v>111</v>
      </c>
      <c r="DA38" s="248">
        <v>44957</v>
      </c>
      <c r="DB38" s="253" t="s">
        <v>207</v>
      </c>
      <c r="DC38" s="438"/>
      <c r="DD38" s="438"/>
      <c r="DE38" s="568"/>
      <c r="DF38" s="568"/>
      <c r="DG38" s="86">
        <f t="shared" si="8"/>
        <v>0</v>
      </c>
      <c r="DH38" s="64"/>
      <c r="DI38" s="64" t="s">
        <v>664</v>
      </c>
      <c r="DJ38" s="64"/>
      <c r="DK38" s="64"/>
      <c r="DL38" s="117" t="s">
        <v>716</v>
      </c>
    </row>
    <row r="39" spans="1:116" ht="114" x14ac:dyDescent="0.25">
      <c r="A39" s="450"/>
      <c r="B39" s="506"/>
      <c r="C39" s="506"/>
      <c r="D39" s="506"/>
      <c r="E39" s="508"/>
      <c r="F39" s="508"/>
      <c r="G39" s="406"/>
      <c r="H39" s="406"/>
      <c r="I39" s="406"/>
      <c r="J39" s="628"/>
      <c r="K39" s="436" t="s">
        <v>226</v>
      </c>
      <c r="L39" s="438" t="s">
        <v>76</v>
      </c>
      <c r="M39" s="438">
        <v>0</v>
      </c>
      <c r="N39" s="436" t="s">
        <v>227</v>
      </c>
      <c r="O39" s="438"/>
      <c r="P39" s="438" t="s">
        <v>228</v>
      </c>
      <c r="Q39" s="436"/>
      <c r="R39" s="464">
        <v>1</v>
      </c>
      <c r="S39" s="464">
        <v>1</v>
      </c>
      <c r="T39" s="438">
        <v>0</v>
      </c>
      <c r="U39" s="438">
        <v>0</v>
      </c>
      <c r="V39" s="438">
        <v>0</v>
      </c>
      <c r="W39" s="438">
        <f>SUM(T39:V41)</f>
        <v>0</v>
      </c>
      <c r="X39" s="438">
        <v>0</v>
      </c>
      <c r="Y39" s="438">
        <v>0</v>
      </c>
      <c r="Z39" s="438">
        <v>1</v>
      </c>
      <c r="AA39" s="438">
        <f>SUM(X39:Z41)</f>
        <v>1</v>
      </c>
      <c r="AB39" s="438">
        <v>0</v>
      </c>
      <c r="AC39" s="438">
        <v>0</v>
      </c>
      <c r="AD39" s="438">
        <v>1</v>
      </c>
      <c r="AE39" s="438">
        <f>SUM(AB39:AD41)</f>
        <v>1</v>
      </c>
      <c r="AF39" s="438" t="s">
        <v>527</v>
      </c>
      <c r="AG39" s="438" t="s">
        <v>527</v>
      </c>
      <c r="AH39" s="438" t="s">
        <v>527</v>
      </c>
      <c r="AI39" s="438" t="s">
        <v>527</v>
      </c>
      <c r="AJ39" s="464">
        <v>0</v>
      </c>
      <c r="AK39" s="64"/>
      <c r="AL39" s="304"/>
      <c r="AM39" s="304"/>
      <c r="AN39" s="495"/>
      <c r="AO39" s="495"/>
      <c r="AP39" s="495"/>
      <c r="AQ39" s="495"/>
      <c r="AR39" s="438"/>
      <c r="AS39" s="464"/>
      <c r="AT39" s="438"/>
      <c r="AU39" s="64" t="s">
        <v>229</v>
      </c>
      <c r="AV39" s="4" t="s">
        <v>230</v>
      </c>
      <c r="AW39" s="11">
        <v>1</v>
      </c>
      <c r="AX39" s="106">
        <v>0.05</v>
      </c>
      <c r="AY39" s="203">
        <v>0</v>
      </c>
      <c r="AZ39" s="203">
        <v>0.3</v>
      </c>
      <c r="BA39" s="203">
        <v>0.3</v>
      </c>
      <c r="BB39" s="203">
        <v>0.4</v>
      </c>
      <c r="BC39" s="203"/>
      <c r="BD39" s="203"/>
      <c r="BE39" s="203"/>
      <c r="BF39" s="203"/>
      <c r="BG39" s="379">
        <f t="shared" si="0"/>
        <v>0.4</v>
      </c>
      <c r="BH39" s="203"/>
      <c r="BI39" s="203"/>
      <c r="BJ39" s="819"/>
      <c r="BK39" s="819"/>
      <c r="BL39" s="203"/>
      <c r="BM39" s="203"/>
      <c r="BN39" s="108">
        <v>44927</v>
      </c>
      <c r="BO39" s="108">
        <v>45291</v>
      </c>
      <c r="BP39" s="11">
        <v>365</v>
      </c>
      <c r="BQ39" s="11" t="s">
        <v>219</v>
      </c>
      <c r="BR39" s="11" t="s">
        <v>219</v>
      </c>
      <c r="BS39" s="11" t="s">
        <v>91</v>
      </c>
      <c r="BT39" s="11" t="s">
        <v>92</v>
      </c>
      <c r="BU39" s="11" t="s">
        <v>184</v>
      </c>
      <c r="BV39" s="40">
        <v>60000000</v>
      </c>
      <c r="BW39" s="156">
        <v>-2742230</v>
      </c>
      <c r="BX39" s="225">
        <f t="shared" si="1"/>
        <v>57257770</v>
      </c>
      <c r="BY39" s="102">
        <v>0</v>
      </c>
      <c r="BZ39" s="102">
        <v>0</v>
      </c>
      <c r="CA39" s="226">
        <f t="shared" si="2"/>
        <v>57257770</v>
      </c>
      <c r="CB39" s="86">
        <v>0</v>
      </c>
      <c r="CC39" s="226">
        <f t="shared" si="3"/>
        <v>57257770</v>
      </c>
      <c r="CD39" s="102">
        <v>0</v>
      </c>
      <c r="CE39" s="102">
        <v>0</v>
      </c>
      <c r="CF39" s="102">
        <v>0</v>
      </c>
      <c r="CG39" s="102">
        <f t="shared" si="4"/>
        <v>0</v>
      </c>
      <c r="CH39" s="86">
        <v>0</v>
      </c>
      <c r="CI39" s="86">
        <v>0</v>
      </c>
      <c r="CJ39" s="86">
        <v>0</v>
      </c>
      <c r="CK39" s="86">
        <f t="shared" si="5"/>
        <v>0</v>
      </c>
      <c r="CL39" s="215">
        <v>0</v>
      </c>
      <c r="CM39" s="215">
        <v>0</v>
      </c>
      <c r="CN39" s="215">
        <v>0</v>
      </c>
      <c r="CO39" s="102">
        <f t="shared" si="6"/>
        <v>0</v>
      </c>
      <c r="CP39" s="86">
        <v>0</v>
      </c>
      <c r="CQ39" s="86">
        <v>0</v>
      </c>
      <c r="CR39" s="86">
        <v>0</v>
      </c>
      <c r="CS39" s="226">
        <f>SUM(CP39:CR39)-3701895</f>
        <v>-3701895</v>
      </c>
      <c r="CT39" s="632"/>
      <c r="CU39" s="438"/>
      <c r="CV39" s="492"/>
      <c r="CW39" s="251" t="s">
        <v>211</v>
      </c>
      <c r="CX39" s="259" t="s">
        <v>231</v>
      </c>
      <c r="CY39" s="258" t="s">
        <v>216</v>
      </c>
      <c r="CZ39" s="258" t="s">
        <v>111</v>
      </c>
      <c r="DA39" s="248">
        <v>44972</v>
      </c>
      <c r="DB39" s="253" t="s">
        <v>232</v>
      </c>
      <c r="DC39" s="438"/>
      <c r="DD39" s="438"/>
      <c r="DE39" s="568" t="s">
        <v>541</v>
      </c>
      <c r="DF39" s="568" t="s">
        <v>594</v>
      </c>
      <c r="DG39" s="86">
        <f t="shared" si="8"/>
        <v>0</v>
      </c>
      <c r="DH39" s="64"/>
      <c r="DI39" s="64"/>
      <c r="DJ39" s="64"/>
      <c r="DK39" s="64"/>
      <c r="DL39" s="117" t="s">
        <v>759</v>
      </c>
    </row>
    <row r="40" spans="1:116" ht="99.75" x14ac:dyDescent="0.25">
      <c r="A40" s="450"/>
      <c r="B40" s="506"/>
      <c r="C40" s="506"/>
      <c r="D40" s="506"/>
      <c r="E40" s="508"/>
      <c r="F40" s="508"/>
      <c r="G40" s="406"/>
      <c r="H40" s="406"/>
      <c r="I40" s="406"/>
      <c r="J40" s="628"/>
      <c r="K40" s="436"/>
      <c r="L40" s="438"/>
      <c r="M40" s="438"/>
      <c r="N40" s="436"/>
      <c r="O40" s="438"/>
      <c r="P40" s="438"/>
      <c r="Q40" s="436"/>
      <c r="R40" s="464"/>
      <c r="S40" s="464"/>
      <c r="T40" s="438"/>
      <c r="U40" s="438"/>
      <c r="V40" s="438"/>
      <c r="W40" s="438"/>
      <c r="X40" s="438"/>
      <c r="Y40" s="438"/>
      <c r="Z40" s="438"/>
      <c r="AA40" s="438"/>
      <c r="AB40" s="438"/>
      <c r="AC40" s="438"/>
      <c r="AD40" s="438"/>
      <c r="AE40" s="438"/>
      <c r="AF40" s="438"/>
      <c r="AG40" s="438"/>
      <c r="AH40" s="438"/>
      <c r="AI40" s="438"/>
      <c r="AJ40" s="464"/>
      <c r="AK40" s="64"/>
      <c r="AL40" s="304">
        <f>100%</f>
        <v>1</v>
      </c>
      <c r="AM40" s="304">
        <f>100%</f>
        <v>1</v>
      </c>
      <c r="AN40" s="495"/>
      <c r="AO40" s="495"/>
      <c r="AP40" s="495"/>
      <c r="AQ40" s="495"/>
      <c r="AR40" s="438"/>
      <c r="AS40" s="464"/>
      <c r="AT40" s="438"/>
      <c r="AU40" s="64" t="s">
        <v>233</v>
      </c>
      <c r="AV40" s="4" t="s">
        <v>234</v>
      </c>
      <c r="AW40" s="11">
        <v>1</v>
      </c>
      <c r="AX40" s="106">
        <v>0.2</v>
      </c>
      <c r="AY40" s="203">
        <v>0</v>
      </c>
      <c r="AZ40" s="203">
        <v>0.3</v>
      </c>
      <c r="BA40" s="203">
        <v>0.3</v>
      </c>
      <c r="BB40" s="203">
        <v>0.4</v>
      </c>
      <c r="BC40" s="203"/>
      <c r="BD40" s="203"/>
      <c r="BE40" s="203"/>
      <c r="BF40" s="203"/>
      <c r="BG40" s="379">
        <f t="shared" si="0"/>
        <v>0.4</v>
      </c>
      <c r="BH40" s="203"/>
      <c r="BI40" s="203"/>
      <c r="BJ40" s="819"/>
      <c r="BK40" s="819"/>
      <c r="BL40" s="203"/>
      <c r="BM40" s="203"/>
      <c r="BN40" s="108">
        <v>44927</v>
      </c>
      <c r="BO40" s="108">
        <v>45291</v>
      </c>
      <c r="BP40" s="11">
        <v>365</v>
      </c>
      <c r="BQ40" s="81">
        <v>1028736</v>
      </c>
      <c r="BR40" s="81">
        <v>1028736</v>
      </c>
      <c r="BS40" s="11" t="s">
        <v>91</v>
      </c>
      <c r="BT40" s="11" t="s">
        <v>92</v>
      </c>
      <c r="BU40" s="11" t="s">
        <v>184</v>
      </c>
      <c r="BV40" s="111">
        <f>410000000</f>
        <v>410000000</v>
      </c>
      <c r="BW40" s="111">
        <v>0</v>
      </c>
      <c r="BX40" s="225">
        <f t="shared" si="1"/>
        <v>410000000</v>
      </c>
      <c r="BY40" s="102">
        <v>0</v>
      </c>
      <c r="BZ40" s="102">
        <v>0</v>
      </c>
      <c r="CA40" s="226">
        <f t="shared" si="2"/>
        <v>410000000</v>
      </c>
      <c r="CB40" s="86">
        <v>0</v>
      </c>
      <c r="CC40" s="226">
        <f t="shared" si="3"/>
        <v>410000000</v>
      </c>
      <c r="CD40" s="102">
        <v>0</v>
      </c>
      <c r="CE40" s="102">
        <v>0</v>
      </c>
      <c r="CF40" s="102">
        <v>0</v>
      </c>
      <c r="CG40" s="102">
        <f t="shared" si="4"/>
        <v>0</v>
      </c>
      <c r="CH40" s="86">
        <v>0</v>
      </c>
      <c r="CI40" s="86">
        <v>0</v>
      </c>
      <c r="CJ40" s="86">
        <v>0</v>
      </c>
      <c r="CK40" s="86">
        <f t="shared" si="5"/>
        <v>0</v>
      </c>
      <c r="CL40" s="215">
        <v>0</v>
      </c>
      <c r="CM40" s="215">
        <v>0</v>
      </c>
      <c r="CN40" s="215">
        <v>0</v>
      </c>
      <c r="CO40" s="102">
        <f t="shared" si="6"/>
        <v>0</v>
      </c>
      <c r="CP40" s="86">
        <v>0</v>
      </c>
      <c r="CQ40" s="86">
        <v>0</v>
      </c>
      <c r="CR40" s="86">
        <v>0</v>
      </c>
      <c r="CS40" s="226">
        <v>400000000</v>
      </c>
      <c r="CT40" s="632"/>
      <c r="CU40" s="438"/>
      <c r="CV40" s="492"/>
      <c r="CW40" s="251" t="s">
        <v>211</v>
      </c>
      <c r="CX40" s="259" t="s">
        <v>231</v>
      </c>
      <c r="CY40" s="258" t="s">
        <v>216</v>
      </c>
      <c r="CZ40" s="258" t="s">
        <v>111</v>
      </c>
      <c r="DA40" s="248">
        <v>44972</v>
      </c>
      <c r="DB40" s="253" t="s">
        <v>207</v>
      </c>
      <c r="DC40" s="438"/>
      <c r="DD40" s="438"/>
      <c r="DE40" s="568"/>
      <c r="DF40" s="568"/>
      <c r="DG40" s="86">
        <f t="shared" si="8"/>
        <v>0</v>
      </c>
      <c r="DH40" s="64"/>
      <c r="DI40" s="64"/>
      <c r="DJ40" s="64"/>
      <c r="DK40" s="64"/>
      <c r="DL40" s="117" t="s">
        <v>760</v>
      </c>
    </row>
    <row r="41" spans="1:116" ht="99.75" x14ac:dyDescent="0.25">
      <c r="A41" s="450"/>
      <c r="B41" s="506"/>
      <c r="C41" s="506"/>
      <c r="D41" s="506"/>
      <c r="E41" s="508"/>
      <c r="F41" s="508"/>
      <c r="G41" s="406"/>
      <c r="H41" s="406"/>
      <c r="I41" s="406"/>
      <c r="J41" s="628"/>
      <c r="K41" s="436"/>
      <c r="L41" s="438"/>
      <c r="M41" s="438"/>
      <c r="N41" s="436"/>
      <c r="O41" s="438"/>
      <c r="P41" s="438"/>
      <c r="Q41" s="436"/>
      <c r="R41" s="464"/>
      <c r="S41" s="464"/>
      <c r="T41" s="438"/>
      <c r="U41" s="438"/>
      <c r="V41" s="438"/>
      <c r="W41" s="438"/>
      <c r="X41" s="438"/>
      <c r="Y41" s="438"/>
      <c r="Z41" s="438"/>
      <c r="AA41" s="438"/>
      <c r="AB41" s="438"/>
      <c r="AC41" s="438"/>
      <c r="AD41" s="438"/>
      <c r="AE41" s="438"/>
      <c r="AF41" s="438"/>
      <c r="AG41" s="438"/>
      <c r="AH41" s="438"/>
      <c r="AI41" s="438"/>
      <c r="AJ41" s="464"/>
      <c r="AK41" s="64"/>
      <c r="AL41" s="304"/>
      <c r="AM41" s="304"/>
      <c r="AN41" s="495"/>
      <c r="AO41" s="495"/>
      <c r="AP41" s="495"/>
      <c r="AQ41" s="495"/>
      <c r="AR41" s="438"/>
      <c r="AS41" s="464"/>
      <c r="AT41" s="438"/>
      <c r="AU41" s="64" t="s">
        <v>235</v>
      </c>
      <c r="AV41" s="4" t="s">
        <v>234</v>
      </c>
      <c r="AW41" s="11">
        <v>1</v>
      </c>
      <c r="AX41" s="106">
        <v>0.05</v>
      </c>
      <c r="AY41" s="203">
        <v>0</v>
      </c>
      <c r="AZ41" s="203">
        <v>0.25</v>
      </c>
      <c r="BA41" s="203">
        <v>0.5</v>
      </c>
      <c r="BB41" s="203">
        <v>0.25</v>
      </c>
      <c r="BC41" s="203"/>
      <c r="BD41" s="203"/>
      <c r="BE41" s="203"/>
      <c r="BF41" s="203"/>
      <c r="BG41" s="379">
        <f t="shared" si="0"/>
        <v>0.25</v>
      </c>
      <c r="BH41" s="203"/>
      <c r="BI41" s="203"/>
      <c r="BJ41" s="819"/>
      <c r="BK41" s="819"/>
      <c r="BL41" s="203"/>
      <c r="BM41" s="203"/>
      <c r="BN41" s="108">
        <v>44927</v>
      </c>
      <c r="BO41" s="108">
        <v>45291</v>
      </c>
      <c r="BP41" s="11">
        <v>365</v>
      </c>
      <c r="BQ41" s="81">
        <v>1028736</v>
      </c>
      <c r="BR41" s="81">
        <v>1028736</v>
      </c>
      <c r="BS41" s="11" t="s">
        <v>91</v>
      </c>
      <c r="BT41" s="11" t="s">
        <v>92</v>
      </c>
      <c r="BU41" s="11" t="s">
        <v>184</v>
      </c>
      <c r="BV41" s="111">
        <v>30000000</v>
      </c>
      <c r="BW41" s="111">
        <v>0</v>
      </c>
      <c r="BX41" s="225">
        <f t="shared" si="1"/>
        <v>30000000</v>
      </c>
      <c r="BY41" s="102">
        <v>0</v>
      </c>
      <c r="BZ41" s="102">
        <v>0</v>
      </c>
      <c r="CA41" s="226">
        <f t="shared" si="2"/>
        <v>30000000</v>
      </c>
      <c r="CB41" s="86">
        <v>0</v>
      </c>
      <c r="CC41" s="226">
        <f t="shared" si="3"/>
        <v>30000000</v>
      </c>
      <c r="CD41" s="102">
        <v>0</v>
      </c>
      <c r="CE41" s="102">
        <v>0</v>
      </c>
      <c r="CF41" s="102">
        <v>0</v>
      </c>
      <c r="CG41" s="102">
        <f t="shared" si="4"/>
        <v>0</v>
      </c>
      <c r="CH41" s="86">
        <v>0</v>
      </c>
      <c r="CI41" s="86">
        <v>0</v>
      </c>
      <c r="CJ41" s="86">
        <v>0</v>
      </c>
      <c r="CK41" s="86">
        <f t="shared" si="5"/>
        <v>0</v>
      </c>
      <c r="CL41" s="215">
        <v>0</v>
      </c>
      <c r="CM41" s="215">
        <v>0</v>
      </c>
      <c r="CN41" s="215">
        <v>0</v>
      </c>
      <c r="CO41" s="102">
        <f t="shared" si="6"/>
        <v>0</v>
      </c>
      <c r="CP41" s="86">
        <v>0</v>
      </c>
      <c r="CQ41" s="86">
        <v>0</v>
      </c>
      <c r="CR41" s="86">
        <v>0</v>
      </c>
      <c r="CS41" s="226">
        <f t="shared" si="7"/>
        <v>0</v>
      </c>
      <c r="CT41" s="632"/>
      <c r="CU41" s="438"/>
      <c r="CV41" s="492"/>
      <c r="CW41" s="251" t="s">
        <v>211</v>
      </c>
      <c r="CX41" s="259" t="s">
        <v>231</v>
      </c>
      <c r="CY41" s="258" t="s">
        <v>216</v>
      </c>
      <c r="CZ41" s="258" t="s">
        <v>111</v>
      </c>
      <c r="DA41" s="248">
        <v>44972</v>
      </c>
      <c r="DB41" s="254" t="s">
        <v>236</v>
      </c>
      <c r="DC41" s="438"/>
      <c r="DD41" s="438"/>
      <c r="DE41" s="568"/>
      <c r="DF41" s="568"/>
      <c r="DG41" s="86">
        <f t="shared" si="8"/>
        <v>0</v>
      </c>
      <c r="DH41" s="64"/>
      <c r="DI41" s="64"/>
      <c r="DJ41" s="64"/>
      <c r="DK41" s="64"/>
      <c r="DL41" s="117" t="s">
        <v>720</v>
      </c>
    </row>
    <row r="42" spans="1:116" ht="99.75" x14ac:dyDescent="0.25">
      <c r="A42" s="450"/>
      <c r="B42" s="506"/>
      <c r="C42" s="506"/>
      <c r="D42" s="506"/>
      <c r="E42" s="508"/>
      <c r="F42" s="508"/>
      <c r="G42" s="406"/>
      <c r="H42" s="406"/>
      <c r="I42" s="406"/>
      <c r="J42" s="629"/>
      <c r="K42" s="64" t="s">
        <v>237</v>
      </c>
      <c r="L42" s="64" t="s">
        <v>76</v>
      </c>
      <c r="M42" s="64">
        <v>0</v>
      </c>
      <c r="N42" s="4" t="s">
        <v>238</v>
      </c>
      <c r="O42" s="64"/>
      <c r="P42" s="64" t="s">
        <v>228</v>
      </c>
      <c r="Q42" s="436"/>
      <c r="R42" s="148">
        <v>40</v>
      </c>
      <c r="S42" s="148">
        <v>40</v>
      </c>
      <c r="T42" s="64">
        <v>0</v>
      </c>
      <c r="U42" s="64">
        <v>0</v>
      </c>
      <c r="V42" s="64">
        <v>0</v>
      </c>
      <c r="W42" s="64">
        <f>SUM(T42:V42)</f>
        <v>0</v>
      </c>
      <c r="X42" s="64">
        <v>0</v>
      </c>
      <c r="Y42" s="64">
        <v>0</v>
      </c>
      <c r="Z42" s="64">
        <v>0</v>
      </c>
      <c r="AA42" s="64">
        <f>SUM(X42:Z42)</f>
        <v>0</v>
      </c>
      <c r="AB42" s="64">
        <v>0</v>
      </c>
      <c r="AC42" s="64">
        <v>0</v>
      </c>
      <c r="AD42" s="64">
        <v>0</v>
      </c>
      <c r="AE42" s="64">
        <f>SUM(AB42:AD42)</f>
        <v>0</v>
      </c>
      <c r="AF42" s="64">
        <v>46</v>
      </c>
      <c r="AG42" s="64">
        <v>46</v>
      </c>
      <c r="AH42" s="64">
        <v>46</v>
      </c>
      <c r="AI42" s="64" t="s">
        <v>527</v>
      </c>
      <c r="AJ42" s="148">
        <v>0</v>
      </c>
      <c r="AK42" s="64"/>
      <c r="AL42" s="304">
        <f>100%</f>
        <v>1</v>
      </c>
      <c r="AM42" s="304">
        <f>100%</f>
        <v>1</v>
      </c>
      <c r="AN42" s="495"/>
      <c r="AO42" s="495"/>
      <c r="AP42" s="495"/>
      <c r="AQ42" s="495"/>
      <c r="AR42" s="438"/>
      <c r="AS42" s="464"/>
      <c r="AT42" s="438"/>
      <c r="AU42" s="64" t="s">
        <v>239</v>
      </c>
      <c r="AV42" s="4" t="s">
        <v>234</v>
      </c>
      <c r="AW42" s="11">
        <v>1</v>
      </c>
      <c r="AX42" s="106">
        <v>0.05</v>
      </c>
      <c r="AY42" s="203">
        <v>0</v>
      </c>
      <c r="AZ42" s="203">
        <v>0.3</v>
      </c>
      <c r="BA42" s="203">
        <v>0.6</v>
      </c>
      <c r="BB42" s="203">
        <v>0.1</v>
      </c>
      <c r="BC42" s="203"/>
      <c r="BD42" s="203"/>
      <c r="BE42" s="203"/>
      <c r="BF42" s="203"/>
      <c r="BG42" s="379">
        <f t="shared" si="0"/>
        <v>0.1</v>
      </c>
      <c r="BH42" s="203"/>
      <c r="BI42" s="203"/>
      <c r="BJ42" s="820"/>
      <c r="BK42" s="820"/>
      <c r="BL42" s="203"/>
      <c r="BM42" s="203"/>
      <c r="BN42" s="108">
        <v>44927</v>
      </c>
      <c r="BO42" s="108">
        <v>45291</v>
      </c>
      <c r="BP42" s="11">
        <v>365</v>
      </c>
      <c r="BQ42" s="81">
        <v>1028736</v>
      </c>
      <c r="BR42" s="81">
        <v>1028736</v>
      </c>
      <c r="BS42" s="11" t="s">
        <v>91</v>
      </c>
      <c r="BT42" s="11" t="s">
        <v>92</v>
      </c>
      <c r="BU42" s="11" t="s">
        <v>184</v>
      </c>
      <c r="BV42" s="111">
        <v>100000000</v>
      </c>
      <c r="BW42" s="111">
        <v>0</v>
      </c>
      <c r="BX42" s="225">
        <f t="shared" si="1"/>
        <v>100000000</v>
      </c>
      <c r="BY42" s="157">
        <v>493976000</v>
      </c>
      <c r="BZ42" s="102">
        <v>0</v>
      </c>
      <c r="CA42" s="232">
        <f t="shared" si="2"/>
        <v>593976000</v>
      </c>
      <c r="CB42" s="86">
        <v>0</v>
      </c>
      <c r="CC42" s="226">
        <f t="shared" si="3"/>
        <v>593976000</v>
      </c>
      <c r="CD42" s="102">
        <v>0</v>
      </c>
      <c r="CE42" s="102">
        <v>0</v>
      </c>
      <c r="CF42" s="102">
        <v>0</v>
      </c>
      <c r="CG42" s="102">
        <f t="shared" si="4"/>
        <v>0</v>
      </c>
      <c r="CH42" s="86">
        <v>0</v>
      </c>
      <c r="CI42" s="86">
        <v>0</v>
      </c>
      <c r="CJ42" s="86">
        <v>0</v>
      </c>
      <c r="CK42" s="86">
        <f t="shared" si="5"/>
        <v>0</v>
      </c>
      <c r="CL42" s="215">
        <v>0</v>
      </c>
      <c r="CM42" s="215">
        <v>0</v>
      </c>
      <c r="CN42" s="215">
        <v>0</v>
      </c>
      <c r="CO42" s="102">
        <f t="shared" si="6"/>
        <v>0</v>
      </c>
      <c r="CP42" s="86">
        <v>0</v>
      </c>
      <c r="CQ42" s="86">
        <v>0</v>
      </c>
      <c r="CR42" s="86">
        <v>0</v>
      </c>
      <c r="CS42" s="226">
        <f t="shared" si="7"/>
        <v>0</v>
      </c>
      <c r="CT42" s="632"/>
      <c r="CU42" s="438"/>
      <c r="CV42" s="492"/>
      <c r="CW42" s="251" t="s">
        <v>211</v>
      </c>
      <c r="CX42" s="259" t="s">
        <v>231</v>
      </c>
      <c r="CY42" s="258" t="s">
        <v>216</v>
      </c>
      <c r="CZ42" s="258" t="s">
        <v>111</v>
      </c>
      <c r="DA42" s="248">
        <v>44972</v>
      </c>
      <c r="DB42" s="253" t="s">
        <v>207</v>
      </c>
      <c r="DC42" s="438"/>
      <c r="DD42" s="438"/>
      <c r="DE42" s="568"/>
      <c r="DF42" s="568"/>
      <c r="DG42" s="86">
        <f t="shared" si="8"/>
        <v>0</v>
      </c>
      <c r="DH42" s="64"/>
      <c r="DI42" s="64"/>
      <c r="DJ42" s="64"/>
      <c r="DK42" s="64"/>
      <c r="DL42" s="117" t="s">
        <v>761</v>
      </c>
    </row>
    <row r="43" spans="1:116" ht="53.25" customHeight="1" x14ac:dyDescent="0.25">
      <c r="A43" s="450"/>
      <c r="B43" s="506"/>
      <c r="C43" s="506"/>
      <c r="D43" s="506"/>
      <c r="E43" s="508"/>
      <c r="F43" s="508"/>
      <c r="G43" s="406"/>
      <c r="H43" s="406"/>
      <c r="I43" s="406"/>
      <c r="J43" s="761" t="s">
        <v>794</v>
      </c>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2"/>
      <c r="AL43" s="390">
        <f>SUM(AL31:AL42)/3</f>
        <v>0.79936808846761453</v>
      </c>
      <c r="AM43" s="390">
        <f>SUM(AM31:AM42)/4</f>
        <v>0.86665000000000003</v>
      </c>
      <c r="AN43" s="70"/>
      <c r="AO43" s="70"/>
      <c r="AP43" s="70"/>
      <c r="AQ43" s="70"/>
      <c r="AR43" s="64"/>
      <c r="AS43" s="148"/>
      <c r="AT43" s="64"/>
      <c r="AU43" s="64"/>
      <c r="AV43" s="4"/>
      <c r="AW43" s="11"/>
      <c r="AX43" s="696" t="s">
        <v>788</v>
      </c>
      <c r="AY43" s="697"/>
      <c r="AZ43" s="697"/>
      <c r="BA43" s="697"/>
      <c r="BB43" s="697"/>
      <c r="BC43" s="697"/>
      <c r="BD43" s="697"/>
      <c r="BE43" s="697"/>
      <c r="BF43" s="698"/>
      <c r="BG43" s="380">
        <f>SUM(BG31:BG42)/12</f>
        <v>0.24208333333333332</v>
      </c>
      <c r="BH43" s="699" t="s">
        <v>789</v>
      </c>
      <c r="BI43" s="700"/>
      <c r="BJ43" s="392">
        <f>BJ31</f>
        <v>3403301770</v>
      </c>
      <c r="BK43" s="392">
        <f>BK31</f>
        <v>2786062605</v>
      </c>
      <c r="BL43" s="391">
        <f>BK43/BJ43</f>
        <v>0.81863519408095275</v>
      </c>
      <c r="BM43" s="203"/>
      <c r="BN43" s="108"/>
      <c r="BO43" s="108"/>
      <c r="BP43" s="11"/>
      <c r="BQ43" s="81"/>
      <c r="BR43" s="81"/>
      <c r="BS43" s="11"/>
      <c r="BT43" s="11"/>
      <c r="BU43" s="11"/>
      <c r="BV43" s="111"/>
      <c r="BW43" s="111"/>
      <c r="BX43" s="225"/>
      <c r="BY43" s="157"/>
      <c r="BZ43" s="102"/>
      <c r="CA43" s="232"/>
      <c r="CB43" s="86"/>
      <c r="CC43" s="226"/>
      <c r="CD43" s="102"/>
      <c r="CE43" s="102"/>
      <c r="CF43" s="102"/>
      <c r="CG43" s="102"/>
      <c r="CH43" s="86"/>
      <c r="CI43" s="86"/>
      <c r="CJ43" s="86"/>
      <c r="CK43" s="86"/>
      <c r="CL43" s="215"/>
      <c r="CM43" s="215"/>
      <c r="CN43" s="215"/>
      <c r="CO43" s="102"/>
      <c r="CP43" s="86"/>
      <c r="CQ43" s="86"/>
      <c r="CR43" s="86"/>
      <c r="CS43" s="226"/>
      <c r="CT43" s="371"/>
      <c r="CU43" s="9"/>
      <c r="CV43" s="325"/>
      <c r="CW43" s="372"/>
      <c r="CX43" s="259"/>
      <c r="CY43" s="258"/>
      <c r="CZ43" s="258"/>
      <c r="DA43" s="248"/>
      <c r="DB43" s="61"/>
      <c r="DC43" s="64"/>
      <c r="DD43" s="328"/>
      <c r="DE43" s="173"/>
      <c r="DF43" s="173"/>
      <c r="DG43" s="86"/>
      <c r="DH43" s="64"/>
      <c r="DI43" s="64"/>
      <c r="DJ43" s="64"/>
      <c r="DK43" s="64"/>
      <c r="DL43" s="117"/>
    </row>
    <row r="44" spans="1:116" ht="82.15" customHeight="1" x14ac:dyDescent="0.25">
      <c r="A44" s="450"/>
      <c r="B44" s="506"/>
      <c r="C44" s="506"/>
      <c r="D44" s="506"/>
      <c r="E44" s="508"/>
      <c r="F44" s="508"/>
      <c r="G44" s="406"/>
      <c r="H44" s="406"/>
      <c r="I44" s="406"/>
      <c r="J44" s="437" t="s">
        <v>240</v>
      </c>
      <c r="K44" s="436" t="s">
        <v>241</v>
      </c>
      <c r="L44" s="436" t="s">
        <v>76</v>
      </c>
      <c r="M44" s="438">
        <v>0</v>
      </c>
      <c r="N44" s="436" t="s">
        <v>242</v>
      </c>
      <c r="O44" s="436"/>
      <c r="P44" s="436" t="s">
        <v>228</v>
      </c>
      <c r="Q44" s="436" t="s">
        <v>243</v>
      </c>
      <c r="R44" s="623">
        <v>6</v>
      </c>
      <c r="S44" s="464" t="s">
        <v>120</v>
      </c>
      <c r="T44" s="438" t="s">
        <v>527</v>
      </c>
      <c r="U44" s="438" t="s">
        <v>527</v>
      </c>
      <c r="V44" s="438" t="s">
        <v>527</v>
      </c>
      <c r="W44" s="438" t="s">
        <v>527</v>
      </c>
      <c r="X44" s="438" t="s">
        <v>527</v>
      </c>
      <c r="Y44" s="438" t="s">
        <v>527</v>
      </c>
      <c r="Z44" s="438" t="s">
        <v>527</v>
      </c>
      <c r="AA44" s="438" t="s">
        <v>527</v>
      </c>
      <c r="AB44" s="438" t="s">
        <v>527</v>
      </c>
      <c r="AC44" s="438" t="s">
        <v>527</v>
      </c>
      <c r="AD44" s="438" t="s">
        <v>527</v>
      </c>
      <c r="AE44" s="438" t="s">
        <v>527</v>
      </c>
      <c r="AF44" s="438" t="s">
        <v>527</v>
      </c>
      <c r="AG44" s="438" t="s">
        <v>527</v>
      </c>
      <c r="AH44" s="438" t="s">
        <v>527</v>
      </c>
      <c r="AI44" s="438" t="s">
        <v>527</v>
      </c>
      <c r="AJ44" s="623">
        <v>6</v>
      </c>
      <c r="AK44" s="67"/>
      <c r="AL44" s="282"/>
      <c r="AM44" s="282"/>
      <c r="AN44" s="481" t="s">
        <v>82</v>
      </c>
      <c r="AO44" s="481" t="s">
        <v>194</v>
      </c>
      <c r="AP44" s="481" t="s">
        <v>84</v>
      </c>
      <c r="AQ44" s="481" t="s">
        <v>85</v>
      </c>
      <c r="AR44" s="436" t="s">
        <v>244</v>
      </c>
      <c r="AS44" s="622" t="s">
        <v>245</v>
      </c>
      <c r="AT44" s="436" t="s">
        <v>246</v>
      </c>
      <c r="AU44" s="4" t="s">
        <v>247</v>
      </c>
      <c r="AV44" s="4" t="s">
        <v>248</v>
      </c>
      <c r="AW44" s="4">
        <v>1</v>
      </c>
      <c r="AX44" s="112">
        <v>0.2</v>
      </c>
      <c r="AY44" s="204">
        <v>0.25</v>
      </c>
      <c r="AZ44" s="204">
        <v>0.25</v>
      </c>
      <c r="BA44" s="204">
        <v>0.25</v>
      </c>
      <c r="BB44" s="204">
        <v>0.25</v>
      </c>
      <c r="BC44" s="204"/>
      <c r="BD44" s="204"/>
      <c r="BE44" s="204"/>
      <c r="BF44" s="355"/>
      <c r="BG44" s="379">
        <f t="shared" si="0"/>
        <v>0.25</v>
      </c>
      <c r="BH44" s="355"/>
      <c r="BI44" s="355"/>
      <c r="BJ44" s="649">
        <v>230474580</v>
      </c>
      <c r="BK44" s="649">
        <v>166397440</v>
      </c>
      <c r="BL44" s="682">
        <f>BK44/BJ44</f>
        <v>0.72197740852809011</v>
      </c>
      <c r="BM44" s="204"/>
      <c r="BN44" s="113">
        <v>44927</v>
      </c>
      <c r="BO44" s="113">
        <v>45291</v>
      </c>
      <c r="BP44" s="4">
        <v>365</v>
      </c>
      <c r="BQ44" s="22">
        <v>1028736</v>
      </c>
      <c r="BR44" s="22">
        <v>1028736</v>
      </c>
      <c r="BS44" s="4" t="s">
        <v>91</v>
      </c>
      <c r="BT44" s="4" t="s">
        <v>92</v>
      </c>
      <c r="BU44" s="4" t="s">
        <v>184</v>
      </c>
      <c r="BV44" s="114">
        <v>0</v>
      </c>
      <c r="BW44" s="114">
        <v>0</v>
      </c>
      <c r="BX44" s="225">
        <f t="shared" si="1"/>
        <v>0</v>
      </c>
      <c r="BY44" s="102">
        <v>0</v>
      </c>
      <c r="BZ44" s="102">
        <v>0</v>
      </c>
      <c r="CA44" s="226">
        <f t="shared" si="2"/>
        <v>0</v>
      </c>
      <c r="CB44" s="86">
        <v>0</v>
      </c>
      <c r="CC44" s="226">
        <f t="shared" si="3"/>
        <v>0</v>
      </c>
      <c r="CD44" s="102">
        <v>0</v>
      </c>
      <c r="CE44" s="102">
        <v>0</v>
      </c>
      <c r="CF44" s="102">
        <v>0</v>
      </c>
      <c r="CG44" s="102">
        <f>SUM(CD44:CF44)</f>
        <v>0</v>
      </c>
      <c r="CH44" s="86">
        <v>0</v>
      </c>
      <c r="CI44" s="86">
        <v>0</v>
      </c>
      <c r="CJ44" s="86">
        <v>0</v>
      </c>
      <c r="CK44" s="86">
        <f>SUM(CH44:CJ44)</f>
        <v>0</v>
      </c>
      <c r="CL44" s="215"/>
      <c r="CM44" s="215"/>
      <c r="CN44" s="215"/>
      <c r="CO44" s="102">
        <f>SUM(CL44:CN44)</f>
        <v>0</v>
      </c>
      <c r="CP44" s="86">
        <v>0</v>
      </c>
      <c r="CQ44" s="86">
        <v>0</v>
      </c>
      <c r="CR44" s="86">
        <v>0</v>
      </c>
      <c r="CS44" s="226">
        <f t="shared" si="7"/>
        <v>0</v>
      </c>
      <c r="CT44" s="489" t="s">
        <v>561</v>
      </c>
      <c r="CU44" s="491" t="s">
        <v>244</v>
      </c>
      <c r="CV44" s="493" t="s">
        <v>249</v>
      </c>
      <c r="CW44" s="261" t="s">
        <v>96</v>
      </c>
      <c r="CX44" s="262" t="s">
        <v>97</v>
      </c>
      <c r="CY44" s="262" t="s">
        <v>97</v>
      </c>
      <c r="CZ44" s="262" t="s">
        <v>97</v>
      </c>
      <c r="DA44" s="248" t="s">
        <v>97</v>
      </c>
      <c r="DB44" s="64" t="s">
        <v>250</v>
      </c>
      <c r="DC44" s="438" t="s">
        <v>99</v>
      </c>
      <c r="DD44" s="478" t="s">
        <v>100</v>
      </c>
      <c r="DE44" s="173"/>
      <c r="DF44" s="173" t="s">
        <v>595</v>
      </c>
      <c r="DG44" s="86">
        <f t="shared" si="8"/>
        <v>0</v>
      </c>
      <c r="DH44" s="80">
        <v>0.5</v>
      </c>
      <c r="DI44" s="64" t="s">
        <v>631</v>
      </c>
      <c r="DJ44" s="80">
        <v>0.5</v>
      </c>
      <c r="DK44" s="173" t="s">
        <v>692</v>
      </c>
      <c r="DL44" s="117" t="s">
        <v>692</v>
      </c>
    </row>
    <row r="45" spans="1:116" ht="127.5" customHeight="1" x14ac:dyDescent="0.25">
      <c r="A45" s="450"/>
      <c r="B45" s="506"/>
      <c r="C45" s="506"/>
      <c r="D45" s="506"/>
      <c r="E45" s="508"/>
      <c r="F45" s="508"/>
      <c r="G45" s="406"/>
      <c r="H45" s="406"/>
      <c r="I45" s="406"/>
      <c r="J45" s="482"/>
      <c r="K45" s="438"/>
      <c r="L45" s="436"/>
      <c r="M45" s="438"/>
      <c r="N45" s="438"/>
      <c r="O45" s="438"/>
      <c r="P45" s="438"/>
      <c r="Q45" s="436"/>
      <c r="R45" s="464"/>
      <c r="S45" s="464"/>
      <c r="T45" s="438"/>
      <c r="U45" s="438"/>
      <c r="V45" s="438"/>
      <c r="W45" s="438"/>
      <c r="X45" s="438"/>
      <c r="Y45" s="438"/>
      <c r="Z45" s="438"/>
      <c r="AA45" s="438"/>
      <c r="AB45" s="438"/>
      <c r="AC45" s="438"/>
      <c r="AD45" s="438"/>
      <c r="AE45" s="438"/>
      <c r="AF45" s="438"/>
      <c r="AG45" s="438"/>
      <c r="AH45" s="438"/>
      <c r="AI45" s="438"/>
      <c r="AJ45" s="464"/>
      <c r="AK45" s="64"/>
      <c r="AL45" s="304"/>
      <c r="AM45" s="304"/>
      <c r="AN45" s="438"/>
      <c r="AO45" s="438"/>
      <c r="AP45" s="438"/>
      <c r="AQ45" s="438"/>
      <c r="AR45" s="438"/>
      <c r="AS45" s="464"/>
      <c r="AT45" s="438"/>
      <c r="AU45" s="4" t="s">
        <v>251</v>
      </c>
      <c r="AV45" s="4" t="s">
        <v>252</v>
      </c>
      <c r="AW45" s="13">
        <v>1</v>
      </c>
      <c r="AX45" s="112">
        <v>0.2</v>
      </c>
      <c r="AY45" s="204">
        <v>0</v>
      </c>
      <c r="AZ45" s="204">
        <v>0.5</v>
      </c>
      <c r="BA45" s="204">
        <v>0.25</v>
      </c>
      <c r="BB45" s="204">
        <v>0.25</v>
      </c>
      <c r="BC45" s="204"/>
      <c r="BD45" s="204"/>
      <c r="BE45" s="309"/>
      <c r="BF45" s="356"/>
      <c r="BG45" s="379">
        <f t="shared" si="0"/>
        <v>0.25</v>
      </c>
      <c r="BH45" s="356"/>
      <c r="BI45" s="356"/>
      <c r="BJ45" s="650"/>
      <c r="BK45" s="650"/>
      <c r="BL45" s="683"/>
      <c r="BM45" s="204"/>
      <c r="BN45" s="115">
        <v>44927</v>
      </c>
      <c r="BO45" s="115">
        <v>45291</v>
      </c>
      <c r="BP45" s="4">
        <v>365</v>
      </c>
      <c r="BQ45" s="13">
        <v>1028736</v>
      </c>
      <c r="BR45" s="13">
        <v>1028736</v>
      </c>
      <c r="BS45" s="13" t="s">
        <v>91</v>
      </c>
      <c r="BT45" s="13" t="s">
        <v>92</v>
      </c>
      <c r="BU45" s="13" t="s">
        <v>184</v>
      </c>
      <c r="BV45" s="110">
        <v>37940500</v>
      </c>
      <c r="BW45" s="110">
        <v>0</v>
      </c>
      <c r="BX45" s="225">
        <f t="shared" si="1"/>
        <v>37940500</v>
      </c>
      <c r="BY45" s="158">
        <v>50474580</v>
      </c>
      <c r="BZ45" s="102">
        <v>0</v>
      </c>
      <c r="CA45" s="232">
        <f t="shared" si="2"/>
        <v>88415080</v>
      </c>
      <c r="CB45" s="86">
        <v>0</v>
      </c>
      <c r="CC45" s="226">
        <f t="shared" si="3"/>
        <v>88415080</v>
      </c>
      <c r="CD45" s="102">
        <v>0</v>
      </c>
      <c r="CE45" s="102">
        <v>0</v>
      </c>
      <c r="CF45" s="102">
        <v>0</v>
      </c>
      <c r="CG45" s="102">
        <f>SUM(CD45:CF45)</f>
        <v>0</v>
      </c>
      <c r="CH45" s="86">
        <v>0</v>
      </c>
      <c r="CI45" s="86">
        <v>0</v>
      </c>
      <c r="CJ45" s="86">
        <v>0</v>
      </c>
      <c r="CK45" s="86">
        <f>SUM(CH45:CJ45)</f>
        <v>0</v>
      </c>
      <c r="CL45" s="215"/>
      <c r="CM45" s="215"/>
      <c r="CN45" s="215"/>
      <c r="CO45" s="102">
        <f>SUM(CL45:CN45)</f>
        <v>0</v>
      </c>
      <c r="CP45" s="86">
        <v>0</v>
      </c>
      <c r="CQ45" s="86">
        <v>0</v>
      </c>
      <c r="CR45" s="86">
        <v>52569440</v>
      </c>
      <c r="CS45" s="226">
        <f t="shared" si="7"/>
        <v>52569440</v>
      </c>
      <c r="CT45" s="490"/>
      <c r="CU45" s="492"/>
      <c r="CV45" s="493"/>
      <c r="CW45" s="22" t="s">
        <v>108</v>
      </c>
      <c r="CX45" s="263" t="s">
        <v>253</v>
      </c>
      <c r="CY45" s="261" t="s">
        <v>147</v>
      </c>
      <c r="CZ45" s="66" t="s">
        <v>111</v>
      </c>
      <c r="DA45" s="248">
        <v>44957</v>
      </c>
      <c r="DB45" s="64" t="s">
        <v>254</v>
      </c>
      <c r="DC45" s="438"/>
      <c r="DD45" s="479"/>
      <c r="DE45" s="173" t="s">
        <v>534</v>
      </c>
      <c r="DF45" s="173" t="s">
        <v>582</v>
      </c>
      <c r="DG45" s="86">
        <f t="shared" si="8"/>
        <v>0</v>
      </c>
      <c r="DH45" s="80">
        <v>0.5</v>
      </c>
      <c r="DI45" s="64" t="s">
        <v>632</v>
      </c>
      <c r="DJ45" s="80">
        <v>0.5</v>
      </c>
      <c r="DK45" s="64" t="s">
        <v>693</v>
      </c>
      <c r="DL45" s="117" t="s">
        <v>722</v>
      </c>
    </row>
    <row r="46" spans="1:116" ht="114" x14ac:dyDescent="0.25">
      <c r="A46" s="450"/>
      <c r="B46" s="506"/>
      <c r="C46" s="506"/>
      <c r="D46" s="506"/>
      <c r="E46" s="508"/>
      <c r="F46" s="508"/>
      <c r="G46" s="406"/>
      <c r="H46" s="406"/>
      <c r="I46" s="406"/>
      <c r="J46" s="482"/>
      <c r="K46" s="438"/>
      <c r="L46" s="436"/>
      <c r="M46" s="438"/>
      <c r="N46" s="438"/>
      <c r="O46" s="438"/>
      <c r="P46" s="438"/>
      <c r="Q46" s="438" t="s">
        <v>255</v>
      </c>
      <c r="R46" s="464"/>
      <c r="S46" s="464"/>
      <c r="T46" s="438"/>
      <c r="U46" s="438"/>
      <c r="V46" s="438"/>
      <c r="W46" s="438"/>
      <c r="X46" s="438"/>
      <c r="Y46" s="438"/>
      <c r="Z46" s="438"/>
      <c r="AA46" s="438"/>
      <c r="AB46" s="438"/>
      <c r="AC46" s="438"/>
      <c r="AD46" s="438"/>
      <c r="AE46" s="438"/>
      <c r="AF46" s="438"/>
      <c r="AG46" s="438"/>
      <c r="AH46" s="438"/>
      <c r="AI46" s="438"/>
      <c r="AJ46" s="464"/>
      <c r="AK46" s="64"/>
      <c r="AL46" s="304"/>
      <c r="AM46" s="304">
        <f>AJ44/R44</f>
        <v>1</v>
      </c>
      <c r="AN46" s="438"/>
      <c r="AO46" s="438"/>
      <c r="AP46" s="438"/>
      <c r="AQ46" s="438"/>
      <c r="AR46" s="438"/>
      <c r="AS46" s="464"/>
      <c r="AT46" s="438"/>
      <c r="AU46" s="4" t="s">
        <v>256</v>
      </c>
      <c r="AV46" s="4" t="s">
        <v>257</v>
      </c>
      <c r="AW46" s="13">
        <v>1</v>
      </c>
      <c r="AX46" s="112">
        <v>0.15</v>
      </c>
      <c r="AY46" s="204">
        <v>0.25</v>
      </c>
      <c r="AZ46" s="204">
        <v>0.25</v>
      </c>
      <c r="BA46" s="204">
        <v>0.25</v>
      </c>
      <c r="BB46" s="204">
        <v>0.25</v>
      </c>
      <c r="BC46" s="204"/>
      <c r="BD46" s="204"/>
      <c r="BE46" s="204"/>
      <c r="BF46" s="357"/>
      <c r="BG46" s="379">
        <f t="shared" si="0"/>
        <v>0.25</v>
      </c>
      <c r="BH46" s="357"/>
      <c r="BI46" s="357"/>
      <c r="BJ46" s="650"/>
      <c r="BK46" s="650"/>
      <c r="BL46" s="683"/>
      <c r="BM46" s="204"/>
      <c r="BN46" s="115">
        <v>44947</v>
      </c>
      <c r="BO46" s="115">
        <v>45291</v>
      </c>
      <c r="BP46" s="4">
        <v>365</v>
      </c>
      <c r="BQ46" s="13">
        <v>1028736</v>
      </c>
      <c r="BR46" s="13">
        <v>1028736</v>
      </c>
      <c r="BS46" s="13" t="s">
        <v>91</v>
      </c>
      <c r="BT46" s="13" t="s">
        <v>92</v>
      </c>
      <c r="BU46" s="13" t="s">
        <v>184</v>
      </c>
      <c r="BV46" s="110">
        <f>53003500+63710000+25346000</f>
        <v>142059500</v>
      </c>
      <c r="BW46" s="110">
        <v>0</v>
      </c>
      <c r="BX46" s="225">
        <f t="shared" si="1"/>
        <v>142059500</v>
      </c>
      <c r="BY46" s="102">
        <v>0</v>
      </c>
      <c r="BZ46" s="102">
        <v>0</v>
      </c>
      <c r="CA46" s="226">
        <f t="shared" si="2"/>
        <v>142059500</v>
      </c>
      <c r="CB46" s="86">
        <v>0</v>
      </c>
      <c r="CC46" s="226">
        <f t="shared" si="3"/>
        <v>142059500</v>
      </c>
      <c r="CD46" s="102">
        <v>0</v>
      </c>
      <c r="CE46" s="102">
        <v>0</v>
      </c>
      <c r="CF46" s="102">
        <v>11300000</v>
      </c>
      <c r="CG46" s="102">
        <f>SUM(CD46:CF46)</f>
        <v>11300000</v>
      </c>
      <c r="CH46" s="86">
        <v>11300000</v>
      </c>
      <c r="CI46" s="86">
        <v>11300000</v>
      </c>
      <c r="CJ46" s="86">
        <v>11300000</v>
      </c>
      <c r="CK46" s="86">
        <f>SUM(CH46:CJ46)</f>
        <v>33900000</v>
      </c>
      <c r="CL46" s="215">
        <v>11300000</v>
      </c>
      <c r="CM46" s="215">
        <v>11300000</v>
      </c>
      <c r="CN46" s="215">
        <v>11300000</v>
      </c>
      <c r="CO46" s="102">
        <f>SUM(CL46:CN46)</f>
        <v>33900000</v>
      </c>
      <c r="CP46" s="86">
        <v>11300000</v>
      </c>
      <c r="CQ46" s="86">
        <v>11300000</v>
      </c>
      <c r="CR46" s="86">
        <f>18400000+4200000</f>
        <v>22600000</v>
      </c>
      <c r="CS46" s="226">
        <f>SUM(CP46:CR46)</f>
        <v>45200000</v>
      </c>
      <c r="CT46" s="490"/>
      <c r="CU46" s="492"/>
      <c r="CV46" s="493"/>
      <c r="CW46" s="22" t="s">
        <v>108</v>
      </c>
      <c r="CX46" s="264" t="s">
        <v>258</v>
      </c>
      <c r="CY46" s="262" t="s">
        <v>147</v>
      </c>
      <c r="CZ46" s="66" t="s">
        <v>111</v>
      </c>
      <c r="DA46" s="248">
        <v>44927</v>
      </c>
      <c r="DB46" s="64" t="s">
        <v>259</v>
      </c>
      <c r="DC46" s="438"/>
      <c r="DD46" s="479"/>
      <c r="DE46" s="173" t="s">
        <v>546</v>
      </c>
      <c r="DF46" s="173" t="s">
        <v>596</v>
      </c>
      <c r="DG46" s="86">
        <f t="shared" si="8"/>
        <v>45200000</v>
      </c>
      <c r="DH46" s="80">
        <v>0.5</v>
      </c>
      <c r="DI46" s="64" t="s">
        <v>633</v>
      </c>
      <c r="DJ46" s="80">
        <v>0.5</v>
      </c>
      <c r="DK46" s="64" t="s">
        <v>633</v>
      </c>
      <c r="DL46" s="117" t="s">
        <v>633</v>
      </c>
    </row>
    <row r="47" spans="1:116" ht="171" customHeight="1" x14ac:dyDescent="0.25">
      <c r="A47" s="450"/>
      <c r="B47" s="506"/>
      <c r="C47" s="506"/>
      <c r="D47" s="506"/>
      <c r="E47" s="508"/>
      <c r="F47" s="508"/>
      <c r="G47" s="406"/>
      <c r="H47" s="406"/>
      <c r="I47" s="406"/>
      <c r="J47" s="482"/>
      <c r="K47" s="438"/>
      <c r="L47" s="436"/>
      <c r="M47" s="438"/>
      <c r="N47" s="438"/>
      <c r="O47" s="438"/>
      <c r="P47" s="438"/>
      <c r="Q47" s="438"/>
      <c r="R47" s="464"/>
      <c r="S47" s="464"/>
      <c r="T47" s="438"/>
      <c r="U47" s="438"/>
      <c r="V47" s="438"/>
      <c r="W47" s="438"/>
      <c r="X47" s="438"/>
      <c r="Y47" s="438"/>
      <c r="Z47" s="438"/>
      <c r="AA47" s="438"/>
      <c r="AB47" s="438"/>
      <c r="AC47" s="438"/>
      <c r="AD47" s="438"/>
      <c r="AE47" s="438"/>
      <c r="AF47" s="438"/>
      <c r="AG47" s="438"/>
      <c r="AH47" s="438"/>
      <c r="AI47" s="438"/>
      <c r="AJ47" s="464"/>
      <c r="AK47" s="64"/>
      <c r="AL47" s="304"/>
      <c r="AM47" s="304"/>
      <c r="AN47" s="438"/>
      <c r="AO47" s="438"/>
      <c r="AP47" s="438"/>
      <c r="AQ47" s="438"/>
      <c r="AR47" s="438"/>
      <c r="AS47" s="464"/>
      <c r="AT47" s="438"/>
      <c r="AU47" s="4" t="s">
        <v>260</v>
      </c>
      <c r="AV47" s="4" t="s">
        <v>261</v>
      </c>
      <c r="AW47" s="13">
        <v>1</v>
      </c>
      <c r="AX47" s="112">
        <v>0.1</v>
      </c>
      <c r="AY47" s="204">
        <v>0</v>
      </c>
      <c r="AZ47" s="204">
        <v>0</v>
      </c>
      <c r="BA47" s="204">
        <v>0</v>
      </c>
      <c r="BB47" s="204">
        <v>0</v>
      </c>
      <c r="BC47" s="204"/>
      <c r="BD47" s="204"/>
      <c r="BE47" s="204"/>
      <c r="BF47" s="357"/>
      <c r="BG47" s="379">
        <f t="shared" si="0"/>
        <v>0</v>
      </c>
      <c r="BH47" s="357"/>
      <c r="BI47" s="357"/>
      <c r="BJ47" s="650"/>
      <c r="BK47" s="650"/>
      <c r="BL47" s="683"/>
      <c r="BM47" s="204"/>
      <c r="BN47" s="115">
        <v>44927</v>
      </c>
      <c r="BO47" s="115">
        <v>45291</v>
      </c>
      <c r="BP47" s="4">
        <v>365</v>
      </c>
      <c r="BQ47" s="13">
        <v>0</v>
      </c>
      <c r="BR47" s="13">
        <v>6</v>
      </c>
      <c r="BS47" s="13" t="s">
        <v>91</v>
      </c>
      <c r="BT47" s="13" t="s">
        <v>92</v>
      </c>
      <c r="BU47" s="13" t="s">
        <v>184</v>
      </c>
      <c r="BV47" s="114">
        <v>0</v>
      </c>
      <c r="BW47" s="114">
        <v>0</v>
      </c>
      <c r="BX47" s="225">
        <f t="shared" si="1"/>
        <v>0</v>
      </c>
      <c r="BY47" s="102">
        <v>0</v>
      </c>
      <c r="BZ47" s="102">
        <v>0</v>
      </c>
      <c r="CA47" s="226">
        <f t="shared" si="2"/>
        <v>0</v>
      </c>
      <c r="CB47" s="86">
        <v>0</v>
      </c>
      <c r="CC47" s="226">
        <f t="shared" si="3"/>
        <v>0</v>
      </c>
      <c r="CD47" s="102">
        <v>0</v>
      </c>
      <c r="CE47" s="102">
        <v>0</v>
      </c>
      <c r="CF47" s="102">
        <v>0</v>
      </c>
      <c r="CG47" s="102">
        <f>SUM(CD47:CF47)</f>
        <v>0</v>
      </c>
      <c r="CH47" s="86">
        <v>0</v>
      </c>
      <c r="CI47" s="86">
        <v>0</v>
      </c>
      <c r="CJ47" s="86">
        <v>0</v>
      </c>
      <c r="CK47" s="86">
        <f>SUM(CH47:CJ47)</f>
        <v>0</v>
      </c>
      <c r="CL47" s="215"/>
      <c r="CM47" s="215"/>
      <c r="CN47" s="215"/>
      <c r="CO47" s="102">
        <f>SUM(CL47:CN47)</f>
        <v>0</v>
      </c>
      <c r="CP47" s="86">
        <v>0</v>
      </c>
      <c r="CQ47" s="86">
        <v>0</v>
      </c>
      <c r="CR47" s="86">
        <v>0</v>
      </c>
      <c r="CS47" s="226">
        <f t="shared" si="7"/>
        <v>0</v>
      </c>
      <c r="CT47" s="490"/>
      <c r="CU47" s="492"/>
      <c r="CV47" s="493"/>
      <c r="CW47" s="22" t="s">
        <v>96</v>
      </c>
      <c r="CX47" s="22" t="s">
        <v>97</v>
      </c>
      <c r="CY47" s="22" t="s">
        <v>97</v>
      </c>
      <c r="CZ47" s="22" t="s">
        <v>97</v>
      </c>
      <c r="DA47" s="248" t="s">
        <v>97</v>
      </c>
      <c r="DB47" s="64" t="s">
        <v>262</v>
      </c>
      <c r="DC47" s="438"/>
      <c r="DD47" s="479"/>
      <c r="DE47" s="173" t="s">
        <v>535</v>
      </c>
      <c r="DF47" s="173" t="s">
        <v>597</v>
      </c>
      <c r="DG47" s="86">
        <f t="shared" si="8"/>
        <v>0</v>
      </c>
      <c r="DH47" s="80">
        <v>0</v>
      </c>
      <c r="DI47" s="64" t="s">
        <v>634</v>
      </c>
      <c r="DJ47" s="80">
        <v>0</v>
      </c>
      <c r="DK47" s="64" t="s">
        <v>694</v>
      </c>
      <c r="DL47" s="117" t="s">
        <v>723</v>
      </c>
    </row>
    <row r="48" spans="1:116" ht="115.9" customHeight="1" x14ac:dyDescent="0.25">
      <c r="A48" s="450"/>
      <c r="B48" s="506"/>
      <c r="C48" s="506"/>
      <c r="D48" s="506"/>
      <c r="E48" s="508"/>
      <c r="F48" s="508"/>
      <c r="G48" s="406"/>
      <c r="H48" s="406"/>
      <c r="I48" s="406"/>
      <c r="J48" s="482"/>
      <c r="K48" s="436" t="s">
        <v>263</v>
      </c>
      <c r="L48" s="438" t="s">
        <v>76</v>
      </c>
      <c r="M48" s="438">
        <v>0</v>
      </c>
      <c r="N48" s="436" t="s">
        <v>264</v>
      </c>
      <c r="O48" s="436"/>
      <c r="P48" s="436" t="s">
        <v>228</v>
      </c>
      <c r="Q48" s="438" t="s">
        <v>265</v>
      </c>
      <c r="R48" s="623">
        <v>800</v>
      </c>
      <c r="S48" s="572">
        <f>R48-AJ48</f>
        <v>312</v>
      </c>
      <c r="T48" s="488">
        <v>41</v>
      </c>
      <c r="U48" s="488">
        <v>113</v>
      </c>
      <c r="V48" s="488">
        <v>101</v>
      </c>
      <c r="W48" s="488">
        <f>SUM(T48:V50)</f>
        <v>255</v>
      </c>
      <c r="X48" s="652">
        <v>0</v>
      </c>
      <c r="Y48" s="652">
        <v>0</v>
      </c>
      <c r="Z48" s="652">
        <v>214</v>
      </c>
      <c r="AA48" s="652">
        <f>SUM(X48:Z50)</f>
        <v>214</v>
      </c>
      <c r="AB48" s="488">
        <v>0</v>
      </c>
      <c r="AC48" s="488">
        <v>0</v>
      </c>
      <c r="AD48" s="488">
        <v>214</v>
      </c>
      <c r="AE48" s="488">
        <f>SUM(AB48:AD50)</f>
        <v>214</v>
      </c>
      <c r="AF48" s="572"/>
      <c r="AG48" s="572"/>
      <c r="AH48" s="572"/>
      <c r="AI48" s="572"/>
      <c r="AJ48" s="623">
        <f>199+205+84</f>
        <v>488</v>
      </c>
      <c r="AK48" s="67"/>
      <c r="AL48" s="282">
        <f>0%</f>
        <v>0</v>
      </c>
      <c r="AM48" s="282">
        <f>AJ48/R48</f>
        <v>0.61</v>
      </c>
      <c r="AN48" s="438"/>
      <c r="AO48" s="438"/>
      <c r="AP48" s="438"/>
      <c r="AQ48" s="438"/>
      <c r="AR48" s="438"/>
      <c r="AS48" s="464"/>
      <c r="AT48" s="438"/>
      <c r="AU48" s="4" t="s">
        <v>266</v>
      </c>
      <c r="AV48" s="4" t="s">
        <v>267</v>
      </c>
      <c r="AW48" s="13">
        <v>1</v>
      </c>
      <c r="AX48" s="112">
        <v>0.05</v>
      </c>
      <c r="AY48" s="204">
        <v>0</v>
      </c>
      <c r="AZ48" s="204">
        <v>0</v>
      </c>
      <c r="BA48" s="204">
        <v>0</v>
      </c>
      <c r="BB48" s="204">
        <v>0</v>
      </c>
      <c r="BC48" s="204"/>
      <c r="BD48" s="204"/>
      <c r="BE48" s="204"/>
      <c r="BF48" s="357"/>
      <c r="BG48" s="379">
        <f t="shared" si="0"/>
        <v>0</v>
      </c>
      <c r="BH48" s="357"/>
      <c r="BI48" s="357"/>
      <c r="BJ48" s="650"/>
      <c r="BK48" s="650"/>
      <c r="BL48" s="683"/>
      <c r="BM48" s="204"/>
      <c r="BN48" s="115">
        <v>44927</v>
      </c>
      <c r="BO48" s="115">
        <v>45291</v>
      </c>
      <c r="BP48" s="4">
        <v>365</v>
      </c>
      <c r="BQ48" s="13">
        <v>1028736</v>
      </c>
      <c r="BR48" s="13">
        <v>1028736</v>
      </c>
      <c r="BS48" s="13" t="s">
        <v>91</v>
      </c>
      <c r="BT48" s="13" t="s">
        <v>92</v>
      </c>
      <c r="BU48" s="13" t="s">
        <v>184</v>
      </c>
      <c r="BV48" s="114">
        <v>0</v>
      </c>
      <c r="BW48" s="114">
        <v>0</v>
      </c>
      <c r="BX48" s="225">
        <f t="shared" si="1"/>
        <v>0</v>
      </c>
      <c r="BY48" s="102">
        <v>0</v>
      </c>
      <c r="BZ48" s="102">
        <v>0</v>
      </c>
      <c r="CA48" s="226">
        <f t="shared" si="2"/>
        <v>0</v>
      </c>
      <c r="CB48" s="86">
        <v>0</v>
      </c>
      <c r="CC48" s="226">
        <f t="shared" si="3"/>
        <v>0</v>
      </c>
      <c r="CD48" s="102">
        <v>0</v>
      </c>
      <c r="CE48" s="102">
        <v>0</v>
      </c>
      <c r="CF48" s="102">
        <v>0</v>
      </c>
      <c r="CG48" s="102">
        <f t="shared" ref="CG48:CG85" si="15">SUM(CD48:CF48)</f>
        <v>0</v>
      </c>
      <c r="CH48" s="86">
        <v>0</v>
      </c>
      <c r="CI48" s="86">
        <v>0</v>
      </c>
      <c r="CJ48" s="86">
        <v>0</v>
      </c>
      <c r="CK48" s="86">
        <f t="shared" ref="CK48:CO73" si="16">SUM(CH48:CJ48)</f>
        <v>0</v>
      </c>
      <c r="CL48" s="215"/>
      <c r="CM48" s="215"/>
      <c r="CN48" s="215"/>
      <c r="CO48" s="102">
        <f t="shared" ref="CO48:CO71" si="17">SUM(CL48:CN48)</f>
        <v>0</v>
      </c>
      <c r="CP48" s="86">
        <v>0</v>
      </c>
      <c r="CQ48" s="86">
        <v>0</v>
      </c>
      <c r="CR48" s="86">
        <v>0</v>
      </c>
      <c r="CS48" s="226">
        <f t="shared" si="7"/>
        <v>0</v>
      </c>
      <c r="CT48" s="490"/>
      <c r="CU48" s="492"/>
      <c r="CV48" s="493"/>
      <c r="CW48" s="22" t="s">
        <v>96</v>
      </c>
      <c r="CX48" s="22" t="s">
        <v>97</v>
      </c>
      <c r="CY48" s="22" t="s">
        <v>97</v>
      </c>
      <c r="CZ48" s="22" t="s">
        <v>97</v>
      </c>
      <c r="DA48" s="248" t="s">
        <v>97</v>
      </c>
      <c r="DB48" s="64" t="s">
        <v>268</v>
      </c>
      <c r="DC48" s="438"/>
      <c r="DD48" s="479"/>
      <c r="DE48" s="173"/>
      <c r="DF48" s="173" t="s">
        <v>597</v>
      </c>
      <c r="DG48" s="86">
        <f t="shared" si="8"/>
        <v>0</v>
      </c>
      <c r="DH48" s="80">
        <v>0</v>
      </c>
      <c r="DI48" s="64" t="s">
        <v>635</v>
      </c>
      <c r="DJ48" s="80">
        <v>0</v>
      </c>
      <c r="DK48" s="173" t="s">
        <v>724</v>
      </c>
      <c r="DL48" s="117" t="s">
        <v>725</v>
      </c>
    </row>
    <row r="49" spans="1:116" ht="71.25" x14ac:dyDescent="0.25">
      <c r="A49" s="450"/>
      <c r="B49" s="506"/>
      <c r="C49" s="506"/>
      <c r="D49" s="506"/>
      <c r="E49" s="508"/>
      <c r="F49" s="508"/>
      <c r="G49" s="406"/>
      <c r="H49" s="406"/>
      <c r="I49" s="406"/>
      <c r="J49" s="482"/>
      <c r="K49" s="438"/>
      <c r="L49" s="438"/>
      <c r="M49" s="438"/>
      <c r="N49" s="438"/>
      <c r="O49" s="438"/>
      <c r="P49" s="438"/>
      <c r="Q49" s="438"/>
      <c r="R49" s="464"/>
      <c r="S49" s="464"/>
      <c r="T49" s="438"/>
      <c r="U49" s="438"/>
      <c r="V49" s="438"/>
      <c r="W49" s="438"/>
      <c r="X49" s="438"/>
      <c r="Y49" s="438"/>
      <c r="Z49" s="438"/>
      <c r="AA49" s="438"/>
      <c r="AB49" s="438"/>
      <c r="AC49" s="438"/>
      <c r="AD49" s="438"/>
      <c r="AE49" s="438"/>
      <c r="AF49" s="464"/>
      <c r="AG49" s="464"/>
      <c r="AH49" s="464"/>
      <c r="AI49" s="464"/>
      <c r="AJ49" s="464"/>
      <c r="AK49" s="64"/>
      <c r="AL49" s="304"/>
      <c r="AM49" s="304"/>
      <c r="AN49" s="438"/>
      <c r="AO49" s="438"/>
      <c r="AP49" s="438"/>
      <c r="AQ49" s="438"/>
      <c r="AR49" s="438"/>
      <c r="AS49" s="464"/>
      <c r="AT49" s="438"/>
      <c r="AU49" s="4" t="s">
        <v>269</v>
      </c>
      <c r="AV49" s="4" t="s">
        <v>270</v>
      </c>
      <c r="AW49" s="13">
        <v>1</v>
      </c>
      <c r="AX49" s="112">
        <v>0.2</v>
      </c>
      <c r="AY49" s="204">
        <v>0</v>
      </c>
      <c r="AZ49" s="204">
        <v>0.5</v>
      </c>
      <c r="BA49" s="204">
        <v>0.5</v>
      </c>
      <c r="BB49" s="204">
        <v>0</v>
      </c>
      <c r="BC49" s="204"/>
      <c r="BD49" s="204"/>
      <c r="BE49" s="204"/>
      <c r="BF49" s="357"/>
      <c r="BG49" s="379">
        <f t="shared" si="0"/>
        <v>0</v>
      </c>
      <c r="BH49" s="357"/>
      <c r="BI49" s="357"/>
      <c r="BJ49" s="650"/>
      <c r="BK49" s="650"/>
      <c r="BL49" s="683"/>
      <c r="BM49" s="204"/>
      <c r="BN49" s="115">
        <v>44927</v>
      </c>
      <c r="BO49" s="115">
        <v>45291</v>
      </c>
      <c r="BP49" s="4">
        <v>365</v>
      </c>
      <c r="BQ49" s="13">
        <v>1028736</v>
      </c>
      <c r="BR49" s="13">
        <v>1028736</v>
      </c>
      <c r="BS49" s="13" t="s">
        <v>91</v>
      </c>
      <c r="BT49" s="13" t="s">
        <v>92</v>
      </c>
      <c r="BU49" s="13" t="s">
        <v>184</v>
      </c>
      <c r="BV49" s="114">
        <v>0</v>
      </c>
      <c r="BW49" s="114">
        <v>0</v>
      </c>
      <c r="BX49" s="225">
        <f t="shared" si="1"/>
        <v>0</v>
      </c>
      <c r="BY49" s="102">
        <v>0</v>
      </c>
      <c r="BZ49" s="102">
        <v>0</v>
      </c>
      <c r="CA49" s="226">
        <f t="shared" si="2"/>
        <v>0</v>
      </c>
      <c r="CB49" s="86">
        <v>0</v>
      </c>
      <c r="CC49" s="226">
        <f t="shared" si="3"/>
        <v>0</v>
      </c>
      <c r="CD49" s="102">
        <v>0</v>
      </c>
      <c r="CE49" s="102">
        <v>0</v>
      </c>
      <c r="CF49" s="102">
        <v>0</v>
      </c>
      <c r="CG49" s="102">
        <f t="shared" si="15"/>
        <v>0</v>
      </c>
      <c r="CH49" s="86">
        <v>0</v>
      </c>
      <c r="CI49" s="86">
        <v>0</v>
      </c>
      <c r="CJ49" s="86">
        <v>0</v>
      </c>
      <c r="CK49" s="86">
        <f t="shared" si="16"/>
        <v>0</v>
      </c>
      <c r="CL49" s="215"/>
      <c r="CM49" s="215"/>
      <c r="CN49" s="215"/>
      <c r="CO49" s="102">
        <f t="shared" si="17"/>
        <v>0</v>
      </c>
      <c r="CP49" s="86">
        <v>0</v>
      </c>
      <c r="CQ49" s="86">
        <v>0</v>
      </c>
      <c r="CR49" s="86">
        <v>0</v>
      </c>
      <c r="CS49" s="226">
        <f t="shared" si="7"/>
        <v>0</v>
      </c>
      <c r="CT49" s="490"/>
      <c r="CU49" s="492"/>
      <c r="CV49" s="493"/>
      <c r="CW49" s="22" t="s">
        <v>96</v>
      </c>
      <c r="CX49" s="22" t="s">
        <v>97</v>
      </c>
      <c r="CY49" s="22" t="s">
        <v>97</v>
      </c>
      <c r="CZ49" s="22" t="s">
        <v>97</v>
      </c>
      <c r="DA49" s="248" t="s">
        <v>97</v>
      </c>
      <c r="DB49" s="64" t="s">
        <v>271</v>
      </c>
      <c r="DC49" s="438"/>
      <c r="DD49" s="479"/>
      <c r="DE49" s="173"/>
      <c r="DF49" s="173" t="s">
        <v>582</v>
      </c>
      <c r="DG49" s="86">
        <f t="shared" si="8"/>
        <v>0</v>
      </c>
      <c r="DH49" s="80">
        <v>0</v>
      </c>
      <c r="DI49" s="64" t="s">
        <v>636</v>
      </c>
      <c r="DJ49" s="80">
        <v>0</v>
      </c>
      <c r="DK49" s="64" t="s">
        <v>695</v>
      </c>
      <c r="DL49" s="117" t="s">
        <v>726</v>
      </c>
    </row>
    <row r="50" spans="1:116" ht="42.75" x14ac:dyDescent="0.25">
      <c r="A50" s="450"/>
      <c r="B50" s="506"/>
      <c r="C50" s="506"/>
      <c r="D50" s="506"/>
      <c r="E50" s="508"/>
      <c r="F50" s="508"/>
      <c r="G50" s="406"/>
      <c r="H50" s="406"/>
      <c r="I50" s="406"/>
      <c r="J50" s="482"/>
      <c r="K50" s="438"/>
      <c r="L50" s="438"/>
      <c r="M50" s="438"/>
      <c r="N50" s="438"/>
      <c r="O50" s="438"/>
      <c r="P50" s="438"/>
      <c r="Q50" s="438"/>
      <c r="R50" s="464"/>
      <c r="S50" s="464"/>
      <c r="T50" s="438"/>
      <c r="U50" s="438"/>
      <c r="V50" s="438"/>
      <c r="W50" s="438"/>
      <c r="X50" s="438"/>
      <c r="Y50" s="438"/>
      <c r="Z50" s="438"/>
      <c r="AA50" s="438"/>
      <c r="AB50" s="438"/>
      <c r="AC50" s="438"/>
      <c r="AD50" s="438"/>
      <c r="AE50" s="438"/>
      <c r="AF50" s="464"/>
      <c r="AG50" s="464"/>
      <c r="AH50" s="464"/>
      <c r="AI50" s="464"/>
      <c r="AJ50" s="464"/>
      <c r="AK50" s="64"/>
      <c r="AL50" s="304"/>
      <c r="AM50" s="304"/>
      <c r="AN50" s="438"/>
      <c r="AO50" s="438"/>
      <c r="AP50" s="438"/>
      <c r="AQ50" s="438"/>
      <c r="AR50" s="438"/>
      <c r="AS50" s="464"/>
      <c r="AT50" s="438"/>
      <c r="AU50" s="4" t="s">
        <v>272</v>
      </c>
      <c r="AV50" s="4" t="s">
        <v>273</v>
      </c>
      <c r="AW50" s="13">
        <v>1</v>
      </c>
      <c r="AX50" s="112">
        <v>0.1</v>
      </c>
      <c r="AY50" s="204">
        <v>0</v>
      </c>
      <c r="AZ50" s="204">
        <v>0</v>
      </c>
      <c r="BA50" s="204">
        <v>1</v>
      </c>
      <c r="BB50" s="204">
        <v>0</v>
      </c>
      <c r="BC50" s="204"/>
      <c r="BD50" s="204"/>
      <c r="BE50" s="204"/>
      <c r="BF50" s="358"/>
      <c r="BG50" s="379">
        <f t="shared" si="0"/>
        <v>0</v>
      </c>
      <c r="BH50" s="358"/>
      <c r="BI50" s="358"/>
      <c r="BJ50" s="651"/>
      <c r="BK50" s="651"/>
      <c r="BL50" s="684"/>
      <c r="BM50" s="204"/>
      <c r="BN50" s="115">
        <v>44927</v>
      </c>
      <c r="BO50" s="115">
        <v>45291</v>
      </c>
      <c r="BP50" s="4">
        <v>365</v>
      </c>
      <c r="BQ50" s="13">
        <v>1028736</v>
      </c>
      <c r="BR50" s="13">
        <v>1028736</v>
      </c>
      <c r="BS50" s="13" t="s">
        <v>91</v>
      </c>
      <c r="BT50" s="13" t="s">
        <v>92</v>
      </c>
      <c r="BU50" s="13" t="s">
        <v>184</v>
      </c>
      <c r="BV50" s="114">
        <v>0</v>
      </c>
      <c r="BW50" s="114">
        <v>0</v>
      </c>
      <c r="BX50" s="225">
        <f t="shared" si="1"/>
        <v>0</v>
      </c>
      <c r="BY50" s="102">
        <v>0</v>
      </c>
      <c r="BZ50" s="102">
        <v>0</v>
      </c>
      <c r="CA50" s="226">
        <f t="shared" si="2"/>
        <v>0</v>
      </c>
      <c r="CB50" s="86">
        <v>0</v>
      </c>
      <c r="CC50" s="226">
        <f t="shared" si="3"/>
        <v>0</v>
      </c>
      <c r="CD50" s="102">
        <v>0</v>
      </c>
      <c r="CE50" s="102">
        <v>0</v>
      </c>
      <c r="CF50" s="102">
        <v>0</v>
      </c>
      <c r="CG50" s="102">
        <f t="shared" si="15"/>
        <v>0</v>
      </c>
      <c r="CH50" s="86">
        <v>0</v>
      </c>
      <c r="CI50" s="86">
        <v>0</v>
      </c>
      <c r="CJ50" s="86">
        <v>0</v>
      </c>
      <c r="CK50" s="86">
        <f t="shared" si="16"/>
        <v>0</v>
      </c>
      <c r="CL50" s="215"/>
      <c r="CM50" s="215"/>
      <c r="CN50" s="215"/>
      <c r="CO50" s="102">
        <f t="shared" si="17"/>
        <v>0</v>
      </c>
      <c r="CP50" s="86">
        <v>0</v>
      </c>
      <c r="CQ50" s="86">
        <v>0</v>
      </c>
      <c r="CR50" s="86">
        <v>0</v>
      </c>
      <c r="CS50" s="226">
        <f t="shared" si="7"/>
        <v>0</v>
      </c>
      <c r="CT50" s="490"/>
      <c r="CU50" s="492"/>
      <c r="CV50" s="494"/>
      <c r="CW50" s="22" t="s">
        <v>96</v>
      </c>
      <c r="CX50" s="22" t="s">
        <v>97</v>
      </c>
      <c r="CY50" s="22" t="s">
        <v>97</v>
      </c>
      <c r="CZ50" s="22" t="s">
        <v>97</v>
      </c>
      <c r="DA50" s="248" t="s">
        <v>97</v>
      </c>
      <c r="DB50" s="64" t="s">
        <v>274</v>
      </c>
      <c r="DC50" s="438"/>
      <c r="DD50" s="480"/>
      <c r="DE50" s="173"/>
      <c r="DF50" s="173" t="s">
        <v>582</v>
      </c>
      <c r="DG50" s="86">
        <f t="shared" si="8"/>
        <v>0</v>
      </c>
      <c r="DH50" s="80">
        <v>0</v>
      </c>
      <c r="DI50" s="64" t="s">
        <v>635</v>
      </c>
      <c r="DJ50" s="80">
        <v>0</v>
      </c>
      <c r="DK50" s="64"/>
      <c r="DL50" s="117"/>
    </row>
    <row r="51" spans="1:116" ht="45" customHeight="1" x14ac:dyDescent="0.25">
      <c r="A51" s="450"/>
      <c r="B51" s="506"/>
      <c r="C51" s="506"/>
      <c r="D51" s="506"/>
      <c r="E51" s="508"/>
      <c r="F51" s="508"/>
      <c r="G51" s="406"/>
      <c r="H51" s="406"/>
      <c r="I51" s="406"/>
      <c r="J51" s="763" t="s">
        <v>795</v>
      </c>
      <c r="K51" s="764"/>
      <c r="L51" s="764"/>
      <c r="M51" s="764"/>
      <c r="N51" s="764"/>
      <c r="O51" s="764"/>
      <c r="P51" s="764"/>
      <c r="Q51" s="764"/>
      <c r="R51" s="764"/>
      <c r="S51" s="764"/>
      <c r="T51" s="764"/>
      <c r="U51" s="764"/>
      <c r="V51" s="764"/>
      <c r="W51" s="764"/>
      <c r="X51" s="764"/>
      <c r="Y51" s="765"/>
      <c r="Z51" s="64"/>
      <c r="AA51" s="64"/>
      <c r="AB51" s="64"/>
      <c r="AC51" s="64"/>
      <c r="AD51" s="64"/>
      <c r="AE51" s="64"/>
      <c r="AF51" s="716"/>
      <c r="AG51" s="717"/>
      <c r="AH51" s="717"/>
      <c r="AI51" s="717"/>
      <c r="AJ51" s="718"/>
      <c r="AK51" s="64"/>
      <c r="AL51" s="766">
        <f>AL48</f>
        <v>0</v>
      </c>
      <c r="AM51" s="766">
        <f>SUM(AM44:AM50)/(2)</f>
        <v>0.80499999999999994</v>
      </c>
      <c r="AN51" s="64"/>
      <c r="AO51" s="64"/>
      <c r="AP51" s="64"/>
      <c r="AQ51" s="64"/>
      <c r="AR51" s="64"/>
      <c r="AS51" s="148"/>
      <c r="AT51" s="64"/>
      <c r="AU51" s="4"/>
      <c r="AV51" s="4"/>
      <c r="AW51" s="13"/>
      <c r="AX51" s="719" t="s">
        <v>788</v>
      </c>
      <c r="AY51" s="720"/>
      <c r="AZ51" s="720"/>
      <c r="BA51" s="720"/>
      <c r="BB51" s="720"/>
      <c r="BC51" s="720"/>
      <c r="BD51" s="720"/>
      <c r="BE51" s="720"/>
      <c r="BF51" s="721"/>
      <c r="BG51" s="380">
        <f>SUM(BG44:BG50)/7</f>
        <v>0.10714285714285714</v>
      </c>
      <c r="BH51" s="722" t="s">
        <v>789</v>
      </c>
      <c r="BI51" s="723"/>
      <c r="BJ51" s="394">
        <f>BJ44</f>
        <v>230474580</v>
      </c>
      <c r="BK51" s="394">
        <f>BK44</f>
        <v>166397440</v>
      </c>
      <c r="BL51" s="393">
        <f>BK51/BJ51</f>
        <v>0.72197740852809011</v>
      </c>
      <c r="BM51" s="204"/>
      <c r="BN51" s="115"/>
      <c r="BO51" s="115"/>
      <c r="BP51" s="4"/>
      <c r="BQ51" s="13"/>
      <c r="BR51" s="13"/>
      <c r="BS51" s="13"/>
      <c r="BT51" s="13"/>
      <c r="BU51" s="13"/>
      <c r="BV51" s="114"/>
      <c r="BW51" s="114"/>
      <c r="BX51" s="225"/>
      <c r="BY51" s="102"/>
      <c r="BZ51" s="102"/>
      <c r="CA51" s="226"/>
      <c r="CB51" s="86"/>
      <c r="CC51" s="226"/>
      <c r="CD51" s="102"/>
      <c r="CE51" s="102"/>
      <c r="CF51" s="102"/>
      <c r="CG51" s="102"/>
      <c r="CH51" s="86"/>
      <c r="CI51" s="86"/>
      <c r="CJ51" s="86"/>
      <c r="CK51" s="86"/>
      <c r="CL51" s="215"/>
      <c r="CM51" s="215"/>
      <c r="CN51" s="215"/>
      <c r="CO51" s="102"/>
      <c r="CP51" s="86"/>
      <c r="CQ51" s="86"/>
      <c r="CR51" s="86"/>
      <c r="CS51" s="226"/>
      <c r="CT51" s="373"/>
      <c r="CU51" s="22"/>
      <c r="CV51" s="325"/>
      <c r="CW51" s="22"/>
      <c r="CX51" s="22"/>
      <c r="CY51" s="22"/>
      <c r="CZ51" s="22"/>
      <c r="DA51" s="248"/>
      <c r="DB51" s="64"/>
      <c r="DC51" s="329"/>
      <c r="DD51" s="329"/>
      <c r="DE51" s="173"/>
      <c r="DF51" s="173"/>
      <c r="DG51" s="86"/>
      <c r="DH51" s="80"/>
      <c r="DI51" s="64"/>
      <c r="DJ51" s="80"/>
      <c r="DK51" s="64"/>
      <c r="DL51" s="117"/>
    </row>
    <row r="52" spans="1:116" ht="85.9" customHeight="1" x14ac:dyDescent="0.25">
      <c r="A52" s="450"/>
      <c r="B52" s="506"/>
      <c r="C52" s="506"/>
      <c r="D52" s="506"/>
      <c r="E52" s="508"/>
      <c r="F52" s="508"/>
      <c r="G52" s="406"/>
      <c r="H52" s="406"/>
      <c r="I52" s="406"/>
      <c r="J52" s="437" t="s">
        <v>275</v>
      </c>
      <c r="K52" s="436" t="s">
        <v>276</v>
      </c>
      <c r="L52" s="436" t="s">
        <v>76</v>
      </c>
      <c r="M52" s="436">
        <v>0</v>
      </c>
      <c r="N52" s="436" t="s">
        <v>277</v>
      </c>
      <c r="O52" s="436"/>
      <c r="P52" s="436" t="s">
        <v>80</v>
      </c>
      <c r="Q52" s="487" t="s">
        <v>278</v>
      </c>
      <c r="R52" s="565">
        <v>1</v>
      </c>
      <c r="S52" s="565" t="s">
        <v>120</v>
      </c>
      <c r="T52" s="436" t="s">
        <v>527</v>
      </c>
      <c r="U52" s="436" t="s">
        <v>527</v>
      </c>
      <c r="V52" s="436" t="s">
        <v>527</v>
      </c>
      <c r="W52" s="436" t="s">
        <v>527</v>
      </c>
      <c r="X52" s="438" t="s">
        <v>527</v>
      </c>
      <c r="Y52" s="438" t="s">
        <v>527</v>
      </c>
      <c r="Z52" s="438" t="s">
        <v>527</v>
      </c>
      <c r="AA52" s="438" t="s">
        <v>527</v>
      </c>
      <c r="AB52" s="436" t="s">
        <v>527</v>
      </c>
      <c r="AC52" s="436" t="s">
        <v>527</v>
      </c>
      <c r="AD52" s="436" t="s">
        <v>527</v>
      </c>
      <c r="AE52" s="436" t="s">
        <v>527</v>
      </c>
      <c r="AF52" s="436" t="s">
        <v>527</v>
      </c>
      <c r="AG52" s="436" t="s">
        <v>527</v>
      </c>
      <c r="AH52" s="436" t="s">
        <v>527</v>
      </c>
      <c r="AI52" s="436" t="s">
        <v>527</v>
      </c>
      <c r="AJ52" s="565">
        <v>1</v>
      </c>
      <c r="AK52" s="4"/>
      <c r="AL52" s="282"/>
      <c r="AM52" s="282"/>
      <c r="AN52" s="436" t="s">
        <v>82</v>
      </c>
      <c r="AO52" s="436" t="s">
        <v>279</v>
      </c>
      <c r="AP52" s="436" t="s">
        <v>84</v>
      </c>
      <c r="AQ52" s="436" t="s">
        <v>85</v>
      </c>
      <c r="AR52" s="486" t="s">
        <v>280</v>
      </c>
      <c r="AS52" s="464" t="s">
        <v>281</v>
      </c>
      <c r="AT52" s="486" t="s">
        <v>282</v>
      </c>
      <c r="AU52" s="26" t="s">
        <v>283</v>
      </c>
      <c r="AV52" s="82" t="s">
        <v>284</v>
      </c>
      <c r="AW52" s="82">
        <v>1</v>
      </c>
      <c r="AX52" s="83">
        <v>0.05</v>
      </c>
      <c r="AY52" s="205">
        <v>0</v>
      </c>
      <c r="AZ52" s="205">
        <v>1</v>
      </c>
      <c r="BA52" s="205">
        <v>0</v>
      </c>
      <c r="BB52" s="205">
        <v>0</v>
      </c>
      <c r="BC52" s="205"/>
      <c r="BD52" s="205"/>
      <c r="BE52" s="205"/>
      <c r="BF52" s="359"/>
      <c r="BG52" s="379">
        <f t="shared" si="0"/>
        <v>0</v>
      </c>
      <c r="BH52" s="359"/>
      <c r="BI52" s="359"/>
      <c r="BJ52" s="685">
        <v>75900000</v>
      </c>
      <c r="BK52" s="685">
        <v>72600000</v>
      </c>
      <c r="BL52" s="688">
        <f>BK52/BJ52</f>
        <v>0.95652173913043481</v>
      </c>
      <c r="BM52" s="205"/>
      <c r="BN52" s="84">
        <v>44927</v>
      </c>
      <c r="BO52" s="84">
        <v>45291</v>
      </c>
      <c r="BP52" s="82">
        <v>365</v>
      </c>
      <c r="BQ52" s="66">
        <v>10345</v>
      </c>
      <c r="BR52" s="66">
        <v>0</v>
      </c>
      <c r="BS52" s="26" t="s">
        <v>285</v>
      </c>
      <c r="BT52" s="26" t="s">
        <v>286</v>
      </c>
      <c r="BU52" s="26" t="s">
        <v>184</v>
      </c>
      <c r="BV52" s="114">
        <v>0</v>
      </c>
      <c r="BW52" s="114">
        <v>0</v>
      </c>
      <c r="BX52" s="225">
        <f t="shared" si="1"/>
        <v>0</v>
      </c>
      <c r="BY52" s="102">
        <v>0</v>
      </c>
      <c r="BZ52" s="102">
        <v>0</v>
      </c>
      <c r="CA52" s="226">
        <f t="shared" si="2"/>
        <v>0</v>
      </c>
      <c r="CB52" s="86">
        <v>0</v>
      </c>
      <c r="CC52" s="226">
        <f t="shared" si="3"/>
        <v>0</v>
      </c>
      <c r="CD52" s="102">
        <v>0</v>
      </c>
      <c r="CE52" s="102">
        <v>0</v>
      </c>
      <c r="CF52" s="102">
        <v>0</v>
      </c>
      <c r="CG52" s="102">
        <f t="shared" si="15"/>
        <v>0</v>
      </c>
      <c r="CH52" s="86">
        <v>0</v>
      </c>
      <c r="CI52" s="86">
        <v>0</v>
      </c>
      <c r="CJ52" s="86">
        <v>0</v>
      </c>
      <c r="CK52" s="86">
        <f t="shared" si="16"/>
        <v>0</v>
      </c>
      <c r="CL52" s="86">
        <v>0</v>
      </c>
      <c r="CM52" s="86">
        <v>0</v>
      </c>
      <c r="CN52" s="86">
        <v>0</v>
      </c>
      <c r="CO52" s="102">
        <f t="shared" si="17"/>
        <v>0</v>
      </c>
      <c r="CP52" s="86">
        <v>0</v>
      </c>
      <c r="CQ52" s="86">
        <v>0</v>
      </c>
      <c r="CR52" s="86">
        <v>0</v>
      </c>
      <c r="CS52" s="226">
        <f t="shared" si="7"/>
        <v>0</v>
      </c>
      <c r="CT52" s="624" t="s">
        <v>94</v>
      </c>
      <c r="CU52" s="486" t="s">
        <v>280</v>
      </c>
      <c r="CV52" s="653" t="s">
        <v>287</v>
      </c>
      <c r="CW52" s="66" t="s">
        <v>96</v>
      </c>
      <c r="CX52" s="66" t="s">
        <v>219</v>
      </c>
      <c r="CY52" s="66" t="s">
        <v>219</v>
      </c>
      <c r="CZ52" s="66" t="s">
        <v>219</v>
      </c>
      <c r="DA52" s="248" t="s">
        <v>219</v>
      </c>
      <c r="DB52" s="66" t="s">
        <v>288</v>
      </c>
      <c r="DC52" s="479" t="s">
        <v>99</v>
      </c>
      <c r="DD52" s="653" t="s">
        <v>100</v>
      </c>
      <c r="DE52" s="173" t="s">
        <v>549</v>
      </c>
      <c r="DF52" s="173" t="s">
        <v>598</v>
      </c>
      <c r="DG52" s="86">
        <f t="shared" si="8"/>
        <v>0</v>
      </c>
      <c r="DH52" s="80">
        <v>1</v>
      </c>
      <c r="DI52" s="64" t="s">
        <v>620</v>
      </c>
      <c r="DJ52" s="80">
        <v>1</v>
      </c>
      <c r="DK52" s="64" t="s">
        <v>696</v>
      </c>
      <c r="DL52" s="117" t="s">
        <v>696</v>
      </c>
    </row>
    <row r="53" spans="1:116" ht="87" customHeight="1" x14ac:dyDescent="0.25">
      <c r="A53" s="450"/>
      <c r="B53" s="506"/>
      <c r="C53" s="506"/>
      <c r="D53" s="506"/>
      <c r="E53" s="508"/>
      <c r="F53" s="508"/>
      <c r="G53" s="406"/>
      <c r="H53" s="406"/>
      <c r="I53" s="406"/>
      <c r="J53" s="437"/>
      <c r="K53" s="436"/>
      <c r="L53" s="436"/>
      <c r="M53" s="436"/>
      <c r="N53" s="436"/>
      <c r="O53" s="436"/>
      <c r="P53" s="436"/>
      <c r="Q53" s="487"/>
      <c r="R53" s="565"/>
      <c r="S53" s="565"/>
      <c r="T53" s="436"/>
      <c r="U53" s="436"/>
      <c r="V53" s="436"/>
      <c r="W53" s="436"/>
      <c r="X53" s="438"/>
      <c r="Y53" s="438"/>
      <c r="Z53" s="438"/>
      <c r="AA53" s="438"/>
      <c r="AB53" s="436"/>
      <c r="AC53" s="436"/>
      <c r="AD53" s="436"/>
      <c r="AE53" s="436"/>
      <c r="AF53" s="436"/>
      <c r="AG53" s="436"/>
      <c r="AH53" s="436"/>
      <c r="AI53" s="436"/>
      <c r="AJ53" s="565"/>
      <c r="AK53" s="4"/>
      <c r="AL53" s="282"/>
      <c r="AM53" s="282">
        <f>AJ52/R52</f>
        <v>1</v>
      </c>
      <c r="AN53" s="436"/>
      <c r="AO53" s="436"/>
      <c r="AP53" s="436"/>
      <c r="AQ53" s="436"/>
      <c r="AR53" s="486"/>
      <c r="AS53" s="464"/>
      <c r="AT53" s="486"/>
      <c r="AU53" s="26" t="s">
        <v>289</v>
      </c>
      <c r="AV53" s="82" t="s">
        <v>290</v>
      </c>
      <c r="AW53" s="82">
        <v>1</v>
      </c>
      <c r="AX53" s="83">
        <v>0.15</v>
      </c>
      <c r="AY53" s="205">
        <v>0.25</v>
      </c>
      <c r="AZ53" s="205">
        <v>0.25</v>
      </c>
      <c r="BA53" s="205">
        <v>0.25</v>
      </c>
      <c r="BB53" s="205">
        <v>0.25</v>
      </c>
      <c r="BC53" s="205"/>
      <c r="BD53" s="205"/>
      <c r="BE53" s="205"/>
      <c r="BF53" s="360"/>
      <c r="BG53" s="379">
        <f t="shared" si="0"/>
        <v>0.25</v>
      </c>
      <c r="BH53" s="360"/>
      <c r="BI53" s="360"/>
      <c r="BJ53" s="686"/>
      <c r="BK53" s="686"/>
      <c r="BL53" s="689"/>
      <c r="BM53" s="205"/>
      <c r="BN53" s="84">
        <v>44927</v>
      </c>
      <c r="BO53" s="84">
        <v>45291</v>
      </c>
      <c r="BP53" s="82">
        <v>365</v>
      </c>
      <c r="BQ53" s="66">
        <v>10345</v>
      </c>
      <c r="BR53" s="66">
        <v>0</v>
      </c>
      <c r="BS53" s="26" t="s">
        <v>285</v>
      </c>
      <c r="BT53" s="26" t="s">
        <v>286</v>
      </c>
      <c r="BU53" s="26" t="s">
        <v>184</v>
      </c>
      <c r="BV53" s="114">
        <v>0</v>
      </c>
      <c r="BW53" s="114">
        <v>0</v>
      </c>
      <c r="BX53" s="225">
        <f t="shared" si="1"/>
        <v>0</v>
      </c>
      <c r="BY53" s="102">
        <v>0</v>
      </c>
      <c r="BZ53" s="102">
        <v>0</v>
      </c>
      <c r="CA53" s="226">
        <f t="shared" si="2"/>
        <v>0</v>
      </c>
      <c r="CB53" s="86">
        <v>0</v>
      </c>
      <c r="CC53" s="226">
        <f t="shared" si="3"/>
        <v>0</v>
      </c>
      <c r="CD53" s="102">
        <v>0</v>
      </c>
      <c r="CE53" s="102">
        <v>0</v>
      </c>
      <c r="CF53" s="102">
        <v>0</v>
      </c>
      <c r="CG53" s="102">
        <f t="shared" si="15"/>
        <v>0</v>
      </c>
      <c r="CH53" s="86">
        <v>0</v>
      </c>
      <c r="CI53" s="86">
        <v>0</v>
      </c>
      <c r="CJ53" s="86">
        <v>0</v>
      </c>
      <c r="CK53" s="86">
        <f t="shared" si="16"/>
        <v>0</v>
      </c>
      <c r="CL53" s="86">
        <v>0</v>
      </c>
      <c r="CM53" s="86">
        <v>0</v>
      </c>
      <c r="CN53" s="86">
        <v>0</v>
      </c>
      <c r="CO53" s="102">
        <f t="shared" si="17"/>
        <v>0</v>
      </c>
      <c r="CP53" s="86">
        <v>0</v>
      </c>
      <c r="CQ53" s="86">
        <v>0</v>
      </c>
      <c r="CR53" s="86">
        <v>0</v>
      </c>
      <c r="CS53" s="226">
        <f t="shared" si="7"/>
        <v>0</v>
      </c>
      <c r="CT53" s="625"/>
      <c r="CU53" s="486"/>
      <c r="CV53" s="654"/>
      <c r="CW53" s="66" t="s">
        <v>96</v>
      </c>
      <c r="CX53" s="66" t="s">
        <v>219</v>
      </c>
      <c r="CY53" s="66" t="s">
        <v>219</v>
      </c>
      <c r="CZ53" s="66" t="s">
        <v>219</v>
      </c>
      <c r="DA53" s="248" t="s">
        <v>219</v>
      </c>
      <c r="DB53" s="66" t="s">
        <v>291</v>
      </c>
      <c r="DC53" s="479"/>
      <c r="DD53" s="654"/>
      <c r="DE53" s="173"/>
      <c r="DF53" s="173" t="s">
        <v>599</v>
      </c>
      <c r="DG53" s="86">
        <f t="shared" si="8"/>
        <v>0</v>
      </c>
      <c r="DH53" s="80">
        <v>0.5</v>
      </c>
      <c r="DI53" s="64" t="s">
        <v>621</v>
      </c>
      <c r="DJ53" s="80">
        <v>0.5</v>
      </c>
      <c r="DK53" s="64" t="s">
        <v>696</v>
      </c>
      <c r="DL53" s="117" t="s">
        <v>727</v>
      </c>
    </row>
    <row r="54" spans="1:116" ht="118.9" customHeight="1" x14ac:dyDescent="0.25">
      <c r="A54" s="450"/>
      <c r="B54" s="506"/>
      <c r="C54" s="506"/>
      <c r="D54" s="506"/>
      <c r="E54" s="508"/>
      <c r="F54" s="508"/>
      <c r="G54" s="406"/>
      <c r="H54" s="406"/>
      <c r="I54" s="406"/>
      <c r="J54" s="437"/>
      <c r="K54" s="436"/>
      <c r="L54" s="436"/>
      <c r="M54" s="436"/>
      <c r="N54" s="436"/>
      <c r="O54" s="436"/>
      <c r="P54" s="436"/>
      <c r="Q54" s="487"/>
      <c r="R54" s="565"/>
      <c r="S54" s="565"/>
      <c r="T54" s="436"/>
      <c r="U54" s="436"/>
      <c r="V54" s="436"/>
      <c r="W54" s="436"/>
      <c r="X54" s="438"/>
      <c r="Y54" s="438"/>
      <c r="Z54" s="438"/>
      <c r="AA54" s="438"/>
      <c r="AB54" s="436"/>
      <c r="AC54" s="436"/>
      <c r="AD54" s="436"/>
      <c r="AE54" s="436"/>
      <c r="AF54" s="436"/>
      <c r="AG54" s="436"/>
      <c r="AH54" s="436"/>
      <c r="AI54" s="436"/>
      <c r="AJ54" s="565"/>
      <c r="AK54" s="4"/>
      <c r="AL54" s="282"/>
      <c r="AM54" s="282"/>
      <c r="AN54" s="436"/>
      <c r="AO54" s="436"/>
      <c r="AP54" s="436"/>
      <c r="AQ54" s="436"/>
      <c r="AR54" s="486"/>
      <c r="AS54" s="464"/>
      <c r="AT54" s="486"/>
      <c r="AU54" s="26" t="s">
        <v>292</v>
      </c>
      <c r="AV54" s="82" t="s">
        <v>293</v>
      </c>
      <c r="AW54" s="82">
        <v>1</v>
      </c>
      <c r="AX54" s="83">
        <v>0.2</v>
      </c>
      <c r="AY54" s="205">
        <v>0.25</v>
      </c>
      <c r="AZ54" s="205">
        <v>0.25</v>
      </c>
      <c r="BA54" s="205">
        <v>0.25</v>
      </c>
      <c r="BB54" s="205">
        <v>0.25</v>
      </c>
      <c r="BC54" s="205"/>
      <c r="BD54" s="205"/>
      <c r="BE54" s="205"/>
      <c r="BF54" s="360"/>
      <c r="BG54" s="379">
        <f t="shared" si="0"/>
        <v>0.25</v>
      </c>
      <c r="BH54" s="360"/>
      <c r="BI54" s="360"/>
      <c r="BJ54" s="686"/>
      <c r="BK54" s="686"/>
      <c r="BL54" s="689"/>
      <c r="BM54" s="205"/>
      <c r="BN54" s="84">
        <v>44927</v>
      </c>
      <c r="BO54" s="84">
        <v>45291</v>
      </c>
      <c r="BP54" s="82">
        <v>365</v>
      </c>
      <c r="BQ54" s="66">
        <v>1028736</v>
      </c>
      <c r="BR54" s="66">
        <v>0</v>
      </c>
      <c r="BS54" s="26" t="s">
        <v>285</v>
      </c>
      <c r="BT54" s="26" t="s">
        <v>286</v>
      </c>
      <c r="BU54" s="26" t="s">
        <v>184</v>
      </c>
      <c r="BV54" s="114">
        <v>0</v>
      </c>
      <c r="BW54" s="114">
        <v>0</v>
      </c>
      <c r="BX54" s="225">
        <f t="shared" si="1"/>
        <v>0</v>
      </c>
      <c r="BY54" s="102">
        <v>0</v>
      </c>
      <c r="BZ54" s="102">
        <v>0</v>
      </c>
      <c r="CA54" s="226">
        <f t="shared" si="2"/>
        <v>0</v>
      </c>
      <c r="CB54" s="86">
        <v>0</v>
      </c>
      <c r="CC54" s="226">
        <f t="shared" si="3"/>
        <v>0</v>
      </c>
      <c r="CD54" s="102">
        <v>0</v>
      </c>
      <c r="CE54" s="102">
        <v>0</v>
      </c>
      <c r="CF54" s="102">
        <v>0</v>
      </c>
      <c r="CG54" s="102">
        <f t="shared" si="15"/>
        <v>0</v>
      </c>
      <c r="CH54" s="86">
        <v>0</v>
      </c>
      <c r="CI54" s="86">
        <v>0</v>
      </c>
      <c r="CJ54" s="86">
        <v>0</v>
      </c>
      <c r="CK54" s="86">
        <f t="shared" si="16"/>
        <v>0</v>
      </c>
      <c r="CL54" s="86">
        <v>0</v>
      </c>
      <c r="CM54" s="86">
        <v>0</v>
      </c>
      <c r="CN54" s="86">
        <v>0</v>
      </c>
      <c r="CO54" s="102">
        <f t="shared" si="17"/>
        <v>0</v>
      </c>
      <c r="CP54" s="86">
        <v>0</v>
      </c>
      <c r="CQ54" s="86">
        <v>0</v>
      </c>
      <c r="CR54" s="86">
        <v>0</v>
      </c>
      <c r="CS54" s="226">
        <f t="shared" si="7"/>
        <v>0</v>
      </c>
      <c r="CT54" s="625"/>
      <c r="CU54" s="486"/>
      <c r="CV54" s="654"/>
      <c r="CW54" s="66" t="s">
        <v>96</v>
      </c>
      <c r="CX54" s="66" t="s">
        <v>219</v>
      </c>
      <c r="CY54" s="66" t="s">
        <v>219</v>
      </c>
      <c r="CZ54" s="66" t="s">
        <v>219</v>
      </c>
      <c r="DA54" s="248" t="s">
        <v>219</v>
      </c>
      <c r="DB54" s="66" t="s">
        <v>294</v>
      </c>
      <c r="DC54" s="479"/>
      <c r="DD54" s="654"/>
      <c r="DE54" s="173" t="s">
        <v>548</v>
      </c>
      <c r="DF54" s="173" t="s">
        <v>600</v>
      </c>
      <c r="DG54" s="86">
        <f t="shared" si="8"/>
        <v>0</v>
      </c>
      <c r="DH54" s="80">
        <v>0.5</v>
      </c>
      <c r="DI54" s="64" t="s">
        <v>622</v>
      </c>
      <c r="DJ54" s="80">
        <v>0.5</v>
      </c>
      <c r="DK54" s="64" t="s">
        <v>696</v>
      </c>
      <c r="DL54" s="117" t="s">
        <v>728</v>
      </c>
    </row>
    <row r="55" spans="1:116" ht="38.25" customHeight="1" x14ac:dyDescent="0.25">
      <c r="A55" s="450"/>
      <c r="B55" s="506"/>
      <c r="C55" s="506"/>
      <c r="D55" s="506"/>
      <c r="E55" s="508"/>
      <c r="F55" s="508"/>
      <c r="G55" s="406"/>
      <c r="H55" s="406"/>
      <c r="I55" s="406"/>
      <c r="J55" s="437"/>
      <c r="K55" s="436" t="s">
        <v>295</v>
      </c>
      <c r="L55" s="436" t="s">
        <v>76</v>
      </c>
      <c r="M55" s="436">
        <v>0</v>
      </c>
      <c r="N55" s="436" t="s">
        <v>296</v>
      </c>
      <c r="O55" s="436"/>
      <c r="P55" s="436" t="s">
        <v>80</v>
      </c>
      <c r="Q55" s="487" t="s">
        <v>297</v>
      </c>
      <c r="R55" s="565">
        <v>6</v>
      </c>
      <c r="S55" s="565">
        <v>1</v>
      </c>
      <c r="T55" s="436">
        <v>0</v>
      </c>
      <c r="U55" s="436">
        <v>0</v>
      </c>
      <c r="V55" s="436">
        <v>0</v>
      </c>
      <c r="W55" s="436">
        <f>SUM(T55:V56)</f>
        <v>0</v>
      </c>
      <c r="X55" s="438">
        <v>0</v>
      </c>
      <c r="Y55" s="438">
        <v>0</v>
      </c>
      <c r="Z55" s="438">
        <v>0</v>
      </c>
      <c r="AA55" s="438">
        <f>SUM(X55:Z56)</f>
        <v>0</v>
      </c>
      <c r="AB55" s="436">
        <v>0</v>
      </c>
      <c r="AC55" s="436">
        <v>0</v>
      </c>
      <c r="AD55" s="436">
        <v>0.3</v>
      </c>
      <c r="AE55" s="436">
        <f>SUM(AB55:AD56)</f>
        <v>0.3</v>
      </c>
      <c r="AF55" s="436">
        <v>0</v>
      </c>
      <c r="AG55" s="436">
        <v>0.4</v>
      </c>
      <c r="AH55" s="436">
        <v>0</v>
      </c>
      <c r="AI55" s="436">
        <f>SUM(AB55:AH56)</f>
        <v>1</v>
      </c>
      <c r="AJ55" s="565">
        <v>6</v>
      </c>
      <c r="AK55" s="4"/>
      <c r="AL55" s="282"/>
      <c r="AM55" s="282"/>
      <c r="AN55" s="436"/>
      <c r="AO55" s="436"/>
      <c r="AP55" s="436"/>
      <c r="AQ55" s="436"/>
      <c r="AR55" s="486"/>
      <c r="AS55" s="464"/>
      <c r="AT55" s="486"/>
      <c r="AU55" s="26" t="s">
        <v>298</v>
      </c>
      <c r="AV55" s="82" t="s">
        <v>299</v>
      </c>
      <c r="AW55" s="82">
        <v>1</v>
      </c>
      <c r="AX55" s="83">
        <v>0.05</v>
      </c>
      <c r="AY55" s="205">
        <v>0</v>
      </c>
      <c r="AZ55" s="205">
        <v>0</v>
      </c>
      <c r="BA55" s="205">
        <v>0.3</v>
      </c>
      <c r="BB55" s="205">
        <v>0.7</v>
      </c>
      <c r="BC55" s="205"/>
      <c r="BD55" s="205"/>
      <c r="BE55" s="205"/>
      <c r="BF55" s="360"/>
      <c r="BG55" s="379">
        <f t="shared" si="0"/>
        <v>0.7</v>
      </c>
      <c r="BH55" s="360"/>
      <c r="BI55" s="360"/>
      <c r="BJ55" s="686"/>
      <c r="BK55" s="686"/>
      <c r="BL55" s="689"/>
      <c r="BM55" s="205"/>
      <c r="BN55" s="84">
        <v>44927</v>
      </c>
      <c r="BO55" s="84">
        <v>45291</v>
      </c>
      <c r="BP55" s="82">
        <v>365</v>
      </c>
      <c r="BQ55" s="66">
        <v>1028736</v>
      </c>
      <c r="BR55" s="66">
        <v>500</v>
      </c>
      <c r="BS55" s="26" t="s">
        <v>285</v>
      </c>
      <c r="BT55" s="26" t="s">
        <v>286</v>
      </c>
      <c r="BU55" s="26" t="s">
        <v>184</v>
      </c>
      <c r="BV55" s="114">
        <v>0</v>
      </c>
      <c r="BW55" s="114">
        <v>0</v>
      </c>
      <c r="BX55" s="225">
        <f t="shared" si="1"/>
        <v>0</v>
      </c>
      <c r="BY55" s="102">
        <v>0</v>
      </c>
      <c r="BZ55" s="102">
        <v>0</v>
      </c>
      <c r="CA55" s="226">
        <f t="shared" si="2"/>
        <v>0</v>
      </c>
      <c r="CB55" s="86">
        <v>0</v>
      </c>
      <c r="CC55" s="226">
        <f t="shared" si="3"/>
        <v>0</v>
      </c>
      <c r="CD55" s="102">
        <v>0</v>
      </c>
      <c r="CE55" s="102">
        <v>0</v>
      </c>
      <c r="CF55" s="102">
        <v>0</v>
      </c>
      <c r="CG55" s="102">
        <f t="shared" si="15"/>
        <v>0</v>
      </c>
      <c r="CH55" s="86">
        <v>0</v>
      </c>
      <c r="CI55" s="86">
        <v>0</v>
      </c>
      <c r="CJ55" s="86">
        <v>0</v>
      </c>
      <c r="CK55" s="86">
        <f t="shared" si="16"/>
        <v>0</v>
      </c>
      <c r="CL55" s="86">
        <v>0</v>
      </c>
      <c r="CM55" s="86">
        <v>0</v>
      </c>
      <c r="CN55" s="86">
        <v>0</v>
      </c>
      <c r="CO55" s="102">
        <f t="shared" si="17"/>
        <v>0</v>
      </c>
      <c r="CP55" s="86">
        <v>0</v>
      </c>
      <c r="CQ55" s="86">
        <v>0</v>
      </c>
      <c r="CR55" s="86">
        <v>0</v>
      </c>
      <c r="CS55" s="226">
        <f t="shared" si="7"/>
        <v>0</v>
      </c>
      <c r="CT55" s="625"/>
      <c r="CU55" s="486"/>
      <c r="CV55" s="654"/>
      <c r="CW55" s="66" t="s">
        <v>96</v>
      </c>
      <c r="CX55" s="66" t="s">
        <v>219</v>
      </c>
      <c r="CY55" s="66" t="s">
        <v>219</v>
      </c>
      <c r="CZ55" s="66" t="s">
        <v>219</v>
      </c>
      <c r="DA55" s="248" t="s">
        <v>219</v>
      </c>
      <c r="DB55" s="66" t="s">
        <v>300</v>
      </c>
      <c r="DC55" s="479"/>
      <c r="DD55" s="654"/>
      <c r="DE55" s="173"/>
      <c r="DF55" s="173" t="s">
        <v>582</v>
      </c>
      <c r="DG55" s="86">
        <f t="shared" si="8"/>
        <v>0</v>
      </c>
      <c r="DH55" s="80">
        <v>0</v>
      </c>
      <c r="DI55" s="64" t="s">
        <v>623</v>
      </c>
      <c r="DJ55" s="80">
        <v>0</v>
      </c>
      <c r="DK55" s="64" t="s">
        <v>696</v>
      </c>
      <c r="DL55" s="117" t="s">
        <v>729</v>
      </c>
    </row>
    <row r="56" spans="1:116" ht="85.5" x14ac:dyDescent="0.25">
      <c r="A56" s="450"/>
      <c r="B56" s="506"/>
      <c r="C56" s="506"/>
      <c r="D56" s="506"/>
      <c r="E56" s="508"/>
      <c r="F56" s="508"/>
      <c r="G56" s="406"/>
      <c r="H56" s="406"/>
      <c r="I56" s="406"/>
      <c r="J56" s="437"/>
      <c r="K56" s="436"/>
      <c r="L56" s="436" t="s">
        <v>76</v>
      </c>
      <c r="M56" s="436"/>
      <c r="N56" s="436"/>
      <c r="O56" s="436"/>
      <c r="P56" s="436"/>
      <c r="Q56" s="487"/>
      <c r="R56" s="565"/>
      <c r="S56" s="565"/>
      <c r="T56" s="436"/>
      <c r="U56" s="436"/>
      <c r="V56" s="436"/>
      <c r="W56" s="436"/>
      <c r="X56" s="438"/>
      <c r="Y56" s="438"/>
      <c r="Z56" s="438"/>
      <c r="AA56" s="438"/>
      <c r="AB56" s="436"/>
      <c r="AC56" s="436"/>
      <c r="AD56" s="436"/>
      <c r="AE56" s="436"/>
      <c r="AF56" s="436"/>
      <c r="AG56" s="436"/>
      <c r="AH56" s="436"/>
      <c r="AI56" s="436"/>
      <c r="AJ56" s="565"/>
      <c r="AK56" s="4"/>
      <c r="AL56" s="282">
        <f>AI55/S55</f>
        <v>1</v>
      </c>
      <c r="AM56" s="282">
        <f>100%</f>
        <v>1</v>
      </c>
      <c r="AN56" s="436"/>
      <c r="AO56" s="436"/>
      <c r="AP56" s="436"/>
      <c r="AQ56" s="436"/>
      <c r="AR56" s="486"/>
      <c r="AS56" s="464"/>
      <c r="AT56" s="486"/>
      <c r="AU56" s="26" t="s">
        <v>301</v>
      </c>
      <c r="AV56" s="82" t="s">
        <v>302</v>
      </c>
      <c r="AW56" s="82">
        <v>1</v>
      </c>
      <c r="AX56" s="83">
        <v>0.05</v>
      </c>
      <c r="AY56" s="205">
        <v>0.1</v>
      </c>
      <c r="AZ56" s="205">
        <v>0.1</v>
      </c>
      <c r="BA56" s="205">
        <v>0.3</v>
      </c>
      <c r="BB56" s="205">
        <v>0.5</v>
      </c>
      <c r="BC56" s="205"/>
      <c r="BD56" s="205"/>
      <c r="BE56" s="205"/>
      <c r="BF56" s="360"/>
      <c r="BG56" s="379">
        <f t="shared" si="0"/>
        <v>0.5</v>
      </c>
      <c r="BH56" s="360"/>
      <c r="BI56" s="360"/>
      <c r="BJ56" s="686"/>
      <c r="BK56" s="686"/>
      <c r="BL56" s="689"/>
      <c r="BM56" s="205"/>
      <c r="BN56" s="84">
        <v>44927</v>
      </c>
      <c r="BO56" s="84">
        <v>45291</v>
      </c>
      <c r="BP56" s="82">
        <v>365</v>
      </c>
      <c r="BQ56" s="66">
        <v>1028736</v>
      </c>
      <c r="BR56" s="66">
        <v>0</v>
      </c>
      <c r="BS56" s="26" t="s">
        <v>285</v>
      </c>
      <c r="BT56" s="26" t="s">
        <v>286</v>
      </c>
      <c r="BU56" s="26" t="s">
        <v>184</v>
      </c>
      <c r="BV56" s="114">
        <v>0</v>
      </c>
      <c r="BW56" s="114">
        <v>0</v>
      </c>
      <c r="BX56" s="225">
        <f t="shared" si="1"/>
        <v>0</v>
      </c>
      <c r="BY56" s="102">
        <v>0</v>
      </c>
      <c r="BZ56" s="102">
        <v>0</v>
      </c>
      <c r="CA56" s="226">
        <f t="shared" si="2"/>
        <v>0</v>
      </c>
      <c r="CB56" s="86">
        <v>0</v>
      </c>
      <c r="CC56" s="226">
        <f t="shared" si="3"/>
        <v>0</v>
      </c>
      <c r="CD56" s="102">
        <v>0</v>
      </c>
      <c r="CE56" s="102">
        <v>0</v>
      </c>
      <c r="CF56" s="102">
        <v>0</v>
      </c>
      <c r="CG56" s="102">
        <f t="shared" si="15"/>
        <v>0</v>
      </c>
      <c r="CH56" s="86">
        <v>0</v>
      </c>
      <c r="CI56" s="86">
        <v>0</v>
      </c>
      <c r="CJ56" s="86">
        <v>0</v>
      </c>
      <c r="CK56" s="86">
        <f t="shared" si="16"/>
        <v>0</v>
      </c>
      <c r="CL56" s="86">
        <v>0</v>
      </c>
      <c r="CM56" s="86">
        <v>0</v>
      </c>
      <c r="CN56" s="86">
        <v>0</v>
      </c>
      <c r="CO56" s="102">
        <f t="shared" si="17"/>
        <v>0</v>
      </c>
      <c r="CP56" s="86">
        <v>0</v>
      </c>
      <c r="CQ56" s="86">
        <v>0</v>
      </c>
      <c r="CR56" s="86">
        <v>0</v>
      </c>
      <c r="CS56" s="226">
        <f t="shared" si="7"/>
        <v>0</v>
      </c>
      <c r="CT56" s="625"/>
      <c r="CU56" s="486"/>
      <c r="CV56" s="654"/>
      <c r="CW56" s="66" t="s">
        <v>96</v>
      </c>
      <c r="CX56" s="66" t="s">
        <v>219</v>
      </c>
      <c r="CY56" s="66" t="s">
        <v>219</v>
      </c>
      <c r="CZ56" s="66" t="s">
        <v>219</v>
      </c>
      <c r="DA56" s="248" t="s">
        <v>219</v>
      </c>
      <c r="DB56" s="66" t="s">
        <v>119</v>
      </c>
      <c r="DC56" s="479"/>
      <c r="DD56" s="654"/>
      <c r="DE56" s="173"/>
      <c r="DF56" s="173" t="s">
        <v>601</v>
      </c>
      <c r="DG56" s="86">
        <f t="shared" si="8"/>
        <v>0</v>
      </c>
      <c r="DH56" s="80">
        <v>0.2</v>
      </c>
      <c r="DI56" s="64" t="s">
        <v>624</v>
      </c>
      <c r="DJ56" s="80">
        <v>0.2</v>
      </c>
      <c r="DK56" s="64" t="s">
        <v>696</v>
      </c>
      <c r="DL56" s="117" t="s">
        <v>696</v>
      </c>
    </row>
    <row r="57" spans="1:116" ht="38.25" customHeight="1" x14ac:dyDescent="0.25">
      <c r="A57" s="450"/>
      <c r="B57" s="506"/>
      <c r="C57" s="506"/>
      <c r="D57" s="506"/>
      <c r="E57" s="508"/>
      <c r="F57" s="508"/>
      <c r="G57" s="406"/>
      <c r="H57" s="406"/>
      <c r="I57" s="406"/>
      <c r="J57" s="437"/>
      <c r="K57" s="436" t="s">
        <v>303</v>
      </c>
      <c r="L57" s="436" t="s">
        <v>76</v>
      </c>
      <c r="M57" s="436">
        <v>0</v>
      </c>
      <c r="N57" s="436" t="s">
        <v>304</v>
      </c>
      <c r="O57" s="436"/>
      <c r="P57" s="436" t="s">
        <v>80</v>
      </c>
      <c r="Q57" s="487"/>
      <c r="R57" s="565">
        <v>1</v>
      </c>
      <c r="S57" s="565" t="s">
        <v>120</v>
      </c>
      <c r="T57" s="436" t="s">
        <v>527</v>
      </c>
      <c r="U57" s="436" t="s">
        <v>527</v>
      </c>
      <c r="V57" s="436" t="s">
        <v>527</v>
      </c>
      <c r="W57" s="436" t="s">
        <v>527</v>
      </c>
      <c r="X57" s="438" t="s">
        <v>527</v>
      </c>
      <c r="Y57" s="438" t="s">
        <v>527</v>
      </c>
      <c r="Z57" s="438" t="s">
        <v>527</v>
      </c>
      <c r="AA57" s="438" t="s">
        <v>527</v>
      </c>
      <c r="AB57" s="436" t="s">
        <v>527</v>
      </c>
      <c r="AC57" s="436" t="s">
        <v>527</v>
      </c>
      <c r="AD57" s="436" t="s">
        <v>527</v>
      </c>
      <c r="AE57" s="436" t="s">
        <v>527</v>
      </c>
      <c r="AF57" s="436" t="s">
        <v>527</v>
      </c>
      <c r="AG57" s="436" t="s">
        <v>527</v>
      </c>
      <c r="AH57" s="436" t="s">
        <v>527</v>
      </c>
      <c r="AI57" s="436" t="s">
        <v>527</v>
      </c>
      <c r="AJ57" s="565">
        <v>1</v>
      </c>
      <c r="AK57" s="4"/>
      <c r="AL57" s="282"/>
      <c r="AM57" s="282"/>
      <c r="AN57" s="436"/>
      <c r="AO57" s="436"/>
      <c r="AP57" s="436"/>
      <c r="AQ57" s="436"/>
      <c r="AR57" s="486"/>
      <c r="AS57" s="464"/>
      <c r="AT57" s="486"/>
      <c r="AU57" s="26" t="s">
        <v>305</v>
      </c>
      <c r="AV57" s="82" t="s">
        <v>306</v>
      </c>
      <c r="AW57" s="82">
        <v>1</v>
      </c>
      <c r="AX57" s="83">
        <v>0.05</v>
      </c>
      <c r="AY57" s="205">
        <v>0</v>
      </c>
      <c r="AZ57" s="205">
        <v>0</v>
      </c>
      <c r="BA57" s="205">
        <v>0</v>
      </c>
      <c r="BB57" s="205">
        <v>0</v>
      </c>
      <c r="BC57" s="205"/>
      <c r="BD57" s="205"/>
      <c r="BE57" s="205"/>
      <c r="BF57" s="360"/>
      <c r="BG57" s="379">
        <f t="shared" si="0"/>
        <v>0</v>
      </c>
      <c r="BH57" s="360"/>
      <c r="BI57" s="360"/>
      <c r="BJ57" s="686"/>
      <c r="BK57" s="686"/>
      <c r="BL57" s="689"/>
      <c r="BM57" s="205"/>
      <c r="BN57" s="84">
        <v>44927</v>
      </c>
      <c r="BO57" s="84">
        <v>45291</v>
      </c>
      <c r="BP57" s="82">
        <v>365</v>
      </c>
      <c r="BQ57" s="66">
        <v>1028736</v>
      </c>
      <c r="BR57" s="66">
        <v>59</v>
      </c>
      <c r="BS57" s="26" t="s">
        <v>285</v>
      </c>
      <c r="BT57" s="26" t="s">
        <v>286</v>
      </c>
      <c r="BU57" s="26" t="s">
        <v>184</v>
      </c>
      <c r="BV57" s="114">
        <v>79706500</v>
      </c>
      <c r="BW57" s="159">
        <v>-79706500</v>
      </c>
      <c r="BX57" s="225">
        <f t="shared" si="1"/>
        <v>0</v>
      </c>
      <c r="BY57" s="102">
        <v>0</v>
      </c>
      <c r="BZ57" s="102">
        <v>0</v>
      </c>
      <c r="CA57" s="226">
        <f t="shared" si="2"/>
        <v>0</v>
      </c>
      <c r="CB57" s="86">
        <v>0</v>
      </c>
      <c r="CC57" s="226">
        <f t="shared" si="3"/>
        <v>0</v>
      </c>
      <c r="CD57" s="102">
        <v>0</v>
      </c>
      <c r="CE57" s="102">
        <v>0</v>
      </c>
      <c r="CF57" s="102">
        <v>0</v>
      </c>
      <c r="CG57" s="102">
        <f t="shared" si="15"/>
        <v>0</v>
      </c>
      <c r="CH57" s="86">
        <v>0</v>
      </c>
      <c r="CI57" s="86">
        <v>0</v>
      </c>
      <c r="CJ57" s="86">
        <v>0</v>
      </c>
      <c r="CK57" s="86">
        <f t="shared" si="16"/>
        <v>0</v>
      </c>
      <c r="CL57" s="86">
        <v>0</v>
      </c>
      <c r="CM57" s="86">
        <v>0</v>
      </c>
      <c r="CN57" s="86">
        <v>0</v>
      </c>
      <c r="CO57" s="102">
        <f t="shared" si="17"/>
        <v>0</v>
      </c>
      <c r="CP57" s="86">
        <v>0</v>
      </c>
      <c r="CQ57" s="86">
        <v>0</v>
      </c>
      <c r="CR57" s="86">
        <v>0</v>
      </c>
      <c r="CS57" s="226">
        <f t="shared" si="7"/>
        <v>0</v>
      </c>
      <c r="CT57" s="625"/>
      <c r="CU57" s="486"/>
      <c r="CV57" s="654"/>
      <c r="CW57" s="66" t="s">
        <v>108</v>
      </c>
      <c r="CX57" s="66" t="s">
        <v>307</v>
      </c>
      <c r="CY57" s="66" t="s">
        <v>147</v>
      </c>
      <c r="CZ57" s="66" t="s">
        <v>111</v>
      </c>
      <c r="DA57" s="248">
        <v>44927</v>
      </c>
      <c r="DB57" s="66" t="s">
        <v>308</v>
      </c>
      <c r="DC57" s="479"/>
      <c r="DD57" s="654"/>
      <c r="DE57" s="173"/>
      <c r="DF57" s="173" t="s">
        <v>582</v>
      </c>
      <c r="DG57" s="86">
        <f t="shared" si="8"/>
        <v>0</v>
      </c>
      <c r="DH57" s="80">
        <v>0</v>
      </c>
      <c r="DI57" s="64" t="s">
        <v>625</v>
      </c>
      <c r="DJ57" s="80">
        <v>0</v>
      </c>
      <c r="DK57" s="64" t="s">
        <v>696</v>
      </c>
      <c r="DL57" s="117"/>
    </row>
    <row r="58" spans="1:116" ht="85.5" x14ac:dyDescent="0.25">
      <c r="A58" s="450"/>
      <c r="B58" s="506"/>
      <c r="C58" s="506"/>
      <c r="D58" s="506"/>
      <c r="E58" s="508"/>
      <c r="F58" s="508"/>
      <c r="G58" s="406"/>
      <c r="H58" s="406"/>
      <c r="I58" s="406"/>
      <c r="J58" s="437"/>
      <c r="K58" s="436"/>
      <c r="L58" s="436"/>
      <c r="M58" s="436"/>
      <c r="N58" s="436"/>
      <c r="O58" s="436"/>
      <c r="P58" s="436"/>
      <c r="Q58" s="487"/>
      <c r="R58" s="565"/>
      <c r="S58" s="565"/>
      <c r="T58" s="436"/>
      <c r="U58" s="436"/>
      <c r="V58" s="436"/>
      <c r="W58" s="436"/>
      <c r="X58" s="438"/>
      <c r="Y58" s="438"/>
      <c r="Z58" s="438"/>
      <c r="AA58" s="438"/>
      <c r="AB58" s="436"/>
      <c r="AC58" s="436"/>
      <c r="AD58" s="436"/>
      <c r="AE58" s="436"/>
      <c r="AF58" s="436"/>
      <c r="AG58" s="436"/>
      <c r="AH58" s="436"/>
      <c r="AI58" s="436"/>
      <c r="AJ58" s="565"/>
      <c r="AK58" s="4"/>
      <c r="AL58" s="282"/>
      <c r="AM58" s="282"/>
      <c r="AN58" s="436"/>
      <c r="AO58" s="436"/>
      <c r="AP58" s="436"/>
      <c r="AQ58" s="436"/>
      <c r="AR58" s="486"/>
      <c r="AS58" s="464"/>
      <c r="AT58" s="486"/>
      <c r="AU58" s="26" t="s">
        <v>309</v>
      </c>
      <c r="AV58" s="82" t="s">
        <v>310</v>
      </c>
      <c r="AW58" s="82">
        <v>1</v>
      </c>
      <c r="AX58" s="83">
        <v>0.1</v>
      </c>
      <c r="AY58" s="205">
        <v>0</v>
      </c>
      <c r="AZ58" s="205">
        <v>0</v>
      </c>
      <c r="BA58" s="205">
        <v>0.4</v>
      </c>
      <c r="BB58" s="205">
        <v>0.2</v>
      </c>
      <c r="BC58" s="205"/>
      <c r="BD58" s="205"/>
      <c r="BE58" s="205"/>
      <c r="BF58" s="360"/>
      <c r="BG58" s="379">
        <f t="shared" si="0"/>
        <v>0.2</v>
      </c>
      <c r="BH58" s="360"/>
      <c r="BI58" s="360"/>
      <c r="BJ58" s="686"/>
      <c r="BK58" s="686"/>
      <c r="BL58" s="689"/>
      <c r="BM58" s="205"/>
      <c r="BN58" s="84">
        <v>44927</v>
      </c>
      <c r="BO58" s="84">
        <v>45291</v>
      </c>
      <c r="BP58" s="82">
        <v>365</v>
      </c>
      <c r="BQ58" s="66">
        <v>1028736</v>
      </c>
      <c r="BR58" s="66">
        <v>59</v>
      </c>
      <c r="BS58" s="26" t="s">
        <v>285</v>
      </c>
      <c r="BT58" s="26" t="s">
        <v>286</v>
      </c>
      <c r="BU58" s="26" t="s">
        <v>184</v>
      </c>
      <c r="BV58" s="114">
        <v>163000000</v>
      </c>
      <c r="BW58" s="159">
        <v>-163000000</v>
      </c>
      <c r="BX58" s="225">
        <f t="shared" si="1"/>
        <v>0</v>
      </c>
      <c r="BY58" s="102">
        <v>0</v>
      </c>
      <c r="BZ58" s="102">
        <v>0</v>
      </c>
      <c r="CA58" s="226">
        <f t="shared" si="2"/>
        <v>0</v>
      </c>
      <c r="CB58" s="86">
        <v>0</v>
      </c>
      <c r="CC58" s="226">
        <f t="shared" si="3"/>
        <v>0</v>
      </c>
      <c r="CD58" s="102">
        <v>0</v>
      </c>
      <c r="CE58" s="102">
        <v>0</v>
      </c>
      <c r="CF58" s="102">
        <v>0</v>
      </c>
      <c r="CG58" s="102">
        <f t="shared" si="15"/>
        <v>0</v>
      </c>
      <c r="CH58" s="86">
        <v>0</v>
      </c>
      <c r="CI58" s="86">
        <v>0</v>
      </c>
      <c r="CJ58" s="86">
        <v>0</v>
      </c>
      <c r="CK58" s="86">
        <f t="shared" si="16"/>
        <v>0</v>
      </c>
      <c r="CL58" s="86">
        <v>0</v>
      </c>
      <c r="CM58" s="86">
        <v>0</v>
      </c>
      <c r="CN58" s="86">
        <v>0</v>
      </c>
      <c r="CO58" s="102">
        <f t="shared" si="17"/>
        <v>0</v>
      </c>
      <c r="CP58" s="86">
        <v>0</v>
      </c>
      <c r="CQ58" s="86">
        <v>0</v>
      </c>
      <c r="CR58" s="86">
        <v>0</v>
      </c>
      <c r="CS58" s="226">
        <f t="shared" si="7"/>
        <v>0</v>
      </c>
      <c r="CT58" s="625"/>
      <c r="CU58" s="486"/>
      <c r="CV58" s="654"/>
      <c r="CW58" s="66" t="s">
        <v>108</v>
      </c>
      <c r="CX58" s="66" t="s">
        <v>307</v>
      </c>
      <c r="CY58" s="66" t="s">
        <v>147</v>
      </c>
      <c r="CZ58" s="66" t="s">
        <v>111</v>
      </c>
      <c r="DA58" s="248">
        <v>44927</v>
      </c>
      <c r="DB58" s="66" t="s">
        <v>311</v>
      </c>
      <c r="DC58" s="479"/>
      <c r="DD58" s="654"/>
      <c r="DE58" s="173"/>
      <c r="DF58" s="173" t="s">
        <v>582</v>
      </c>
      <c r="DG58" s="86">
        <f t="shared" si="8"/>
        <v>0</v>
      </c>
      <c r="DH58" s="80">
        <v>0</v>
      </c>
      <c r="DI58" s="265" t="s">
        <v>625</v>
      </c>
      <c r="DJ58" s="80">
        <v>0</v>
      </c>
      <c r="DK58" s="64" t="s">
        <v>696</v>
      </c>
      <c r="DL58" s="117" t="s">
        <v>730</v>
      </c>
    </row>
    <row r="59" spans="1:116" ht="171" x14ac:dyDescent="0.25">
      <c r="A59" s="450"/>
      <c r="B59" s="506"/>
      <c r="C59" s="506"/>
      <c r="D59" s="506"/>
      <c r="E59" s="508"/>
      <c r="F59" s="508"/>
      <c r="G59" s="406"/>
      <c r="H59" s="406"/>
      <c r="I59" s="406"/>
      <c r="J59" s="437"/>
      <c r="K59" s="436"/>
      <c r="L59" s="436"/>
      <c r="M59" s="436"/>
      <c r="N59" s="436"/>
      <c r="O59" s="436"/>
      <c r="P59" s="436"/>
      <c r="Q59" s="487"/>
      <c r="R59" s="565"/>
      <c r="S59" s="565"/>
      <c r="T59" s="436"/>
      <c r="U59" s="436"/>
      <c r="V59" s="436"/>
      <c r="W59" s="436"/>
      <c r="X59" s="438"/>
      <c r="Y59" s="438"/>
      <c r="Z59" s="438"/>
      <c r="AA59" s="438"/>
      <c r="AB59" s="436"/>
      <c r="AC59" s="436"/>
      <c r="AD59" s="436"/>
      <c r="AE59" s="436"/>
      <c r="AF59" s="436"/>
      <c r="AG59" s="436"/>
      <c r="AH59" s="436"/>
      <c r="AI59" s="436"/>
      <c r="AJ59" s="565"/>
      <c r="AK59" s="282"/>
      <c r="AL59" s="282"/>
      <c r="AM59" s="282">
        <f>AJ57/R57</f>
        <v>1</v>
      </c>
      <c r="AN59" s="436"/>
      <c r="AO59" s="436"/>
      <c r="AP59" s="436"/>
      <c r="AQ59" s="436"/>
      <c r="AR59" s="486"/>
      <c r="AS59" s="464"/>
      <c r="AT59" s="486"/>
      <c r="AU59" s="66" t="s">
        <v>312</v>
      </c>
      <c r="AV59" s="82" t="s">
        <v>313</v>
      </c>
      <c r="AW59" s="82">
        <v>1</v>
      </c>
      <c r="AX59" s="83">
        <v>0.15</v>
      </c>
      <c r="AY59" s="205">
        <v>0.25</v>
      </c>
      <c r="AZ59" s="205">
        <v>0.25</v>
      </c>
      <c r="BA59" s="205">
        <v>0.25</v>
      </c>
      <c r="BB59" s="205">
        <v>0.25</v>
      </c>
      <c r="BC59" s="205"/>
      <c r="BD59" s="205"/>
      <c r="BE59" s="205"/>
      <c r="BF59" s="360"/>
      <c r="BG59" s="379">
        <f t="shared" si="0"/>
        <v>0.25</v>
      </c>
      <c r="BH59" s="360"/>
      <c r="BI59" s="360"/>
      <c r="BJ59" s="686"/>
      <c r="BK59" s="686"/>
      <c r="BL59" s="689"/>
      <c r="BM59" s="205"/>
      <c r="BN59" s="84">
        <v>44927</v>
      </c>
      <c r="BO59" s="84">
        <v>45291</v>
      </c>
      <c r="BP59" s="82">
        <v>365</v>
      </c>
      <c r="BQ59" s="66">
        <v>1028736</v>
      </c>
      <c r="BR59" s="66">
        <v>1028736</v>
      </c>
      <c r="BS59" s="26" t="s">
        <v>285</v>
      </c>
      <c r="BT59" s="26" t="s">
        <v>286</v>
      </c>
      <c r="BU59" s="26" t="s">
        <v>184</v>
      </c>
      <c r="BV59" s="114">
        <v>25346000</v>
      </c>
      <c r="BW59" s="159">
        <v>-1546000</v>
      </c>
      <c r="BX59" s="225">
        <f t="shared" si="1"/>
        <v>23800000</v>
      </c>
      <c r="BY59" s="102">
        <v>0</v>
      </c>
      <c r="BZ59" s="102">
        <v>0</v>
      </c>
      <c r="CA59" s="226">
        <f t="shared" si="2"/>
        <v>23800000</v>
      </c>
      <c r="CB59" s="86">
        <v>0</v>
      </c>
      <c r="CC59" s="226">
        <f t="shared" si="3"/>
        <v>23800000</v>
      </c>
      <c r="CD59" s="102">
        <v>0</v>
      </c>
      <c r="CE59" s="102">
        <v>0</v>
      </c>
      <c r="CF59" s="102">
        <v>2100000</v>
      </c>
      <c r="CG59" s="102">
        <f t="shared" si="15"/>
        <v>2100000</v>
      </c>
      <c r="CH59" s="86">
        <v>2100000</v>
      </c>
      <c r="CI59" s="86">
        <v>2100000</v>
      </c>
      <c r="CJ59" s="86">
        <v>2100000</v>
      </c>
      <c r="CK59" s="86">
        <f t="shared" si="16"/>
        <v>6300000</v>
      </c>
      <c r="CL59" s="86">
        <v>2100000</v>
      </c>
      <c r="CM59" s="86">
        <v>2100000</v>
      </c>
      <c r="CN59" s="86">
        <v>2100000</v>
      </c>
      <c r="CO59" s="102">
        <f t="shared" si="17"/>
        <v>6300000</v>
      </c>
      <c r="CP59" s="86">
        <v>2100000</v>
      </c>
      <c r="CQ59" s="86">
        <v>2100000</v>
      </c>
      <c r="CR59" s="86">
        <f>2100000+2100000</f>
        <v>4200000</v>
      </c>
      <c r="CS59" s="226">
        <f t="shared" si="7"/>
        <v>8400000</v>
      </c>
      <c r="CT59" s="625"/>
      <c r="CU59" s="486"/>
      <c r="CV59" s="654"/>
      <c r="CW59" s="66" t="s">
        <v>108</v>
      </c>
      <c r="CX59" s="66" t="s">
        <v>314</v>
      </c>
      <c r="CY59" s="66" t="s">
        <v>147</v>
      </c>
      <c r="CZ59" s="66" t="s">
        <v>111</v>
      </c>
      <c r="DA59" s="248">
        <v>44927</v>
      </c>
      <c r="DB59" s="66" t="s">
        <v>315</v>
      </c>
      <c r="DC59" s="479"/>
      <c r="DD59" s="654"/>
      <c r="DE59" s="172"/>
      <c r="DF59" s="173" t="s">
        <v>582</v>
      </c>
      <c r="DG59" s="86">
        <f t="shared" si="8"/>
        <v>8400000</v>
      </c>
      <c r="DH59" s="80">
        <v>0.5</v>
      </c>
      <c r="DI59" s="64" t="s">
        <v>626</v>
      </c>
      <c r="DJ59" s="80">
        <v>0.5</v>
      </c>
      <c r="DK59" s="64" t="s">
        <v>696</v>
      </c>
      <c r="DL59" s="117" t="s">
        <v>731</v>
      </c>
    </row>
    <row r="60" spans="1:116" ht="71.25" x14ac:dyDescent="0.25">
      <c r="A60" s="451"/>
      <c r="B60" s="506"/>
      <c r="C60" s="506"/>
      <c r="D60" s="506"/>
      <c r="E60" s="509"/>
      <c r="F60" s="509"/>
      <c r="G60" s="407"/>
      <c r="H60" s="407"/>
      <c r="I60" s="407"/>
      <c r="J60" s="437"/>
      <c r="K60" s="436"/>
      <c r="L60" s="436"/>
      <c r="M60" s="436"/>
      <c r="N60" s="436"/>
      <c r="O60" s="436"/>
      <c r="P60" s="436"/>
      <c r="Q60" s="487"/>
      <c r="R60" s="565"/>
      <c r="S60" s="565"/>
      <c r="T60" s="436"/>
      <c r="U60" s="436"/>
      <c r="V60" s="436"/>
      <c r="W60" s="436"/>
      <c r="X60" s="438"/>
      <c r="Y60" s="438"/>
      <c r="Z60" s="438"/>
      <c r="AA60" s="438"/>
      <c r="AB60" s="436"/>
      <c r="AC60" s="436"/>
      <c r="AD60" s="436"/>
      <c r="AE60" s="436"/>
      <c r="AF60" s="436"/>
      <c r="AG60" s="436"/>
      <c r="AH60" s="436"/>
      <c r="AI60" s="436"/>
      <c r="AJ60" s="565"/>
      <c r="AK60" s="4"/>
      <c r="AL60" s="282"/>
      <c r="AM60" s="282"/>
      <c r="AN60" s="436"/>
      <c r="AO60" s="436"/>
      <c r="AP60" s="436"/>
      <c r="AQ60" s="436"/>
      <c r="AR60" s="486"/>
      <c r="AS60" s="464"/>
      <c r="AT60" s="486"/>
      <c r="AU60" s="66" t="s">
        <v>316</v>
      </c>
      <c r="AV60" s="82" t="s">
        <v>317</v>
      </c>
      <c r="AW60" s="82">
        <v>1</v>
      </c>
      <c r="AX60" s="83">
        <v>0.2</v>
      </c>
      <c r="AY60" s="205">
        <v>0.25</v>
      </c>
      <c r="AZ60" s="205">
        <v>0.25</v>
      </c>
      <c r="BA60" s="205">
        <v>0.25</v>
      </c>
      <c r="BB60" s="205">
        <v>0.25</v>
      </c>
      <c r="BC60" s="205"/>
      <c r="BD60" s="205"/>
      <c r="BE60" s="205"/>
      <c r="BF60" s="361"/>
      <c r="BG60" s="379">
        <f t="shared" si="0"/>
        <v>0.25</v>
      </c>
      <c r="BH60" s="361"/>
      <c r="BI60" s="361"/>
      <c r="BJ60" s="687"/>
      <c r="BK60" s="687"/>
      <c r="BL60" s="690"/>
      <c r="BM60" s="205"/>
      <c r="BN60" s="84">
        <v>44927</v>
      </c>
      <c r="BO60" s="84">
        <v>45291</v>
      </c>
      <c r="BP60" s="82">
        <v>365</v>
      </c>
      <c r="BQ60" s="66">
        <v>1028736</v>
      </c>
      <c r="BR60" s="66">
        <v>1028736</v>
      </c>
      <c r="BS60" s="26" t="s">
        <v>285</v>
      </c>
      <c r="BT60" s="26" t="s">
        <v>286</v>
      </c>
      <c r="BU60" s="26" t="s">
        <v>184</v>
      </c>
      <c r="BV60" s="114">
        <v>55947500</v>
      </c>
      <c r="BW60" s="159">
        <v>-3847500</v>
      </c>
      <c r="BX60" s="225">
        <f t="shared" si="1"/>
        <v>52100000</v>
      </c>
      <c r="BY60" s="102">
        <v>0</v>
      </c>
      <c r="BZ60" s="102">
        <v>0</v>
      </c>
      <c r="CA60" s="226">
        <f t="shared" si="2"/>
        <v>52100000</v>
      </c>
      <c r="CB60" s="86">
        <v>0</v>
      </c>
      <c r="CC60" s="226">
        <f t="shared" si="3"/>
        <v>52100000</v>
      </c>
      <c r="CD60" s="102">
        <v>0</v>
      </c>
      <c r="CE60" s="102">
        <v>0</v>
      </c>
      <c r="CF60" s="102">
        <v>4500000</v>
      </c>
      <c r="CG60" s="102">
        <f t="shared" si="15"/>
        <v>4500000</v>
      </c>
      <c r="CH60" s="86">
        <v>4500000</v>
      </c>
      <c r="CI60" s="86">
        <v>4500000</v>
      </c>
      <c r="CJ60" s="86">
        <v>4500000</v>
      </c>
      <c r="CK60" s="86">
        <f t="shared" si="16"/>
        <v>13500000</v>
      </c>
      <c r="CL60" s="86">
        <v>4500000</v>
      </c>
      <c r="CM60" s="86">
        <v>4500000</v>
      </c>
      <c r="CN60" s="86">
        <v>4500000</v>
      </c>
      <c r="CO60" s="102">
        <f t="shared" si="17"/>
        <v>13500000</v>
      </c>
      <c r="CP60" s="86">
        <v>4500000</v>
      </c>
      <c r="CQ60" s="86">
        <v>4500000</v>
      </c>
      <c r="CR60" s="86">
        <f>4500000+4500000</f>
        <v>9000000</v>
      </c>
      <c r="CS60" s="226">
        <f t="shared" si="7"/>
        <v>18000000</v>
      </c>
      <c r="CT60" s="626"/>
      <c r="CU60" s="486"/>
      <c r="CV60" s="655"/>
      <c r="CW60" s="66" t="s">
        <v>108</v>
      </c>
      <c r="CX60" s="66" t="s">
        <v>318</v>
      </c>
      <c r="CY60" s="66" t="s">
        <v>147</v>
      </c>
      <c r="CZ60" s="66" t="s">
        <v>111</v>
      </c>
      <c r="DA60" s="248">
        <v>44927</v>
      </c>
      <c r="DB60" s="66" t="s">
        <v>317</v>
      </c>
      <c r="DC60" s="479"/>
      <c r="DD60" s="655"/>
      <c r="DE60" s="172" t="s">
        <v>545</v>
      </c>
      <c r="DF60" s="173" t="s">
        <v>582</v>
      </c>
      <c r="DG60" s="86">
        <f t="shared" si="8"/>
        <v>18000000</v>
      </c>
      <c r="DH60" s="80">
        <v>0.5</v>
      </c>
      <c r="DI60" s="64" t="s">
        <v>617</v>
      </c>
      <c r="DJ60" s="80">
        <v>0.5</v>
      </c>
      <c r="DK60" s="64" t="s">
        <v>696</v>
      </c>
      <c r="DL60" s="117" t="s">
        <v>732</v>
      </c>
    </row>
    <row r="61" spans="1:116" ht="54.75" customHeight="1" x14ac:dyDescent="0.25">
      <c r="A61" s="318"/>
      <c r="B61" s="506"/>
      <c r="C61" s="319"/>
      <c r="D61" s="319"/>
      <c r="E61" s="320"/>
      <c r="F61" s="316"/>
      <c r="G61" s="314"/>
      <c r="H61" s="314"/>
      <c r="I61" s="314"/>
      <c r="J61" s="761" t="s">
        <v>796</v>
      </c>
      <c r="K61" s="760"/>
      <c r="L61" s="760"/>
      <c r="M61" s="760"/>
      <c r="N61" s="760"/>
      <c r="O61" s="760"/>
      <c r="P61" s="760"/>
      <c r="Q61" s="760"/>
      <c r="R61" s="760"/>
      <c r="S61" s="760"/>
      <c r="T61" s="760"/>
      <c r="U61" s="762"/>
      <c r="V61" s="4"/>
      <c r="W61" s="4"/>
      <c r="X61" s="64"/>
      <c r="Y61" s="64"/>
      <c r="Z61" s="64"/>
      <c r="AA61" s="64"/>
      <c r="AB61" s="4"/>
      <c r="AC61" s="4"/>
      <c r="AD61" s="4"/>
      <c r="AE61" s="4"/>
      <c r="AF61" s="4"/>
      <c r="AG61" s="4"/>
      <c r="AH61" s="4"/>
      <c r="AI61" s="4"/>
      <c r="AJ61" s="175"/>
      <c r="AK61" s="4"/>
      <c r="AL61" s="282"/>
      <c r="AM61" s="397">
        <f>SUM(AM52:AM60)/3</f>
        <v>1</v>
      </c>
      <c r="AN61" s="4"/>
      <c r="AO61" s="4"/>
      <c r="AP61" s="4"/>
      <c r="AQ61" s="4"/>
      <c r="AR61" s="66"/>
      <c r="AS61" s="148"/>
      <c r="AT61" s="66"/>
      <c r="AU61" s="66"/>
      <c r="AV61" s="82"/>
      <c r="AW61" s="82"/>
      <c r="AX61" s="724" t="s">
        <v>788</v>
      </c>
      <c r="AY61" s="725"/>
      <c r="AZ61" s="725"/>
      <c r="BA61" s="725"/>
      <c r="BB61" s="725"/>
      <c r="BC61" s="725"/>
      <c r="BD61" s="725"/>
      <c r="BE61" s="725"/>
      <c r="BF61" s="726"/>
      <c r="BG61" s="380">
        <f>SUM(BG52:BG60)/9</f>
        <v>0.26666666666666666</v>
      </c>
      <c r="BH61" s="727" t="s">
        <v>789</v>
      </c>
      <c r="BI61" s="728"/>
      <c r="BJ61" s="396">
        <f>BJ52</f>
        <v>75900000</v>
      </c>
      <c r="BK61" s="396">
        <f>BK52</f>
        <v>72600000</v>
      </c>
      <c r="BL61" s="395">
        <f>BK61/BJ61</f>
        <v>0.95652173913043481</v>
      </c>
      <c r="BM61" s="205"/>
      <c r="BN61" s="84"/>
      <c r="BO61" s="84"/>
      <c r="BP61" s="82"/>
      <c r="BQ61" s="66"/>
      <c r="BR61" s="66"/>
      <c r="BS61" s="26"/>
      <c r="BT61" s="26"/>
      <c r="BU61" s="26"/>
      <c r="BV61" s="114"/>
      <c r="BW61" s="159"/>
      <c r="BX61" s="225"/>
      <c r="BY61" s="102"/>
      <c r="BZ61" s="102"/>
      <c r="CA61" s="226"/>
      <c r="CB61" s="86"/>
      <c r="CC61" s="226"/>
      <c r="CD61" s="102"/>
      <c r="CE61" s="102"/>
      <c r="CF61" s="102"/>
      <c r="CG61" s="102"/>
      <c r="CH61" s="86"/>
      <c r="CI61" s="86"/>
      <c r="CJ61" s="86"/>
      <c r="CK61" s="86"/>
      <c r="CL61" s="86"/>
      <c r="CM61" s="86"/>
      <c r="CN61" s="86"/>
      <c r="CO61" s="102"/>
      <c r="CP61" s="86"/>
      <c r="CQ61" s="86"/>
      <c r="CR61" s="86"/>
      <c r="CS61" s="226"/>
      <c r="CT61" s="347"/>
      <c r="CU61" s="343"/>
      <c r="CV61" s="344"/>
      <c r="CW61" s="66"/>
      <c r="CX61" s="343"/>
      <c r="CY61" s="343"/>
      <c r="CZ61" s="343"/>
      <c r="DA61" s="248"/>
      <c r="DB61" s="66"/>
      <c r="DC61" s="329"/>
      <c r="DD61" s="344"/>
      <c r="DE61" s="172"/>
      <c r="DF61" s="173"/>
      <c r="DG61" s="86"/>
      <c r="DH61" s="80"/>
      <c r="DI61" s="64"/>
      <c r="DJ61" s="80"/>
      <c r="DK61" s="64"/>
      <c r="DL61" s="117"/>
    </row>
    <row r="62" spans="1:116" ht="57" customHeight="1" x14ac:dyDescent="0.25">
      <c r="A62" s="465" t="s">
        <v>319</v>
      </c>
      <c r="B62" s="506"/>
      <c r="C62" s="465" t="s">
        <v>320</v>
      </c>
      <c r="D62" s="436" t="s">
        <v>321</v>
      </c>
      <c r="E62" s="456" t="s">
        <v>322</v>
      </c>
      <c r="F62" s="436" t="s">
        <v>323</v>
      </c>
      <c r="G62" s="436">
        <v>4</v>
      </c>
      <c r="H62" s="436" t="s">
        <v>76</v>
      </c>
      <c r="I62" s="436">
        <v>1</v>
      </c>
      <c r="J62" s="437" t="s">
        <v>324</v>
      </c>
      <c r="K62" s="436" t="s">
        <v>325</v>
      </c>
      <c r="L62" s="436" t="s">
        <v>76</v>
      </c>
      <c r="M62" s="466" t="s">
        <v>322</v>
      </c>
      <c r="N62" s="436" t="s">
        <v>323</v>
      </c>
      <c r="O62" s="436"/>
      <c r="P62" s="436" t="s">
        <v>80</v>
      </c>
      <c r="Q62" s="438" t="s">
        <v>326</v>
      </c>
      <c r="R62" s="641">
        <v>4</v>
      </c>
      <c r="S62" s="656">
        <v>1</v>
      </c>
      <c r="T62" s="475">
        <v>0</v>
      </c>
      <c r="U62" s="475">
        <v>0</v>
      </c>
      <c r="V62" s="475">
        <v>0</v>
      </c>
      <c r="W62" s="475">
        <f>SUM(T62:V64)</f>
        <v>0</v>
      </c>
      <c r="X62" s="438">
        <v>0</v>
      </c>
      <c r="Y62" s="438">
        <v>0</v>
      </c>
      <c r="Z62" s="438">
        <v>0</v>
      </c>
      <c r="AA62" s="438">
        <f>SUM(X62:Z64)</f>
        <v>0</v>
      </c>
      <c r="AB62" s="438">
        <v>0</v>
      </c>
      <c r="AC62" s="438">
        <v>0</v>
      </c>
      <c r="AD62" s="438">
        <v>0.05</v>
      </c>
      <c r="AE62" s="438">
        <f>AB62+AC62+AD62</f>
        <v>0.05</v>
      </c>
      <c r="AF62" s="438">
        <v>0</v>
      </c>
      <c r="AG62" s="438">
        <v>0.95</v>
      </c>
      <c r="AH62" s="438">
        <v>0</v>
      </c>
      <c r="AI62" s="438">
        <f>SUM(AG62:AH64)</f>
        <v>0.95</v>
      </c>
      <c r="AJ62" s="623">
        <v>4</v>
      </c>
      <c r="AK62" s="67"/>
      <c r="AL62" s="282"/>
      <c r="AM62" s="282"/>
      <c r="AN62" s="481" t="s">
        <v>327</v>
      </c>
      <c r="AO62" s="481" t="s">
        <v>194</v>
      </c>
      <c r="AP62" s="481" t="s">
        <v>84</v>
      </c>
      <c r="AQ62" s="481" t="s">
        <v>85</v>
      </c>
      <c r="AR62" s="436" t="s">
        <v>328</v>
      </c>
      <c r="AS62" s="622" t="s">
        <v>329</v>
      </c>
      <c r="AT62" s="436" t="s">
        <v>330</v>
      </c>
      <c r="AU62" s="4" t="s">
        <v>331</v>
      </c>
      <c r="AV62" s="4" t="s">
        <v>332</v>
      </c>
      <c r="AW62" s="4">
        <v>1</v>
      </c>
      <c r="AX62" s="65">
        <v>0.2</v>
      </c>
      <c r="AY62" s="201">
        <v>0</v>
      </c>
      <c r="AZ62" s="201" t="s">
        <v>733</v>
      </c>
      <c r="BA62" s="201">
        <v>0</v>
      </c>
      <c r="BB62" s="201">
        <v>0.95</v>
      </c>
      <c r="BC62" s="201"/>
      <c r="BD62" s="201"/>
      <c r="BE62" s="201"/>
      <c r="BF62" s="362"/>
      <c r="BG62" s="379">
        <f t="shared" si="0"/>
        <v>0.95</v>
      </c>
      <c r="BH62" s="362"/>
      <c r="BI62" s="362"/>
      <c r="BJ62" s="649">
        <v>420000000</v>
      </c>
      <c r="BK62" s="649">
        <v>391710553</v>
      </c>
      <c r="BL62" s="682">
        <f>BK62/BJ62</f>
        <v>0.9326441738095238</v>
      </c>
      <c r="BM62" s="201"/>
      <c r="BN62" s="85">
        <v>44927</v>
      </c>
      <c r="BO62" s="85">
        <v>45291</v>
      </c>
      <c r="BP62" s="4">
        <v>365</v>
      </c>
      <c r="BQ62" s="4">
        <v>200</v>
      </c>
      <c r="BR62" s="4">
        <v>200</v>
      </c>
      <c r="BS62" s="4" t="s">
        <v>91</v>
      </c>
      <c r="BT62" s="4" t="s">
        <v>92</v>
      </c>
      <c r="BU62" s="4" t="s">
        <v>184</v>
      </c>
      <c r="BV62" s="86">
        <v>112979000</v>
      </c>
      <c r="BW62" s="86">
        <v>0</v>
      </c>
      <c r="BX62" s="225">
        <f t="shared" si="1"/>
        <v>112979000</v>
      </c>
      <c r="BY62" s="102">
        <v>0</v>
      </c>
      <c r="BZ62" s="102">
        <v>0</v>
      </c>
      <c r="CA62" s="226">
        <f t="shared" si="2"/>
        <v>112979000</v>
      </c>
      <c r="CB62" s="86">
        <v>0</v>
      </c>
      <c r="CC62" s="226">
        <f t="shared" si="3"/>
        <v>112979000</v>
      </c>
      <c r="CD62" s="102">
        <v>0</v>
      </c>
      <c r="CE62" s="102">
        <v>0</v>
      </c>
      <c r="CF62" s="102">
        <v>0</v>
      </c>
      <c r="CG62" s="102">
        <f t="shared" si="15"/>
        <v>0</v>
      </c>
      <c r="CH62" s="86">
        <v>0</v>
      </c>
      <c r="CI62" s="86">
        <v>0</v>
      </c>
      <c r="CJ62" s="86">
        <v>0</v>
      </c>
      <c r="CK62" s="86">
        <f t="shared" si="16"/>
        <v>0</v>
      </c>
      <c r="CL62" s="86">
        <v>0</v>
      </c>
      <c r="CM62" s="86">
        <v>0</v>
      </c>
      <c r="CN62" s="102">
        <v>8366737</v>
      </c>
      <c r="CO62" s="102">
        <f t="shared" si="17"/>
        <v>8366737</v>
      </c>
      <c r="CP62" s="86">
        <v>179637592</v>
      </c>
      <c r="CQ62" s="86">
        <v>0</v>
      </c>
      <c r="CR62" s="86">
        <v>0</v>
      </c>
      <c r="CS62" s="226">
        <f>SUM(CP62:CR62)</f>
        <v>179637592</v>
      </c>
      <c r="CT62" s="619" t="s">
        <v>94</v>
      </c>
      <c r="CU62" s="478" t="s">
        <v>328</v>
      </c>
      <c r="CV62" s="478" t="s">
        <v>333</v>
      </c>
      <c r="CW62" s="64" t="s">
        <v>108</v>
      </c>
      <c r="CX62" s="478" t="s">
        <v>334</v>
      </c>
      <c r="CY62" s="478" t="s">
        <v>216</v>
      </c>
      <c r="CZ62" s="478" t="s">
        <v>111</v>
      </c>
      <c r="DA62" s="248">
        <v>44958</v>
      </c>
      <c r="DB62" s="117" t="s">
        <v>335</v>
      </c>
      <c r="DC62" s="479" t="s">
        <v>99</v>
      </c>
      <c r="DD62" s="478" t="s">
        <v>100</v>
      </c>
      <c r="DE62" s="173" t="s">
        <v>536</v>
      </c>
      <c r="DF62" s="438" t="s">
        <v>602</v>
      </c>
      <c r="DG62" s="86">
        <f t="shared" si="8"/>
        <v>0</v>
      </c>
      <c r="DH62" s="80">
        <v>0.5</v>
      </c>
      <c r="DI62" s="64" t="s">
        <v>644</v>
      </c>
      <c r="DJ62" s="80">
        <v>0.5</v>
      </c>
      <c r="DK62" s="64" t="s">
        <v>734</v>
      </c>
      <c r="DL62" s="117" t="s">
        <v>766</v>
      </c>
    </row>
    <row r="63" spans="1:116" ht="57" x14ac:dyDescent="0.25">
      <c r="A63" s="465"/>
      <c r="B63" s="506"/>
      <c r="C63" s="465"/>
      <c r="D63" s="436"/>
      <c r="E63" s="461"/>
      <c r="F63" s="436"/>
      <c r="G63" s="436"/>
      <c r="H63" s="436"/>
      <c r="I63" s="436"/>
      <c r="J63" s="482"/>
      <c r="K63" s="436"/>
      <c r="L63" s="436"/>
      <c r="M63" s="466"/>
      <c r="N63" s="436"/>
      <c r="O63" s="436"/>
      <c r="P63" s="436"/>
      <c r="Q63" s="438"/>
      <c r="R63" s="641"/>
      <c r="S63" s="656"/>
      <c r="T63" s="475"/>
      <c r="U63" s="475"/>
      <c r="V63" s="475"/>
      <c r="W63" s="475"/>
      <c r="X63" s="438"/>
      <c r="Y63" s="438"/>
      <c r="Z63" s="438"/>
      <c r="AA63" s="438"/>
      <c r="AB63" s="438"/>
      <c r="AC63" s="438"/>
      <c r="AD63" s="438"/>
      <c r="AE63" s="438"/>
      <c r="AF63" s="438"/>
      <c r="AG63" s="438"/>
      <c r="AH63" s="438"/>
      <c r="AI63" s="438"/>
      <c r="AJ63" s="623"/>
      <c r="AK63" s="67"/>
      <c r="AL63" s="282">
        <f>AI62/S62</f>
        <v>0.95</v>
      </c>
      <c r="AM63" s="282">
        <f>AJ62/R62</f>
        <v>1</v>
      </c>
      <c r="AN63" s="438"/>
      <c r="AO63" s="438"/>
      <c r="AP63" s="438"/>
      <c r="AQ63" s="438"/>
      <c r="AR63" s="438"/>
      <c r="AS63" s="464"/>
      <c r="AT63" s="438"/>
      <c r="AU63" s="4" t="s">
        <v>336</v>
      </c>
      <c r="AV63" s="4" t="s">
        <v>337</v>
      </c>
      <c r="AW63" s="4">
        <v>1</v>
      </c>
      <c r="AX63" s="65">
        <v>0.15</v>
      </c>
      <c r="AY63" s="201">
        <v>0</v>
      </c>
      <c r="AZ63" s="201">
        <v>0.5</v>
      </c>
      <c r="BA63" s="201">
        <v>0.5</v>
      </c>
      <c r="BB63" s="201">
        <v>0</v>
      </c>
      <c r="BC63" s="201"/>
      <c r="BD63" s="201"/>
      <c r="BE63" s="201"/>
      <c r="BF63" s="363"/>
      <c r="BG63" s="379">
        <f t="shared" si="0"/>
        <v>0</v>
      </c>
      <c r="BH63" s="363"/>
      <c r="BI63" s="363"/>
      <c r="BJ63" s="650"/>
      <c r="BK63" s="650"/>
      <c r="BL63" s="683"/>
      <c r="BM63" s="201"/>
      <c r="BN63" s="85">
        <v>44927</v>
      </c>
      <c r="BO63" s="85">
        <v>45291</v>
      </c>
      <c r="BP63" s="4">
        <v>365</v>
      </c>
      <c r="BQ63" s="4">
        <v>200</v>
      </c>
      <c r="BR63" s="4">
        <v>200</v>
      </c>
      <c r="BS63" s="4" t="s">
        <v>91</v>
      </c>
      <c r="BT63" s="4" t="s">
        <v>92</v>
      </c>
      <c r="BU63" s="4" t="s">
        <v>184</v>
      </c>
      <c r="BV63" s="86">
        <v>65000000</v>
      </c>
      <c r="BW63" s="86">
        <v>0</v>
      </c>
      <c r="BX63" s="225">
        <f t="shared" si="1"/>
        <v>65000000</v>
      </c>
      <c r="BY63" s="102">
        <v>0</v>
      </c>
      <c r="BZ63" s="102">
        <v>0</v>
      </c>
      <c r="CA63" s="226">
        <f t="shared" si="2"/>
        <v>65000000</v>
      </c>
      <c r="CB63" s="86">
        <v>0</v>
      </c>
      <c r="CC63" s="226">
        <f t="shared" si="3"/>
        <v>65000000</v>
      </c>
      <c r="CD63" s="102">
        <v>0</v>
      </c>
      <c r="CE63" s="102">
        <v>0</v>
      </c>
      <c r="CF63" s="102">
        <v>0</v>
      </c>
      <c r="CG63" s="102">
        <f t="shared" si="15"/>
        <v>0</v>
      </c>
      <c r="CH63" s="86">
        <v>0</v>
      </c>
      <c r="CI63" s="86">
        <v>0</v>
      </c>
      <c r="CJ63" s="86">
        <v>0</v>
      </c>
      <c r="CK63" s="86">
        <f t="shared" si="16"/>
        <v>0</v>
      </c>
      <c r="CL63" s="86">
        <v>0</v>
      </c>
      <c r="CM63" s="86">
        <v>0</v>
      </c>
      <c r="CN63" s="102">
        <v>32500000</v>
      </c>
      <c r="CO63" s="102">
        <f t="shared" si="17"/>
        <v>32500000</v>
      </c>
      <c r="CP63" s="86">
        <v>0</v>
      </c>
      <c r="CQ63" s="86">
        <v>0</v>
      </c>
      <c r="CR63" s="86">
        <v>0</v>
      </c>
      <c r="CS63" s="226">
        <f t="shared" si="7"/>
        <v>0</v>
      </c>
      <c r="CT63" s="620"/>
      <c r="CU63" s="479"/>
      <c r="CV63" s="479"/>
      <c r="CW63" s="64" t="s">
        <v>108</v>
      </c>
      <c r="CX63" s="479"/>
      <c r="CY63" s="479"/>
      <c r="CZ63" s="479"/>
      <c r="DA63" s="248">
        <v>44958</v>
      </c>
      <c r="DB63" s="117" t="s">
        <v>338</v>
      </c>
      <c r="DC63" s="479"/>
      <c r="DD63" s="479"/>
      <c r="DE63" s="173" t="s">
        <v>536</v>
      </c>
      <c r="DF63" s="438"/>
      <c r="DG63" s="86">
        <f t="shared" si="8"/>
        <v>0</v>
      </c>
      <c r="DH63" s="80">
        <v>0.5</v>
      </c>
      <c r="DI63" s="64" t="s">
        <v>645</v>
      </c>
      <c r="DJ63" s="80">
        <v>0.5</v>
      </c>
      <c r="DK63" s="64"/>
      <c r="DL63" s="117" t="s">
        <v>767</v>
      </c>
    </row>
    <row r="64" spans="1:116" ht="114" customHeight="1" x14ac:dyDescent="0.25">
      <c r="A64" s="465"/>
      <c r="B64" s="506"/>
      <c r="C64" s="465"/>
      <c r="D64" s="436"/>
      <c r="E64" s="461"/>
      <c r="F64" s="436"/>
      <c r="G64" s="436"/>
      <c r="H64" s="436"/>
      <c r="I64" s="436"/>
      <c r="J64" s="482"/>
      <c r="K64" s="436"/>
      <c r="L64" s="436"/>
      <c r="M64" s="466"/>
      <c r="N64" s="436"/>
      <c r="O64" s="436"/>
      <c r="P64" s="436"/>
      <c r="Q64" s="438"/>
      <c r="R64" s="641"/>
      <c r="S64" s="656"/>
      <c r="T64" s="475"/>
      <c r="U64" s="475"/>
      <c r="V64" s="475"/>
      <c r="W64" s="475"/>
      <c r="X64" s="438"/>
      <c r="Y64" s="438"/>
      <c r="Z64" s="438"/>
      <c r="AA64" s="438"/>
      <c r="AB64" s="438"/>
      <c r="AC64" s="438"/>
      <c r="AD64" s="438"/>
      <c r="AE64" s="438"/>
      <c r="AF64" s="438"/>
      <c r="AG64" s="438"/>
      <c r="AH64" s="438"/>
      <c r="AI64" s="438"/>
      <c r="AJ64" s="623"/>
      <c r="AK64" s="67"/>
      <c r="AL64" s="282"/>
      <c r="AM64" s="282"/>
      <c r="AN64" s="438"/>
      <c r="AO64" s="438"/>
      <c r="AP64" s="438"/>
      <c r="AQ64" s="438"/>
      <c r="AR64" s="438"/>
      <c r="AS64" s="464"/>
      <c r="AT64" s="438"/>
      <c r="AU64" s="4" t="s">
        <v>339</v>
      </c>
      <c r="AV64" s="4" t="s">
        <v>340</v>
      </c>
      <c r="AW64" s="4">
        <v>1</v>
      </c>
      <c r="AX64" s="65">
        <v>0.2</v>
      </c>
      <c r="AY64" s="201">
        <v>0</v>
      </c>
      <c r="AZ64" s="201">
        <v>0.25</v>
      </c>
      <c r="BA64" s="201">
        <v>0.25</v>
      </c>
      <c r="BB64" s="201">
        <v>0.5</v>
      </c>
      <c r="BC64" s="201"/>
      <c r="BD64" s="201"/>
      <c r="BE64" s="201"/>
      <c r="BF64" s="363"/>
      <c r="BG64" s="379">
        <f t="shared" si="0"/>
        <v>0.5</v>
      </c>
      <c r="BH64" s="363"/>
      <c r="BI64" s="363"/>
      <c r="BJ64" s="650"/>
      <c r="BK64" s="650"/>
      <c r="BL64" s="683"/>
      <c r="BM64" s="201"/>
      <c r="BN64" s="85">
        <v>44927</v>
      </c>
      <c r="BO64" s="85">
        <v>45291</v>
      </c>
      <c r="BP64" s="4">
        <v>365</v>
      </c>
      <c r="BQ64" s="4">
        <v>200</v>
      </c>
      <c r="BR64" s="4">
        <v>200</v>
      </c>
      <c r="BS64" s="4" t="s">
        <v>91</v>
      </c>
      <c r="BT64" s="4" t="s">
        <v>92</v>
      </c>
      <c r="BU64" s="4" t="s">
        <v>184</v>
      </c>
      <c r="BV64" s="86">
        <v>40000000</v>
      </c>
      <c r="BW64" s="86">
        <v>0</v>
      </c>
      <c r="BX64" s="225">
        <f t="shared" si="1"/>
        <v>40000000</v>
      </c>
      <c r="BY64" s="102">
        <v>0</v>
      </c>
      <c r="BZ64" s="102">
        <v>0</v>
      </c>
      <c r="CA64" s="226">
        <f t="shared" si="2"/>
        <v>40000000</v>
      </c>
      <c r="CB64" s="86">
        <v>0</v>
      </c>
      <c r="CC64" s="226">
        <f t="shared" si="3"/>
        <v>40000000</v>
      </c>
      <c r="CD64" s="102">
        <v>0</v>
      </c>
      <c r="CE64" s="102">
        <v>0</v>
      </c>
      <c r="CF64" s="102">
        <v>0</v>
      </c>
      <c r="CG64" s="102">
        <f t="shared" si="15"/>
        <v>0</v>
      </c>
      <c r="CH64" s="86">
        <v>0</v>
      </c>
      <c r="CI64" s="86">
        <v>0</v>
      </c>
      <c r="CJ64" s="86">
        <v>0</v>
      </c>
      <c r="CK64" s="86">
        <f t="shared" si="16"/>
        <v>0</v>
      </c>
      <c r="CL64" s="86">
        <v>0</v>
      </c>
      <c r="CM64" s="86">
        <v>0</v>
      </c>
      <c r="CN64" s="102">
        <v>20000000</v>
      </c>
      <c r="CO64" s="102">
        <f t="shared" si="17"/>
        <v>20000000</v>
      </c>
      <c r="CP64" s="86">
        <v>0</v>
      </c>
      <c r="CQ64" s="86">
        <v>0</v>
      </c>
      <c r="CR64" s="86">
        <v>0</v>
      </c>
      <c r="CS64" s="226">
        <f t="shared" si="7"/>
        <v>0</v>
      </c>
      <c r="CT64" s="620"/>
      <c r="CU64" s="479"/>
      <c r="CV64" s="479"/>
      <c r="CW64" s="64" t="s">
        <v>108</v>
      </c>
      <c r="CX64" s="479"/>
      <c r="CY64" s="479"/>
      <c r="CZ64" s="479"/>
      <c r="DA64" s="248">
        <v>44958</v>
      </c>
      <c r="DB64" s="117" t="s">
        <v>341</v>
      </c>
      <c r="DC64" s="479"/>
      <c r="DD64" s="479"/>
      <c r="DE64" s="173" t="s">
        <v>536</v>
      </c>
      <c r="DF64" s="438"/>
      <c r="DG64" s="86">
        <f t="shared" si="8"/>
        <v>0</v>
      </c>
      <c r="DH64" s="80">
        <v>0.25</v>
      </c>
      <c r="DI64" s="64" t="s">
        <v>646</v>
      </c>
      <c r="DJ64" s="80">
        <v>0.25</v>
      </c>
      <c r="DK64" s="64"/>
      <c r="DL64" s="117" t="s">
        <v>768</v>
      </c>
    </row>
    <row r="65" spans="1:116" ht="88.15" customHeight="1" x14ac:dyDescent="0.25">
      <c r="A65" s="465"/>
      <c r="B65" s="506"/>
      <c r="C65" s="465"/>
      <c r="D65" s="436"/>
      <c r="E65" s="461"/>
      <c r="F65" s="436" t="s">
        <v>342</v>
      </c>
      <c r="G65" s="436">
        <v>4</v>
      </c>
      <c r="H65" s="436" t="s">
        <v>76</v>
      </c>
      <c r="I65" s="436">
        <v>1</v>
      </c>
      <c r="J65" s="482"/>
      <c r="K65" s="436" t="s">
        <v>343</v>
      </c>
      <c r="L65" s="436" t="s">
        <v>76</v>
      </c>
      <c r="M65" s="466" t="s">
        <v>322</v>
      </c>
      <c r="N65" s="436" t="s">
        <v>342</v>
      </c>
      <c r="O65" s="436" t="s">
        <v>80</v>
      </c>
      <c r="P65" s="436"/>
      <c r="Q65" s="438" t="s">
        <v>344</v>
      </c>
      <c r="R65" s="641">
        <v>4</v>
      </c>
      <c r="S65" s="656">
        <v>2</v>
      </c>
      <c r="T65" s="475">
        <v>0</v>
      </c>
      <c r="U65" s="475">
        <v>0</v>
      </c>
      <c r="V65" s="475">
        <v>0</v>
      </c>
      <c r="W65" s="475">
        <f>SUM(T65:V68)</f>
        <v>0</v>
      </c>
      <c r="X65" s="438">
        <v>0</v>
      </c>
      <c r="Y65" s="438">
        <v>0</v>
      </c>
      <c r="Z65" s="438">
        <v>1</v>
      </c>
      <c r="AA65" s="438">
        <f>SUM(X65:Z68)</f>
        <v>1</v>
      </c>
      <c r="AB65" s="438">
        <v>0</v>
      </c>
      <c r="AC65" s="438">
        <v>1</v>
      </c>
      <c r="AD65" s="438">
        <v>1</v>
      </c>
      <c r="AE65" s="438">
        <f>SUM(AB65:AD68)</f>
        <v>2</v>
      </c>
      <c r="AF65" s="438">
        <v>0</v>
      </c>
      <c r="AG65" s="438">
        <v>1</v>
      </c>
      <c r="AH65" s="438">
        <v>0</v>
      </c>
      <c r="AI65" s="438">
        <v>1</v>
      </c>
      <c r="AJ65" s="623">
        <v>2</v>
      </c>
      <c r="AK65" s="67"/>
      <c r="AL65" s="282"/>
      <c r="AM65" s="282"/>
      <c r="AN65" s="438"/>
      <c r="AO65" s="438"/>
      <c r="AP65" s="438"/>
      <c r="AQ65" s="438"/>
      <c r="AR65" s="438"/>
      <c r="AS65" s="464"/>
      <c r="AT65" s="438"/>
      <c r="AU65" s="4" t="s">
        <v>345</v>
      </c>
      <c r="AV65" s="64" t="s">
        <v>346</v>
      </c>
      <c r="AW65" s="4">
        <v>2</v>
      </c>
      <c r="AX65" s="65">
        <v>0.05</v>
      </c>
      <c r="AY65" s="201">
        <v>0</v>
      </c>
      <c r="AZ65" s="201">
        <v>1</v>
      </c>
      <c r="BA65" s="201">
        <v>0</v>
      </c>
      <c r="BB65" s="201">
        <v>1</v>
      </c>
      <c r="BC65" s="201"/>
      <c r="BD65" s="201"/>
      <c r="BE65" s="201"/>
      <c r="BF65" s="363"/>
      <c r="BG65" s="379">
        <f t="shared" si="0"/>
        <v>0.5</v>
      </c>
      <c r="BH65" s="363"/>
      <c r="BI65" s="363"/>
      <c r="BJ65" s="650"/>
      <c r="BK65" s="650"/>
      <c r="BL65" s="683"/>
      <c r="BM65" s="201"/>
      <c r="BN65" s="85">
        <v>44927</v>
      </c>
      <c r="BO65" s="85">
        <v>45291</v>
      </c>
      <c r="BP65" s="4">
        <v>365</v>
      </c>
      <c r="BQ65" s="4">
        <v>200</v>
      </c>
      <c r="BR65" s="4">
        <v>200</v>
      </c>
      <c r="BS65" s="4" t="s">
        <v>91</v>
      </c>
      <c r="BT65" s="4" t="s">
        <v>92</v>
      </c>
      <c r="BU65" s="4" t="s">
        <v>184</v>
      </c>
      <c r="BV65" s="86">
        <v>25000000</v>
      </c>
      <c r="BW65" s="86">
        <v>0</v>
      </c>
      <c r="BX65" s="225">
        <f t="shared" si="1"/>
        <v>25000000</v>
      </c>
      <c r="BY65" s="102">
        <v>0</v>
      </c>
      <c r="BZ65" s="102">
        <v>0</v>
      </c>
      <c r="CA65" s="226">
        <f t="shared" si="2"/>
        <v>25000000</v>
      </c>
      <c r="CB65" s="86">
        <v>0</v>
      </c>
      <c r="CC65" s="226">
        <f t="shared" si="3"/>
        <v>25000000</v>
      </c>
      <c r="CD65" s="102">
        <v>0</v>
      </c>
      <c r="CE65" s="102">
        <v>0</v>
      </c>
      <c r="CF65" s="102">
        <v>0</v>
      </c>
      <c r="CG65" s="102">
        <f t="shared" si="15"/>
        <v>0</v>
      </c>
      <c r="CH65" s="86">
        <v>0</v>
      </c>
      <c r="CI65" s="86">
        <v>0</v>
      </c>
      <c r="CJ65" s="86">
        <v>0</v>
      </c>
      <c r="CK65" s="86">
        <f t="shared" si="16"/>
        <v>0</v>
      </c>
      <c r="CL65" s="86">
        <v>0</v>
      </c>
      <c r="CM65" s="86">
        <v>0</v>
      </c>
      <c r="CN65" s="102">
        <v>25000000</v>
      </c>
      <c r="CO65" s="102">
        <f t="shared" si="17"/>
        <v>25000000</v>
      </c>
      <c r="CP65" s="226">
        <v>25000000</v>
      </c>
      <c r="CQ65" s="86">
        <v>0</v>
      </c>
      <c r="CR65" s="86">
        <v>0</v>
      </c>
      <c r="CS65" s="226">
        <f t="shared" si="7"/>
        <v>25000000</v>
      </c>
      <c r="CT65" s="620"/>
      <c r="CU65" s="479"/>
      <c r="CV65" s="479"/>
      <c r="CW65" s="64" t="s">
        <v>108</v>
      </c>
      <c r="CX65" s="479"/>
      <c r="CY65" s="479"/>
      <c r="CZ65" s="479"/>
      <c r="DA65" s="248">
        <v>44927</v>
      </c>
      <c r="DB65" s="117" t="s">
        <v>347</v>
      </c>
      <c r="DC65" s="479"/>
      <c r="DD65" s="479"/>
      <c r="DE65" s="173" t="s">
        <v>536</v>
      </c>
      <c r="DF65" s="568" t="s">
        <v>603</v>
      </c>
      <c r="DG65" s="86">
        <f t="shared" si="8"/>
        <v>0</v>
      </c>
      <c r="DH65" s="80">
        <v>0.5</v>
      </c>
      <c r="DI65" s="64" t="s">
        <v>647</v>
      </c>
      <c r="DJ65" s="80">
        <v>0.5</v>
      </c>
      <c r="DK65" s="64"/>
      <c r="DL65" s="117" t="s">
        <v>769</v>
      </c>
    </row>
    <row r="66" spans="1:116" ht="42.75" x14ac:dyDescent="0.25">
      <c r="A66" s="465"/>
      <c r="B66" s="506"/>
      <c r="C66" s="465"/>
      <c r="D66" s="436"/>
      <c r="E66" s="461"/>
      <c r="F66" s="436"/>
      <c r="G66" s="436"/>
      <c r="H66" s="436"/>
      <c r="I66" s="436"/>
      <c r="J66" s="482"/>
      <c r="K66" s="436"/>
      <c r="L66" s="436"/>
      <c r="M66" s="466"/>
      <c r="N66" s="436"/>
      <c r="O66" s="436"/>
      <c r="P66" s="436"/>
      <c r="Q66" s="438"/>
      <c r="R66" s="641"/>
      <c r="S66" s="656"/>
      <c r="T66" s="475"/>
      <c r="U66" s="475"/>
      <c r="V66" s="475"/>
      <c r="W66" s="475"/>
      <c r="X66" s="438"/>
      <c r="Y66" s="438"/>
      <c r="Z66" s="438"/>
      <c r="AA66" s="438"/>
      <c r="AB66" s="438"/>
      <c r="AC66" s="438"/>
      <c r="AD66" s="438"/>
      <c r="AE66" s="438"/>
      <c r="AF66" s="438"/>
      <c r="AG66" s="438"/>
      <c r="AH66" s="438"/>
      <c r="AI66" s="438"/>
      <c r="AJ66" s="623"/>
      <c r="AK66" s="67"/>
      <c r="AL66" s="282">
        <f>AI65/S65</f>
        <v>0.5</v>
      </c>
      <c r="AM66" s="282">
        <f>AJ65/R65</f>
        <v>0.5</v>
      </c>
      <c r="AN66" s="438"/>
      <c r="AO66" s="438"/>
      <c r="AP66" s="438"/>
      <c r="AQ66" s="438"/>
      <c r="AR66" s="438"/>
      <c r="AS66" s="464"/>
      <c r="AT66" s="438"/>
      <c r="AU66" s="4" t="s">
        <v>348</v>
      </c>
      <c r="AV66" s="64" t="s">
        <v>349</v>
      </c>
      <c r="AW66" s="4">
        <v>2</v>
      </c>
      <c r="AX66" s="65">
        <v>0.1</v>
      </c>
      <c r="AY66" s="201">
        <v>0</v>
      </c>
      <c r="AZ66" s="201">
        <v>1</v>
      </c>
      <c r="BA66" s="201">
        <v>0</v>
      </c>
      <c r="BB66" s="201">
        <v>1</v>
      </c>
      <c r="BC66" s="201"/>
      <c r="BD66" s="201"/>
      <c r="BE66" s="201"/>
      <c r="BF66" s="363"/>
      <c r="BG66" s="379">
        <f t="shared" si="0"/>
        <v>0.5</v>
      </c>
      <c r="BH66" s="363"/>
      <c r="BI66" s="363"/>
      <c r="BJ66" s="650"/>
      <c r="BK66" s="650"/>
      <c r="BL66" s="683"/>
      <c r="BM66" s="201"/>
      <c r="BN66" s="85">
        <v>44927</v>
      </c>
      <c r="BO66" s="85">
        <v>45291</v>
      </c>
      <c r="BP66" s="4">
        <v>365</v>
      </c>
      <c r="BQ66" s="4">
        <v>300</v>
      </c>
      <c r="BR66" s="4">
        <v>300</v>
      </c>
      <c r="BS66" s="4" t="s">
        <v>91</v>
      </c>
      <c r="BT66" s="4" t="s">
        <v>92</v>
      </c>
      <c r="BU66" s="4" t="s">
        <v>184</v>
      </c>
      <c r="BV66" s="86">
        <v>16000000</v>
      </c>
      <c r="BW66" s="86">
        <v>0</v>
      </c>
      <c r="BX66" s="225">
        <f t="shared" si="1"/>
        <v>16000000</v>
      </c>
      <c r="BY66" s="102">
        <v>0</v>
      </c>
      <c r="BZ66" s="102">
        <v>0</v>
      </c>
      <c r="CA66" s="226">
        <f t="shared" si="2"/>
        <v>16000000</v>
      </c>
      <c r="CB66" s="86">
        <v>0</v>
      </c>
      <c r="CC66" s="226">
        <f t="shared" si="3"/>
        <v>16000000</v>
      </c>
      <c r="CD66" s="102">
        <v>0</v>
      </c>
      <c r="CE66" s="102">
        <v>0</v>
      </c>
      <c r="CF66" s="102">
        <v>0</v>
      </c>
      <c r="CG66" s="102">
        <f t="shared" si="15"/>
        <v>0</v>
      </c>
      <c r="CH66" s="86">
        <v>0</v>
      </c>
      <c r="CI66" s="86">
        <v>0</v>
      </c>
      <c r="CJ66" s="86">
        <v>0</v>
      </c>
      <c r="CK66" s="86">
        <f t="shared" si="16"/>
        <v>0</v>
      </c>
      <c r="CL66" s="86">
        <v>0</v>
      </c>
      <c r="CM66" s="86">
        <v>0</v>
      </c>
      <c r="CN66" s="102">
        <v>16000000</v>
      </c>
      <c r="CO66" s="102">
        <f t="shared" si="17"/>
        <v>16000000</v>
      </c>
      <c r="CP66" s="226">
        <v>16000000</v>
      </c>
      <c r="CQ66" s="86">
        <v>0</v>
      </c>
      <c r="CR66" s="86">
        <v>0</v>
      </c>
      <c r="CS66" s="226">
        <f t="shared" si="7"/>
        <v>16000000</v>
      </c>
      <c r="CT66" s="620"/>
      <c r="CU66" s="479"/>
      <c r="CV66" s="479"/>
      <c r="CW66" s="64" t="s">
        <v>108</v>
      </c>
      <c r="CX66" s="479"/>
      <c r="CY66" s="479"/>
      <c r="CZ66" s="479"/>
      <c r="DA66" s="248">
        <v>44927</v>
      </c>
      <c r="DB66" s="276" t="s">
        <v>350</v>
      </c>
      <c r="DC66" s="479"/>
      <c r="DD66" s="479"/>
      <c r="DE66" s="173" t="s">
        <v>536</v>
      </c>
      <c r="DF66" s="568"/>
      <c r="DG66" s="86">
        <f t="shared" si="8"/>
        <v>0</v>
      </c>
      <c r="DH66" s="80">
        <v>0.5</v>
      </c>
      <c r="DI66" s="64" t="s">
        <v>648</v>
      </c>
      <c r="DJ66" s="80">
        <v>0.5</v>
      </c>
      <c r="DK66" s="64"/>
      <c r="DL66" s="117" t="s">
        <v>770</v>
      </c>
    </row>
    <row r="67" spans="1:116" ht="66.599999999999994" customHeight="1" x14ac:dyDescent="0.25">
      <c r="A67" s="465"/>
      <c r="B67" s="506"/>
      <c r="C67" s="465"/>
      <c r="D67" s="436"/>
      <c r="E67" s="461"/>
      <c r="F67" s="436"/>
      <c r="G67" s="436"/>
      <c r="H67" s="436"/>
      <c r="I67" s="436"/>
      <c r="J67" s="482"/>
      <c r="K67" s="436"/>
      <c r="L67" s="436"/>
      <c r="M67" s="466"/>
      <c r="N67" s="436"/>
      <c r="O67" s="436"/>
      <c r="P67" s="436"/>
      <c r="Q67" s="438"/>
      <c r="R67" s="641"/>
      <c r="S67" s="656"/>
      <c r="T67" s="475"/>
      <c r="U67" s="475"/>
      <c r="V67" s="475"/>
      <c r="W67" s="475"/>
      <c r="X67" s="438"/>
      <c r="Y67" s="438"/>
      <c r="Z67" s="438"/>
      <c r="AA67" s="438"/>
      <c r="AB67" s="438"/>
      <c r="AC67" s="438"/>
      <c r="AD67" s="438"/>
      <c r="AE67" s="438"/>
      <c r="AF67" s="438"/>
      <c r="AG67" s="438"/>
      <c r="AH67" s="438"/>
      <c r="AI67" s="438"/>
      <c r="AJ67" s="623"/>
      <c r="AK67" s="67"/>
      <c r="AL67" s="282"/>
      <c r="AM67" s="282"/>
      <c r="AN67" s="438"/>
      <c r="AO67" s="438"/>
      <c r="AP67" s="438"/>
      <c r="AQ67" s="438"/>
      <c r="AR67" s="438"/>
      <c r="AS67" s="464"/>
      <c r="AT67" s="438"/>
      <c r="AU67" s="4" t="s">
        <v>351</v>
      </c>
      <c r="AV67" s="64" t="s">
        <v>349</v>
      </c>
      <c r="AW67" s="4">
        <v>3</v>
      </c>
      <c r="AX67" s="65">
        <v>0.1</v>
      </c>
      <c r="AY67" s="201">
        <v>0</v>
      </c>
      <c r="AZ67" s="201">
        <v>1</v>
      </c>
      <c r="BA67" s="201">
        <v>1</v>
      </c>
      <c r="BB67" s="201">
        <v>1</v>
      </c>
      <c r="BC67" s="201"/>
      <c r="BD67" s="201"/>
      <c r="BE67" s="201"/>
      <c r="BF67" s="363"/>
      <c r="BG67" s="379">
        <f t="shared" si="0"/>
        <v>0.33333333333333331</v>
      </c>
      <c r="BH67" s="363"/>
      <c r="BI67" s="363"/>
      <c r="BJ67" s="650"/>
      <c r="BK67" s="650"/>
      <c r="BL67" s="683"/>
      <c r="BM67" s="201"/>
      <c r="BN67" s="85">
        <v>44927</v>
      </c>
      <c r="BO67" s="85">
        <v>45291</v>
      </c>
      <c r="BP67" s="4">
        <v>365</v>
      </c>
      <c r="BQ67" s="4">
        <v>300</v>
      </c>
      <c r="BR67" s="4">
        <v>300</v>
      </c>
      <c r="BS67" s="4" t="s">
        <v>91</v>
      </c>
      <c r="BT67" s="4" t="s">
        <v>92</v>
      </c>
      <c r="BU67" s="4" t="s">
        <v>184</v>
      </c>
      <c r="BV67" s="86">
        <v>100140000</v>
      </c>
      <c r="BW67" s="86">
        <v>0</v>
      </c>
      <c r="BX67" s="225">
        <f t="shared" si="1"/>
        <v>100140000</v>
      </c>
      <c r="BY67" s="102">
        <v>0</v>
      </c>
      <c r="BZ67" s="102">
        <v>0</v>
      </c>
      <c r="CA67" s="226">
        <f t="shared" si="2"/>
        <v>100140000</v>
      </c>
      <c r="CB67" s="86">
        <v>0</v>
      </c>
      <c r="CC67" s="226">
        <f t="shared" si="3"/>
        <v>100140000</v>
      </c>
      <c r="CD67" s="102">
        <v>0</v>
      </c>
      <c r="CE67" s="102">
        <v>0</v>
      </c>
      <c r="CF67" s="102">
        <v>0</v>
      </c>
      <c r="CG67" s="102">
        <f t="shared" si="15"/>
        <v>0</v>
      </c>
      <c r="CH67" s="86">
        <v>0</v>
      </c>
      <c r="CI67" s="86">
        <v>0</v>
      </c>
      <c r="CJ67" s="86">
        <v>0</v>
      </c>
      <c r="CK67" s="86">
        <f t="shared" si="16"/>
        <v>0</v>
      </c>
      <c r="CL67" s="86">
        <v>0</v>
      </c>
      <c r="CM67" s="86">
        <v>0</v>
      </c>
      <c r="CN67" s="102">
        <v>35000000</v>
      </c>
      <c r="CO67" s="102">
        <f t="shared" si="17"/>
        <v>35000000</v>
      </c>
      <c r="CP67" s="86">
        <v>100140000</v>
      </c>
      <c r="CQ67" s="86">
        <v>0</v>
      </c>
      <c r="CR67" s="86">
        <v>0</v>
      </c>
      <c r="CS67" s="226">
        <f t="shared" si="7"/>
        <v>100140000</v>
      </c>
      <c r="CT67" s="620"/>
      <c r="CU67" s="479"/>
      <c r="CV67" s="479"/>
      <c r="CW67" s="64" t="s">
        <v>108</v>
      </c>
      <c r="CX67" s="479"/>
      <c r="CY67" s="479"/>
      <c r="CZ67" s="479"/>
      <c r="DA67" s="248">
        <v>44927</v>
      </c>
      <c r="DB67" s="276" t="s">
        <v>350</v>
      </c>
      <c r="DC67" s="479"/>
      <c r="DD67" s="479"/>
      <c r="DE67" s="173" t="s">
        <v>536</v>
      </c>
      <c r="DF67" s="568"/>
      <c r="DG67" s="86">
        <f t="shared" si="8"/>
        <v>0</v>
      </c>
      <c r="DH67" s="80">
        <v>0.33</v>
      </c>
      <c r="DI67" s="64" t="s">
        <v>649</v>
      </c>
      <c r="DJ67" s="80">
        <v>0.33</v>
      </c>
      <c r="DK67" s="64"/>
      <c r="DL67" s="117" t="s">
        <v>771</v>
      </c>
    </row>
    <row r="68" spans="1:116" ht="80.45" customHeight="1" x14ac:dyDescent="0.25">
      <c r="A68" s="465"/>
      <c r="B68" s="506"/>
      <c r="C68" s="465"/>
      <c r="D68" s="436"/>
      <c r="E68" s="461"/>
      <c r="F68" s="436"/>
      <c r="G68" s="436"/>
      <c r="H68" s="436"/>
      <c r="I68" s="436"/>
      <c r="J68" s="482"/>
      <c r="K68" s="436"/>
      <c r="L68" s="436"/>
      <c r="M68" s="466"/>
      <c r="N68" s="436"/>
      <c r="O68" s="436"/>
      <c r="P68" s="436"/>
      <c r="Q68" s="438"/>
      <c r="R68" s="641"/>
      <c r="S68" s="656"/>
      <c r="T68" s="475"/>
      <c r="U68" s="475"/>
      <c r="V68" s="475"/>
      <c r="W68" s="475"/>
      <c r="X68" s="438"/>
      <c r="Y68" s="438"/>
      <c r="Z68" s="438"/>
      <c r="AA68" s="438"/>
      <c r="AB68" s="438"/>
      <c r="AC68" s="438"/>
      <c r="AD68" s="438"/>
      <c r="AE68" s="438"/>
      <c r="AF68" s="438"/>
      <c r="AG68" s="438"/>
      <c r="AH68" s="438"/>
      <c r="AI68" s="438"/>
      <c r="AJ68" s="623"/>
      <c r="AK68" s="67"/>
      <c r="AL68" s="282"/>
      <c r="AM68" s="282"/>
      <c r="AN68" s="438"/>
      <c r="AO68" s="438"/>
      <c r="AP68" s="438"/>
      <c r="AQ68" s="438"/>
      <c r="AR68" s="438"/>
      <c r="AS68" s="464"/>
      <c r="AT68" s="438"/>
      <c r="AU68" s="4" t="s">
        <v>352</v>
      </c>
      <c r="AV68" s="64" t="s">
        <v>353</v>
      </c>
      <c r="AW68" s="4">
        <v>2</v>
      </c>
      <c r="AX68" s="65">
        <v>0.05</v>
      </c>
      <c r="AY68" s="201">
        <v>0</v>
      </c>
      <c r="AZ68" s="201">
        <v>0</v>
      </c>
      <c r="BA68" s="201">
        <v>1</v>
      </c>
      <c r="BB68" s="201">
        <v>1</v>
      </c>
      <c r="BC68" s="201"/>
      <c r="BD68" s="201"/>
      <c r="BE68" s="201"/>
      <c r="BF68" s="363"/>
      <c r="BG68" s="379">
        <f t="shared" si="0"/>
        <v>0.5</v>
      </c>
      <c r="BH68" s="363"/>
      <c r="BI68" s="363"/>
      <c r="BJ68" s="650"/>
      <c r="BK68" s="650"/>
      <c r="BL68" s="683"/>
      <c r="BM68" s="201"/>
      <c r="BN68" s="85">
        <v>44927</v>
      </c>
      <c r="BO68" s="85">
        <v>45291</v>
      </c>
      <c r="BP68" s="4">
        <v>365</v>
      </c>
      <c r="BQ68" s="4">
        <v>50</v>
      </c>
      <c r="BR68" s="4">
        <v>50</v>
      </c>
      <c r="BS68" s="4" t="s">
        <v>91</v>
      </c>
      <c r="BT68" s="4" t="s">
        <v>92</v>
      </c>
      <c r="BU68" s="4" t="s">
        <v>184</v>
      </c>
      <c r="BV68" s="86">
        <v>0</v>
      </c>
      <c r="BW68" s="86">
        <v>0</v>
      </c>
      <c r="BX68" s="225">
        <f t="shared" si="1"/>
        <v>0</v>
      </c>
      <c r="BY68" s="102">
        <v>0</v>
      </c>
      <c r="BZ68" s="102">
        <v>0</v>
      </c>
      <c r="CA68" s="226">
        <f t="shared" si="2"/>
        <v>0</v>
      </c>
      <c r="CB68" s="86">
        <v>0</v>
      </c>
      <c r="CC68" s="226">
        <f t="shared" si="3"/>
        <v>0</v>
      </c>
      <c r="CD68" s="102">
        <v>0</v>
      </c>
      <c r="CE68" s="102">
        <v>0</v>
      </c>
      <c r="CF68" s="102">
        <v>0</v>
      </c>
      <c r="CG68" s="102">
        <f t="shared" si="15"/>
        <v>0</v>
      </c>
      <c r="CH68" s="86">
        <v>0</v>
      </c>
      <c r="CI68" s="86">
        <v>0</v>
      </c>
      <c r="CJ68" s="86">
        <v>0</v>
      </c>
      <c r="CK68" s="86">
        <f t="shared" si="16"/>
        <v>0</v>
      </c>
      <c r="CL68" s="86">
        <v>0</v>
      </c>
      <c r="CM68" s="86">
        <v>0</v>
      </c>
      <c r="CN68" s="102">
        <v>0</v>
      </c>
      <c r="CO68" s="102">
        <f t="shared" si="17"/>
        <v>0</v>
      </c>
      <c r="CP68" s="86">
        <v>0</v>
      </c>
      <c r="CQ68" s="86">
        <v>0</v>
      </c>
      <c r="CR68" s="86">
        <v>42614671</v>
      </c>
      <c r="CS68" s="226">
        <f t="shared" si="7"/>
        <v>42614671</v>
      </c>
      <c r="CT68" s="620"/>
      <c r="CU68" s="479"/>
      <c r="CV68" s="479"/>
      <c r="CW68" s="64" t="s">
        <v>108</v>
      </c>
      <c r="CX68" s="480"/>
      <c r="CY68" s="480"/>
      <c r="CZ68" s="480"/>
      <c r="DA68" s="248">
        <v>44927</v>
      </c>
      <c r="DB68" s="117" t="s">
        <v>354</v>
      </c>
      <c r="DC68" s="479"/>
      <c r="DD68" s="479"/>
      <c r="DE68" s="173" t="s">
        <v>536</v>
      </c>
      <c r="DF68" s="568"/>
      <c r="DG68" s="86">
        <f t="shared" si="8"/>
        <v>0</v>
      </c>
      <c r="DH68" s="80">
        <v>0</v>
      </c>
      <c r="DI68" s="64" t="s">
        <v>650</v>
      </c>
      <c r="DJ68" s="80">
        <v>0</v>
      </c>
      <c r="DK68" s="64"/>
      <c r="DL68" s="117" t="s">
        <v>758</v>
      </c>
    </row>
    <row r="69" spans="1:116" ht="91.15" customHeight="1" x14ac:dyDescent="0.25">
      <c r="A69" s="465"/>
      <c r="B69" s="506"/>
      <c r="C69" s="465"/>
      <c r="D69" s="436"/>
      <c r="E69" s="461"/>
      <c r="F69" s="4" t="s">
        <v>355</v>
      </c>
      <c r="G69" s="4">
        <v>1</v>
      </c>
      <c r="H69" s="29" t="s">
        <v>76</v>
      </c>
      <c r="I69" s="4" t="s">
        <v>120</v>
      </c>
      <c r="J69" s="482"/>
      <c r="K69" s="4" t="s">
        <v>356</v>
      </c>
      <c r="L69" s="4" t="s">
        <v>76</v>
      </c>
      <c r="M69" s="29" t="s">
        <v>322</v>
      </c>
      <c r="N69" s="4" t="s">
        <v>355</v>
      </c>
      <c r="O69" s="4" t="s">
        <v>219</v>
      </c>
      <c r="P69" s="4" t="s">
        <v>219</v>
      </c>
      <c r="Q69" s="64" t="s">
        <v>357</v>
      </c>
      <c r="R69" s="288" t="s">
        <v>97</v>
      </c>
      <c r="S69" s="294" t="s">
        <v>97</v>
      </c>
      <c r="T69" s="71">
        <v>0</v>
      </c>
      <c r="U69" s="71">
        <v>0</v>
      </c>
      <c r="V69" s="71">
        <v>0</v>
      </c>
      <c r="W69" s="71">
        <f>SUM(T69:V69)</f>
        <v>0</v>
      </c>
      <c r="X69" s="64" t="s">
        <v>120</v>
      </c>
      <c r="Y69" s="64" t="s">
        <v>120</v>
      </c>
      <c r="Z69" s="64" t="s">
        <v>120</v>
      </c>
      <c r="AA69" s="64" t="s">
        <v>120</v>
      </c>
      <c r="AB69" s="64" t="s">
        <v>120</v>
      </c>
      <c r="AC69" s="64" t="s">
        <v>120</v>
      </c>
      <c r="AD69" s="64" t="s">
        <v>120</v>
      </c>
      <c r="AE69" s="64" t="s">
        <v>120</v>
      </c>
      <c r="AF69" s="64" t="s">
        <v>120</v>
      </c>
      <c r="AG69" s="64" t="s">
        <v>120</v>
      </c>
      <c r="AH69" s="64" t="s">
        <v>120</v>
      </c>
      <c r="AI69" s="64" t="s">
        <v>120</v>
      </c>
      <c r="AJ69" s="287" t="s">
        <v>97</v>
      </c>
      <c r="AK69" s="67"/>
      <c r="AL69" s="282"/>
      <c r="AM69" s="282"/>
      <c r="AN69" s="438"/>
      <c r="AO69" s="438"/>
      <c r="AP69" s="438"/>
      <c r="AQ69" s="438"/>
      <c r="AR69" s="438"/>
      <c r="AS69" s="464"/>
      <c r="AT69" s="438"/>
      <c r="AU69" s="4" t="s">
        <v>358</v>
      </c>
      <c r="AV69" s="64" t="s">
        <v>97</v>
      </c>
      <c r="AW69" s="4">
        <v>0</v>
      </c>
      <c r="AX69" s="4" t="s">
        <v>120</v>
      </c>
      <c r="AY69" s="4" t="s">
        <v>120</v>
      </c>
      <c r="AZ69" s="4" t="s">
        <v>120</v>
      </c>
      <c r="BA69" s="4" t="s">
        <v>120</v>
      </c>
      <c r="BB69" s="4" t="s">
        <v>120</v>
      </c>
      <c r="BC69" s="4"/>
      <c r="BD69" s="4"/>
      <c r="BE69" s="4"/>
      <c r="BF69" s="313"/>
      <c r="BG69" s="379"/>
      <c r="BH69" s="313"/>
      <c r="BI69" s="313"/>
      <c r="BJ69" s="650"/>
      <c r="BK69" s="650"/>
      <c r="BL69" s="683"/>
      <c r="BM69" s="4"/>
      <c r="BN69" s="4" t="s">
        <v>120</v>
      </c>
      <c r="BO69" s="4" t="s">
        <v>120</v>
      </c>
      <c r="BP69" s="4" t="s">
        <v>120</v>
      </c>
      <c r="BQ69" s="4" t="s">
        <v>120</v>
      </c>
      <c r="BR69" s="4" t="s">
        <v>120</v>
      </c>
      <c r="BS69" s="4" t="s">
        <v>91</v>
      </c>
      <c r="BT69" s="4" t="s">
        <v>92</v>
      </c>
      <c r="BU69" s="4" t="s">
        <v>184</v>
      </c>
      <c r="BV69" s="86">
        <v>0</v>
      </c>
      <c r="BW69" s="86">
        <v>0</v>
      </c>
      <c r="BX69" s="226">
        <f t="shared" si="1"/>
        <v>0</v>
      </c>
      <c r="BY69" s="86">
        <v>0</v>
      </c>
      <c r="BZ69" s="102">
        <v>0</v>
      </c>
      <c r="CA69" s="226">
        <f t="shared" si="2"/>
        <v>0</v>
      </c>
      <c r="CB69" s="86">
        <v>0</v>
      </c>
      <c r="CC69" s="226">
        <f t="shared" si="3"/>
        <v>0</v>
      </c>
      <c r="CD69" s="102">
        <v>0</v>
      </c>
      <c r="CE69" s="102">
        <v>0</v>
      </c>
      <c r="CF69" s="102">
        <v>0</v>
      </c>
      <c r="CG69" s="102">
        <f t="shared" si="15"/>
        <v>0</v>
      </c>
      <c r="CH69" s="86">
        <v>0</v>
      </c>
      <c r="CI69" s="86">
        <v>0</v>
      </c>
      <c r="CJ69" s="86">
        <v>0</v>
      </c>
      <c r="CK69" s="86">
        <f t="shared" si="16"/>
        <v>0</v>
      </c>
      <c r="CL69" s="86">
        <v>0</v>
      </c>
      <c r="CM69" s="86">
        <v>0</v>
      </c>
      <c r="CN69" s="102">
        <v>0</v>
      </c>
      <c r="CO69" s="102">
        <f t="shared" si="17"/>
        <v>0</v>
      </c>
      <c r="CP69" s="86" t="s">
        <v>97</v>
      </c>
      <c r="CQ69" s="86" t="s">
        <v>97</v>
      </c>
      <c r="CR69" s="86" t="s">
        <v>97</v>
      </c>
      <c r="CS69" s="226">
        <f t="shared" si="7"/>
        <v>0</v>
      </c>
      <c r="CT69" s="620"/>
      <c r="CU69" s="479"/>
      <c r="CV69" s="479"/>
      <c r="CW69" s="64" t="s">
        <v>97</v>
      </c>
      <c r="CX69" s="64" t="s">
        <v>97</v>
      </c>
      <c r="CY69" s="248" t="s">
        <v>97</v>
      </c>
      <c r="CZ69" s="64" t="s">
        <v>97</v>
      </c>
      <c r="DA69" s="248" t="s">
        <v>97</v>
      </c>
      <c r="DB69" s="64" t="s">
        <v>97</v>
      </c>
      <c r="DC69" s="479"/>
      <c r="DD69" s="479"/>
      <c r="DE69" s="173"/>
      <c r="DF69" s="173" t="s">
        <v>582</v>
      </c>
      <c r="DG69" s="86">
        <f t="shared" si="8"/>
        <v>0</v>
      </c>
      <c r="DH69" s="64" t="s">
        <v>120</v>
      </c>
      <c r="DI69" s="64" t="s">
        <v>652</v>
      </c>
      <c r="DJ69" s="64" t="s">
        <v>120</v>
      </c>
      <c r="DK69" s="64"/>
      <c r="DL69" s="117" t="s">
        <v>772</v>
      </c>
    </row>
    <row r="70" spans="1:116" ht="75" customHeight="1" x14ac:dyDescent="0.25">
      <c r="A70" s="465"/>
      <c r="B70" s="506"/>
      <c r="C70" s="465"/>
      <c r="D70" s="436"/>
      <c r="E70" s="461"/>
      <c r="F70" s="405" t="s">
        <v>359</v>
      </c>
      <c r="G70" s="405">
        <v>1</v>
      </c>
      <c r="H70" s="456" t="s">
        <v>76</v>
      </c>
      <c r="I70" s="405">
        <v>1</v>
      </c>
      <c r="J70" s="482"/>
      <c r="K70" s="436" t="s">
        <v>360</v>
      </c>
      <c r="L70" s="438" t="s">
        <v>76</v>
      </c>
      <c r="M70" s="466" t="s">
        <v>322</v>
      </c>
      <c r="N70" s="436" t="s">
        <v>359</v>
      </c>
      <c r="O70" s="436"/>
      <c r="P70" s="436" t="s">
        <v>80</v>
      </c>
      <c r="Q70" s="438" t="s">
        <v>361</v>
      </c>
      <c r="R70" s="641">
        <v>1</v>
      </c>
      <c r="S70" s="656" t="s">
        <v>120</v>
      </c>
      <c r="T70" s="475">
        <v>0</v>
      </c>
      <c r="U70" s="475">
        <v>0</v>
      </c>
      <c r="V70" s="475">
        <v>0</v>
      </c>
      <c r="W70" s="475">
        <f>SUM(T70:V71)</f>
        <v>0</v>
      </c>
      <c r="X70" s="438" t="s">
        <v>527</v>
      </c>
      <c r="Y70" s="438" t="s">
        <v>527</v>
      </c>
      <c r="Z70" s="438" t="s">
        <v>527</v>
      </c>
      <c r="AA70" s="438" t="s">
        <v>527</v>
      </c>
      <c r="AB70" s="438" t="s">
        <v>527</v>
      </c>
      <c r="AC70" s="438" t="s">
        <v>527</v>
      </c>
      <c r="AD70" s="438" t="s">
        <v>527</v>
      </c>
      <c r="AE70" s="438" t="s">
        <v>527</v>
      </c>
      <c r="AF70" s="438" t="s">
        <v>527</v>
      </c>
      <c r="AG70" s="438" t="s">
        <v>527</v>
      </c>
      <c r="AH70" s="438" t="s">
        <v>527</v>
      </c>
      <c r="AI70" s="438" t="s">
        <v>527</v>
      </c>
      <c r="AJ70" s="623">
        <v>1</v>
      </c>
      <c r="AK70" s="67"/>
      <c r="AL70" s="282"/>
      <c r="AM70" s="282">
        <f>AJ70/R70</f>
        <v>1</v>
      </c>
      <c r="AN70" s="438"/>
      <c r="AO70" s="438"/>
      <c r="AP70" s="438"/>
      <c r="AQ70" s="438"/>
      <c r="AR70" s="438"/>
      <c r="AS70" s="464"/>
      <c r="AT70" s="438"/>
      <c r="AU70" s="64" t="s">
        <v>362</v>
      </c>
      <c r="AV70" s="64" t="s">
        <v>363</v>
      </c>
      <c r="AW70" s="64">
        <v>4</v>
      </c>
      <c r="AX70" s="80">
        <v>0.05</v>
      </c>
      <c r="AY70" s="206">
        <v>0.25</v>
      </c>
      <c r="AZ70" s="206">
        <v>0</v>
      </c>
      <c r="BA70" s="206">
        <v>0.35</v>
      </c>
      <c r="BB70" s="206">
        <v>0.4</v>
      </c>
      <c r="BC70" s="206"/>
      <c r="BD70" s="206"/>
      <c r="BE70" s="206"/>
      <c r="BF70" s="349"/>
      <c r="BG70" s="379">
        <f t="shared" si="0"/>
        <v>0.1</v>
      </c>
      <c r="BH70" s="349"/>
      <c r="BI70" s="349"/>
      <c r="BJ70" s="650"/>
      <c r="BK70" s="650"/>
      <c r="BL70" s="683"/>
      <c r="BM70" s="206"/>
      <c r="BN70" s="87">
        <v>44927</v>
      </c>
      <c r="BO70" s="87">
        <v>45291</v>
      </c>
      <c r="BP70" s="64">
        <v>365</v>
      </c>
      <c r="BQ70" s="64">
        <v>50</v>
      </c>
      <c r="BR70" s="64">
        <v>50</v>
      </c>
      <c r="BS70" s="64" t="s">
        <v>91</v>
      </c>
      <c r="BT70" s="64" t="s">
        <v>92</v>
      </c>
      <c r="BU70" s="64" t="s">
        <v>184</v>
      </c>
      <c r="BV70" s="86">
        <v>0</v>
      </c>
      <c r="BW70" s="86">
        <v>0</v>
      </c>
      <c r="BX70" s="226">
        <f t="shared" si="1"/>
        <v>0</v>
      </c>
      <c r="BY70" s="86">
        <v>0</v>
      </c>
      <c r="BZ70" s="102">
        <v>0</v>
      </c>
      <c r="CA70" s="226">
        <f t="shared" si="2"/>
        <v>0</v>
      </c>
      <c r="CB70" s="86">
        <v>0</v>
      </c>
      <c r="CC70" s="226">
        <f t="shared" si="3"/>
        <v>0</v>
      </c>
      <c r="CD70" s="102">
        <v>0</v>
      </c>
      <c r="CE70" s="102">
        <v>0</v>
      </c>
      <c r="CF70" s="102">
        <v>0</v>
      </c>
      <c r="CG70" s="102">
        <f t="shared" si="15"/>
        <v>0</v>
      </c>
      <c r="CH70" s="86">
        <v>0</v>
      </c>
      <c r="CI70" s="86">
        <v>0</v>
      </c>
      <c r="CJ70" s="86">
        <v>0</v>
      </c>
      <c r="CK70" s="86">
        <f t="shared" si="16"/>
        <v>0</v>
      </c>
      <c r="CL70" s="86">
        <v>0</v>
      </c>
      <c r="CM70" s="86">
        <v>0</v>
      </c>
      <c r="CN70" s="102">
        <v>0</v>
      </c>
      <c r="CO70" s="102">
        <f t="shared" si="17"/>
        <v>0</v>
      </c>
      <c r="CP70" s="86">
        <v>0</v>
      </c>
      <c r="CQ70" s="86">
        <v>0</v>
      </c>
      <c r="CR70" s="86">
        <v>0</v>
      </c>
      <c r="CS70" s="226">
        <f t="shared" si="7"/>
        <v>0</v>
      </c>
      <c r="CT70" s="620"/>
      <c r="CU70" s="479"/>
      <c r="CV70" s="479"/>
      <c r="CW70" s="64" t="s">
        <v>108</v>
      </c>
      <c r="CX70" s="9" t="s">
        <v>364</v>
      </c>
      <c r="CY70" s="64" t="s">
        <v>365</v>
      </c>
      <c r="CZ70" s="64" t="s">
        <v>111</v>
      </c>
      <c r="DA70" s="248">
        <v>44927</v>
      </c>
      <c r="DB70" s="64" t="s">
        <v>366</v>
      </c>
      <c r="DC70" s="479"/>
      <c r="DD70" s="479"/>
      <c r="DE70" s="173" t="s">
        <v>537</v>
      </c>
      <c r="DF70" s="173" t="s">
        <v>604</v>
      </c>
      <c r="DG70" s="86">
        <f t="shared" si="8"/>
        <v>0</v>
      </c>
      <c r="DH70" s="80">
        <v>0.25</v>
      </c>
      <c r="DI70" s="64" t="s">
        <v>651</v>
      </c>
      <c r="DJ70" s="80">
        <v>0.25</v>
      </c>
      <c r="DK70" s="64"/>
      <c r="DL70" s="117" t="s">
        <v>773</v>
      </c>
    </row>
    <row r="71" spans="1:116" ht="99.75" x14ac:dyDescent="0.25">
      <c r="A71" s="465"/>
      <c r="B71" s="506"/>
      <c r="C71" s="465"/>
      <c r="D71" s="436"/>
      <c r="E71" s="457"/>
      <c r="F71" s="407"/>
      <c r="G71" s="407"/>
      <c r="H71" s="457"/>
      <c r="I71" s="407"/>
      <c r="J71" s="482"/>
      <c r="K71" s="436"/>
      <c r="L71" s="438"/>
      <c r="M71" s="466"/>
      <c r="N71" s="436"/>
      <c r="O71" s="436"/>
      <c r="P71" s="436"/>
      <c r="Q71" s="438"/>
      <c r="R71" s="641"/>
      <c r="S71" s="656"/>
      <c r="T71" s="475"/>
      <c r="U71" s="475"/>
      <c r="V71" s="475"/>
      <c r="W71" s="475"/>
      <c r="X71" s="438"/>
      <c r="Y71" s="438"/>
      <c r="Z71" s="438"/>
      <c r="AA71" s="438"/>
      <c r="AB71" s="438"/>
      <c r="AC71" s="438"/>
      <c r="AD71" s="438"/>
      <c r="AE71" s="438"/>
      <c r="AF71" s="438"/>
      <c r="AG71" s="438"/>
      <c r="AH71" s="438"/>
      <c r="AI71" s="438"/>
      <c r="AJ71" s="623"/>
      <c r="AK71" s="67"/>
      <c r="AL71" s="282"/>
      <c r="AM71" s="282"/>
      <c r="AN71" s="438"/>
      <c r="AO71" s="438"/>
      <c r="AP71" s="438"/>
      <c r="AQ71" s="438"/>
      <c r="AR71" s="438"/>
      <c r="AS71" s="464"/>
      <c r="AT71" s="438"/>
      <c r="AU71" s="64" t="s">
        <v>367</v>
      </c>
      <c r="AV71" s="64" t="s">
        <v>368</v>
      </c>
      <c r="AW71" s="64">
        <v>1</v>
      </c>
      <c r="AX71" s="80">
        <v>0.1</v>
      </c>
      <c r="AY71" s="206">
        <v>0.25</v>
      </c>
      <c r="AZ71" s="206">
        <v>0.25</v>
      </c>
      <c r="BA71" s="206">
        <v>0.25</v>
      </c>
      <c r="BB71" s="206">
        <v>0.25</v>
      </c>
      <c r="BC71" s="206"/>
      <c r="BD71" s="206"/>
      <c r="BE71" s="206"/>
      <c r="BF71" s="350"/>
      <c r="BG71" s="379">
        <f t="shared" si="0"/>
        <v>0.25</v>
      </c>
      <c r="BH71" s="350"/>
      <c r="BI71" s="350"/>
      <c r="BJ71" s="651"/>
      <c r="BK71" s="651"/>
      <c r="BL71" s="684"/>
      <c r="BM71" s="206"/>
      <c r="BN71" s="245">
        <v>44927</v>
      </c>
      <c r="BO71" s="245">
        <v>45291</v>
      </c>
      <c r="BP71" s="240">
        <v>365</v>
      </c>
      <c r="BQ71" s="240">
        <v>200</v>
      </c>
      <c r="BR71" s="240">
        <v>200</v>
      </c>
      <c r="BS71" s="240" t="s">
        <v>91</v>
      </c>
      <c r="BT71" s="240" t="s">
        <v>92</v>
      </c>
      <c r="BU71" s="240" t="s">
        <v>184</v>
      </c>
      <c r="BV71" s="241">
        <f>5294000*11.5</f>
        <v>60881000</v>
      </c>
      <c r="BW71" s="241">
        <v>0</v>
      </c>
      <c r="BX71" s="242">
        <f t="shared" si="1"/>
        <v>60881000</v>
      </c>
      <c r="BY71" s="243">
        <v>0</v>
      </c>
      <c r="BZ71" s="243">
        <v>0</v>
      </c>
      <c r="CA71" s="244">
        <f t="shared" si="2"/>
        <v>60881000</v>
      </c>
      <c r="CB71" s="241">
        <v>0</v>
      </c>
      <c r="CC71" s="226">
        <f t="shared" si="3"/>
        <v>60881000</v>
      </c>
      <c r="CD71" s="243">
        <v>0</v>
      </c>
      <c r="CE71" s="243">
        <v>0</v>
      </c>
      <c r="CF71" s="243">
        <v>5000000</v>
      </c>
      <c r="CG71" s="243">
        <f t="shared" si="15"/>
        <v>5000000</v>
      </c>
      <c r="CH71" s="241">
        <v>5000000</v>
      </c>
      <c r="CI71" s="241">
        <v>5000000</v>
      </c>
      <c r="CJ71" s="241">
        <v>5000000</v>
      </c>
      <c r="CK71" s="241">
        <f t="shared" si="16"/>
        <v>15000000</v>
      </c>
      <c r="CL71" s="241">
        <v>5000000</v>
      </c>
      <c r="CM71" s="241">
        <v>5000000</v>
      </c>
      <c r="CN71" s="243">
        <v>5000000</v>
      </c>
      <c r="CO71" s="243">
        <f t="shared" si="17"/>
        <v>15000000</v>
      </c>
      <c r="CP71" s="86">
        <v>5000000</v>
      </c>
      <c r="CQ71" s="86">
        <v>5000000</v>
      </c>
      <c r="CR71" s="86">
        <f>5000000+5000000</f>
        <v>10000000</v>
      </c>
      <c r="CS71" s="226">
        <f t="shared" si="7"/>
        <v>20000000</v>
      </c>
      <c r="CT71" s="621"/>
      <c r="CU71" s="480"/>
      <c r="CV71" s="480"/>
      <c r="CW71" s="64" t="s">
        <v>108</v>
      </c>
      <c r="CX71" s="9" t="s">
        <v>364</v>
      </c>
      <c r="CY71" s="64" t="s">
        <v>365</v>
      </c>
      <c r="CZ71" s="64" t="s">
        <v>111</v>
      </c>
      <c r="DA71" s="248">
        <v>44927</v>
      </c>
      <c r="DB71" s="64" t="s">
        <v>366</v>
      </c>
      <c r="DC71" s="480"/>
      <c r="DD71" s="480"/>
      <c r="DE71" s="173"/>
      <c r="DF71" s="173" t="s">
        <v>582</v>
      </c>
      <c r="DG71" s="86">
        <f t="shared" si="8"/>
        <v>20000000</v>
      </c>
      <c r="DH71" s="80">
        <v>0.5</v>
      </c>
      <c r="DI71" s="64" t="s">
        <v>653</v>
      </c>
      <c r="DJ71" s="80">
        <v>0.5</v>
      </c>
      <c r="DK71" s="64"/>
      <c r="DL71" s="117" t="s">
        <v>757</v>
      </c>
    </row>
    <row r="72" spans="1:116" ht="45.75" customHeight="1" x14ac:dyDescent="0.25">
      <c r="A72" s="465"/>
      <c r="B72" s="506"/>
      <c r="C72" s="465"/>
      <c r="D72" s="436"/>
      <c r="E72" s="326"/>
      <c r="F72" s="314"/>
      <c r="G72" s="314"/>
      <c r="H72" s="327"/>
      <c r="I72" s="314"/>
      <c r="J72" s="763" t="s">
        <v>797</v>
      </c>
      <c r="K72" s="764"/>
      <c r="L72" s="764"/>
      <c r="M72" s="764"/>
      <c r="N72" s="764"/>
      <c r="O72" s="764"/>
      <c r="P72" s="764"/>
      <c r="Q72" s="764"/>
      <c r="R72" s="764"/>
      <c r="S72" s="764"/>
      <c r="T72" s="764"/>
      <c r="U72" s="764"/>
      <c r="V72" s="764"/>
      <c r="W72" s="764"/>
      <c r="X72" s="764"/>
      <c r="Y72" s="764"/>
      <c r="Z72" s="764"/>
      <c r="AA72" s="764"/>
      <c r="AB72" s="765"/>
      <c r="AC72" s="64"/>
      <c r="AD72" s="579"/>
      <c r="AE72" s="580"/>
      <c r="AF72" s="580"/>
      <c r="AG72" s="580"/>
      <c r="AH72" s="580"/>
      <c r="AI72" s="580"/>
      <c r="AJ72" s="580"/>
      <c r="AK72" s="581"/>
      <c r="AL72" s="397">
        <f>SUM(AL63:AL71)/2</f>
        <v>0.72499999999999998</v>
      </c>
      <c r="AM72" s="397">
        <f>SUM(AM62:AM71)/3</f>
        <v>0.83333333333333337</v>
      </c>
      <c r="AN72" s="64"/>
      <c r="AO72" s="64"/>
      <c r="AP72" s="64"/>
      <c r="AQ72" s="64"/>
      <c r="AR72" s="64"/>
      <c r="AS72" s="148"/>
      <c r="AT72" s="64"/>
      <c r="AU72" s="64"/>
      <c r="AV72" s="64"/>
      <c r="AW72" s="64"/>
      <c r="AX72" s="587" t="s">
        <v>788</v>
      </c>
      <c r="AY72" s="588"/>
      <c r="AZ72" s="588"/>
      <c r="BA72" s="588"/>
      <c r="BB72" s="588"/>
      <c r="BC72" s="588"/>
      <c r="BD72" s="588"/>
      <c r="BE72" s="588"/>
      <c r="BF72" s="589"/>
      <c r="BG72" s="380">
        <f>SUM(BG62:BG71)/9</f>
        <v>0.40370370370370373</v>
      </c>
      <c r="BH72" s="590" t="s">
        <v>789</v>
      </c>
      <c r="BI72" s="591"/>
      <c r="BJ72" s="394">
        <f>BJ62</f>
        <v>420000000</v>
      </c>
      <c r="BK72" s="394">
        <f>BK62</f>
        <v>391710553</v>
      </c>
      <c r="BL72" s="393">
        <f>BK72/BJ72</f>
        <v>0.9326441738095238</v>
      </c>
      <c r="BM72" s="206"/>
      <c r="BN72" s="245"/>
      <c r="BO72" s="245"/>
      <c r="BP72" s="240"/>
      <c r="BQ72" s="240"/>
      <c r="BR72" s="240"/>
      <c r="BS72" s="240"/>
      <c r="BT72" s="240"/>
      <c r="BU72" s="240"/>
      <c r="BV72" s="241"/>
      <c r="BW72" s="241"/>
      <c r="BX72" s="242"/>
      <c r="BY72" s="243"/>
      <c r="BZ72" s="243"/>
      <c r="CA72" s="244"/>
      <c r="CB72" s="241"/>
      <c r="CC72" s="226"/>
      <c r="CD72" s="243"/>
      <c r="CE72" s="243"/>
      <c r="CF72" s="243"/>
      <c r="CG72" s="243"/>
      <c r="CH72" s="241"/>
      <c r="CI72" s="241"/>
      <c r="CJ72" s="241"/>
      <c r="CK72" s="241"/>
      <c r="CL72" s="241"/>
      <c r="CM72" s="241"/>
      <c r="CN72" s="243"/>
      <c r="CO72" s="243"/>
      <c r="CP72" s="86"/>
      <c r="CQ72" s="86"/>
      <c r="CR72" s="86"/>
      <c r="CS72" s="226"/>
      <c r="CT72" s="339"/>
      <c r="CU72" s="9"/>
      <c r="CV72" s="9"/>
      <c r="CW72" s="328"/>
      <c r="CX72" s="329"/>
      <c r="CY72" s="329"/>
      <c r="CZ72" s="328"/>
      <c r="DA72" s="248"/>
      <c r="DB72" s="64"/>
      <c r="DC72" s="329"/>
      <c r="DD72" s="329"/>
      <c r="DE72" s="173"/>
      <c r="DF72" s="173"/>
      <c r="DG72" s="86"/>
      <c r="DH72" s="80"/>
      <c r="DI72" s="64"/>
      <c r="DJ72" s="80"/>
      <c r="DK72" s="64"/>
      <c r="DL72" s="117"/>
    </row>
    <row r="73" spans="1:116" ht="87" customHeight="1" x14ac:dyDescent="0.25">
      <c r="A73" s="465"/>
      <c r="B73" s="506"/>
      <c r="C73" s="465"/>
      <c r="D73" s="436"/>
      <c r="E73" s="456" t="s">
        <v>322</v>
      </c>
      <c r="F73" s="29" t="s">
        <v>369</v>
      </c>
      <c r="G73" s="29">
        <v>1</v>
      </c>
      <c r="H73" s="29" t="s">
        <v>76</v>
      </c>
      <c r="I73" s="29">
        <v>1</v>
      </c>
      <c r="J73" s="470" t="s">
        <v>370</v>
      </c>
      <c r="K73" s="29" t="s">
        <v>371</v>
      </c>
      <c r="L73" s="29" t="s">
        <v>76</v>
      </c>
      <c r="M73" s="29" t="s">
        <v>322</v>
      </c>
      <c r="N73" s="29" t="s">
        <v>369</v>
      </c>
      <c r="O73" s="29"/>
      <c r="P73" s="29" t="s">
        <v>228</v>
      </c>
      <c r="Q73" s="88" t="s">
        <v>372</v>
      </c>
      <c r="R73" s="289">
        <v>1</v>
      </c>
      <c r="S73" s="295" t="s">
        <v>120</v>
      </c>
      <c r="T73" s="77" t="s">
        <v>527</v>
      </c>
      <c r="U73" s="77" t="s">
        <v>527</v>
      </c>
      <c r="V73" s="77" t="s">
        <v>527</v>
      </c>
      <c r="W73" s="77" t="s">
        <v>527</v>
      </c>
      <c r="X73" s="77" t="s">
        <v>527</v>
      </c>
      <c r="Y73" s="77" t="s">
        <v>527</v>
      </c>
      <c r="Z73" s="77" t="s">
        <v>527</v>
      </c>
      <c r="AA73" s="77" t="s">
        <v>527</v>
      </c>
      <c r="AB73" s="77" t="s">
        <v>527</v>
      </c>
      <c r="AC73" s="77" t="s">
        <v>527</v>
      </c>
      <c r="AD73" s="77" t="s">
        <v>527</v>
      </c>
      <c r="AE73" s="77" t="s">
        <v>527</v>
      </c>
      <c r="AF73" s="77" t="s">
        <v>527</v>
      </c>
      <c r="AG73" s="77" t="s">
        <v>527</v>
      </c>
      <c r="AH73" s="77" t="s">
        <v>527</v>
      </c>
      <c r="AI73" s="77" t="s">
        <v>527</v>
      </c>
      <c r="AJ73" s="298">
        <v>1</v>
      </c>
      <c r="AK73" s="90"/>
      <c r="AL73" s="304"/>
      <c r="AM73" s="304">
        <f>AJ73/R73</f>
        <v>1</v>
      </c>
      <c r="AN73" s="438" t="s">
        <v>82</v>
      </c>
      <c r="AO73" s="438" t="s">
        <v>373</v>
      </c>
      <c r="AP73" s="469" t="s">
        <v>84</v>
      </c>
      <c r="AQ73" s="459" t="s">
        <v>85</v>
      </c>
      <c r="AR73" s="459" t="s">
        <v>374</v>
      </c>
      <c r="AS73" s="657" t="s">
        <v>375</v>
      </c>
      <c r="AT73" s="459" t="s">
        <v>376</v>
      </c>
      <c r="AU73" s="29" t="s">
        <v>377</v>
      </c>
      <c r="AV73" s="29" t="s">
        <v>155</v>
      </c>
      <c r="AW73" s="29">
        <v>1</v>
      </c>
      <c r="AX73" s="91">
        <v>0.2</v>
      </c>
      <c r="AY73" s="207">
        <v>0.25</v>
      </c>
      <c r="AZ73" s="207">
        <v>0.25</v>
      </c>
      <c r="BA73" s="207">
        <v>0.25</v>
      </c>
      <c r="BB73" s="207">
        <v>0.25</v>
      </c>
      <c r="BC73" s="207"/>
      <c r="BD73" s="207"/>
      <c r="BE73" s="207"/>
      <c r="BF73" s="364"/>
      <c r="BG73" s="379">
        <f t="shared" si="0"/>
        <v>0.25</v>
      </c>
      <c r="BH73" s="364"/>
      <c r="BI73" s="364"/>
      <c r="BJ73" s="662">
        <v>69000000</v>
      </c>
      <c r="BK73" s="662">
        <v>67000000</v>
      </c>
      <c r="BL73" s="665">
        <f>BK73/BJ73</f>
        <v>0.97101449275362317</v>
      </c>
      <c r="BM73" s="207"/>
      <c r="BN73" s="85">
        <v>44927</v>
      </c>
      <c r="BO73" s="85">
        <v>45291</v>
      </c>
      <c r="BP73" s="4">
        <v>365</v>
      </c>
      <c r="BQ73" s="29">
        <v>1028736</v>
      </c>
      <c r="BR73" s="29">
        <v>1028736</v>
      </c>
      <c r="BS73" s="29" t="s">
        <v>285</v>
      </c>
      <c r="BT73" s="29" t="s">
        <v>286</v>
      </c>
      <c r="BU73" s="29" t="s">
        <v>184</v>
      </c>
      <c r="BV73" s="86">
        <v>163417500</v>
      </c>
      <c r="BW73" s="153">
        <v>-163417500</v>
      </c>
      <c r="BX73" s="225">
        <f t="shared" si="1"/>
        <v>0</v>
      </c>
      <c r="BY73" s="102">
        <v>0</v>
      </c>
      <c r="BZ73" s="102">
        <v>0</v>
      </c>
      <c r="CA73" s="226">
        <f t="shared" si="2"/>
        <v>0</v>
      </c>
      <c r="CB73" s="86">
        <v>0</v>
      </c>
      <c r="CC73" s="226">
        <f t="shared" si="3"/>
        <v>0</v>
      </c>
      <c r="CD73" s="102">
        <v>0</v>
      </c>
      <c r="CE73" s="102">
        <v>0</v>
      </c>
      <c r="CF73" s="102">
        <v>0</v>
      </c>
      <c r="CG73" s="102">
        <f>SUM(CD73:CF73)</f>
        <v>0</v>
      </c>
      <c r="CH73" s="86">
        <v>0</v>
      </c>
      <c r="CI73" s="86">
        <v>0</v>
      </c>
      <c r="CJ73" s="86">
        <v>0</v>
      </c>
      <c r="CK73" s="86">
        <f t="shared" si="16"/>
        <v>0</v>
      </c>
      <c r="CL73" s="86">
        <f t="shared" si="16"/>
        <v>0</v>
      </c>
      <c r="CM73" s="86">
        <f t="shared" si="16"/>
        <v>0</v>
      </c>
      <c r="CN73" s="86">
        <f t="shared" si="16"/>
        <v>0</v>
      </c>
      <c r="CO73" s="102">
        <f t="shared" si="16"/>
        <v>0</v>
      </c>
      <c r="CP73" s="86">
        <v>0</v>
      </c>
      <c r="CQ73" s="86">
        <v>0</v>
      </c>
      <c r="CR73" s="86">
        <v>0</v>
      </c>
      <c r="CS73" s="226">
        <f t="shared" si="7"/>
        <v>0</v>
      </c>
      <c r="CT73" s="619" t="s">
        <v>94</v>
      </c>
      <c r="CU73" s="471" t="s">
        <v>374</v>
      </c>
      <c r="CV73" s="471" t="s">
        <v>378</v>
      </c>
      <c r="CW73" s="630" t="s">
        <v>108</v>
      </c>
      <c r="CX73" s="660" t="s">
        <v>379</v>
      </c>
      <c r="CY73" s="660" t="s">
        <v>365</v>
      </c>
      <c r="CZ73" s="630" t="s">
        <v>111</v>
      </c>
      <c r="DA73" s="248">
        <v>44927</v>
      </c>
      <c r="DB73" s="249" t="s">
        <v>250</v>
      </c>
      <c r="DC73" s="479" t="s">
        <v>99</v>
      </c>
      <c r="DD73" s="479" t="s">
        <v>100</v>
      </c>
      <c r="DE73" s="173"/>
      <c r="DF73" s="173" t="s">
        <v>582</v>
      </c>
      <c r="DG73" s="86">
        <f t="shared" si="8"/>
        <v>0</v>
      </c>
      <c r="DH73" s="80">
        <v>0.5</v>
      </c>
      <c r="DI73" s="64" t="s">
        <v>654</v>
      </c>
      <c r="DJ73" s="80">
        <v>0.5</v>
      </c>
      <c r="DK73" s="64" t="s">
        <v>675</v>
      </c>
      <c r="DL73" s="117" t="s">
        <v>735</v>
      </c>
    </row>
    <row r="74" spans="1:116" ht="57" x14ac:dyDescent="0.25">
      <c r="A74" s="465"/>
      <c r="B74" s="506"/>
      <c r="C74" s="465"/>
      <c r="D74" s="436"/>
      <c r="E74" s="461"/>
      <c r="F74" s="29" t="s">
        <v>380</v>
      </c>
      <c r="G74" s="29">
        <v>1</v>
      </c>
      <c r="H74" s="29" t="s">
        <v>76</v>
      </c>
      <c r="I74" s="29">
        <v>1</v>
      </c>
      <c r="J74" s="470"/>
      <c r="K74" s="29" t="s">
        <v>381</v>
      </c>
      <c r="L74" s="29" t="s">
        <v>76</v>
      </c>
      <c r="M74" s="29" t="s">
        <v>322</v>
      </c>
      <c r="N74" s="29" t="s">
        <v>380</v>
      </c>
      <c r="O74" s="29" t="s">
        <v>228</v>
      </c>
      <c r="P74" s="29"/>
      <c r="Q74" s="88" t="s">
        <v>382</v>
      </c>
      <c r="R74" s="289">
        <v>1</v>
      </c>
      <c r="S74" s="295" t="s">
        <v>120</v>
      </c>
      <c r="T74" s="77" t="s">
        <v>527</v>
      </c>
      <c r="U74" s="77" t="s">
        <v>527</v>
      </c>
      <c r="V74" s="77" t="s">
        <v>527</v>
      </c>
      <c r="W74" s="77" t="s">
        <v>527</v>
      </c>
      <c r="X74" s="77" t="s">
        <v>527</v>
      </c>
      <c r="Y74" s="77" t="s">
        <v>527</v>
      </c>
      <c r="Z74" s="77" t="s">
        <v>527</v>
      </c>
      <c r="AA74" s="77" t="s">
        <v>527</v>
      </c>
      <c r="AB74" s="77" t="s">
        <v>527</v>
      </c>
      <c r="AC74" s="77" t="s">
        <v>527</v>
      </c>
      <c r="AD74" s="77" t="s">
        <v>527</v>
      </c>
      <c r="AE74" s="77" t="s">
        <v>527</v>
      </c>
      <c r="AF74" s="77" t="s">
        <v>527</v>
      </c>
      <c r="AG74" s="77" t="s">
        <v>527</v>
      </c>
      <c r="AH74" s="77" t="s">
        <v>527</v>
      </c>
      <c r="AI74" s="77" t="s">
        <v>527</v>
      </c>
      <c r="AJ74" s="298">
        <v>1</v>
      </c>
      <c r="AK74" s="90"/>
      <c r="AL74" s="304"/>
      <c r="AM74" s="304">
        <f>R74</f>
        <v>1</v>
      </c>
      <c r="AN74" s="438"/>
      <c r="AO74" s="438"/>
      <c r="AP74" s="469"/>
      <c r="AQ74" s="459"/>
      <c r="AR74" s="459"/>
      <c r="AS74" s="657"/>
      <c r="AT74" s="459"/>
      <c r="AU74" s="29" t="s">
        <v>383</v>
      </c>
      <c r="AV74" s="29" t="s">
        <v>384</v>
      </c>
      <c r="AW74" s="29">
        <v>1</v>
      </c>
      <c r="AX74" s="91">
        <v>0.2</v>
      </c>
      <c r="AY74" s="207">
        <v>0.25</v>
      </c>
      <c r="AZ74" s="207">
        <v>0.25</v>
      </c>
      <c r="BA74" s="207">
        <v>0.25</v>
      </c>
      <c r="BB74" s="207">
        <v>0.25</v>
      </c>
      <c r="BC74" s="207"/>
      <c r="BD74" s="207"/>
      <c r="BE74" s="207"/>
      <c r="BF74" s="365"/>
      <c r="BG74" s="379">
        <f t="shared" ref="BG74:BG97" si="18">BB74/AW74</f>
        <v>0.25</v>
      </c>
      <c r="BH74" s="365"/>
      <c r="BI74" s="365"/>
      <c r="BJ74" s="663"/>
      <c r="BK74" s="663"/>
      <c r="BL74" s="666"/>
      <c r="BM74" s="207"/>
      <c r="BN74" s="85">
        <v>44927</v>
      </c>
      <c r="BO74" s="85">
        <v>45291</v>
      </c>
      <c r="BP74" s="4">
        <v>365</v>
      </c>
      <c r="BQ74" s="29">
        <v>1028736</v>
      </c>
      <c r="BR74" s="29">
        <v>1028736</v>
      </c>
      <c r="BS74" s="29" t="s">
        <v>285</v>
      </c>
      <c r="BT74" s="29" t="s">
        <v>286</v>
      </c>
      <c r="BU74" s="29" t="s">
        <v>184</v>
      </c>
      <c r="BV74" s="86">
        <v>10000000</v>
      </c>
      <c r="BW74" s="153">
        <v>-10000000</v>
      </c>
      <c r="BX74" s="225">
        <f t="shared" si="1"/>
        <v>0</v>
      </c>
      <c r="BY74" s="102">
        <v>0</v>
      </c>
      <c r="BZ74" s="102">
        <v>0</v>
      </c>
      <c r="CA74" s="226">
        <f t="shared" si="2"/>
        <v>0</v>
      </c>
      <c r="CB74" s="86">
        <v>0</v>
      </c>
      <c r="CC74" s="226">
        <f t="shared" si="3"/>
        <v>0</v>
      </c>
      <c r="CD74" s="102">
        <v>0</v>
      </c>
      <c r="CE74" s="102">
        <v>0</v>
      </c>
      <c r="CF74" s="102">
        <v>0</v>
      </c>
      <c r="CG74" s="102">
        <f>SUM(CD74:CF74)</f>
        <v>0</v>
      </c>
      <c r="CH74" s="86">
        <v>0</v>
      </c>
      <c r="CI74" s="86">
        <v>0</v>
      </c>
      <c r="CJ74" s="86">
        <v>0</v>
      </c>
      <c r="CK74" s="86">
        <f t="shared" ref="CK74:CO75" si="19">SUM(CH74:CJ74)</f>
        <v>0</v>
      </c>
      <c r="CL74" s="86">
        <f t="shared" si="19"/>
        <v>0</v>
      </c>
      <c r="CM74" s="86">
        <f t="shared" si="19"/>
        <v>0</v>
      </c>
      <c r="CN74" s="86">
        <f t="shared" si="19"/>
        <v>0</v>
      </c>
      <c r="CO74" s="102">
        <f t="shared" si="19"/>
        <v>0</v>
      </c>
      <c r="CP74" s="86">
        <v>0</v>
      </c>
      <c r="CQ74" s="86">
        <v>0</v>
      </c>
      <c r="CR74" s="86">
        <v>0</v>
      </c>
      <c r="CS74" s="226">
        <f t="shared" si="7"/>
        <v>0</v>
      </c>
      <c r="CT74" s="620"/>
      <c r="CU74" s="471"/>
      <c r="CV74" s="471"/>
      <c r="CW74" s="631"/>
      <c r="CX74" s="631"/>
      <c r="CY74" s="631"/>
      <c r="CZ74" s="631"/>
      <c r="DA74" s="248">
        <v>44927</v>
      </c>
      <c r="DB74" s="249" t="s">
        <v>294</v>
      </c>
      <c r="DC74" s="479"/>
      <c r="DD74" s="479"/>
      <c r="DE74" s="173"/>
      <c r="DF74" s="173" t="s">
        <v>582</v>
      </c>
      <c r="DG74" s="86">
        <f t="shared" si="8"/>
        <v>0</v>
      </c>
      <c r="DH74" s="80">
        <v>0.5</v>
      </c>
      <c r="DI74" s="64" t="s">
        <v>655</v>
      </c>
      <c r="DJ74" s="80">
        <v>0.5</v>
      </c>
      <c r="DK74" s="64" t="s">
        <v>676</v>
      </c>
      <c r="DL74" s="117" t="s">
        <v>736</v>
      </c>
    </row>
    <row r="75" spans="1:116" ht="55.9" customHeight="1" x14ac:dyDescent="0.25">
      <c r="A75" s="465"/>
      <c r="B75" s="506"/>
      <c r="C75" s="465"/>
      <c r="D75" s="436"/>
      <c r="E75" s="461"/>
      <c r="F75" s="456" t="s">
        <v>385</v>
      </c>
      <c r="G75" s="456">
        <v>1</v>
      </c>
      <c r="H75" s="456" t="s">
        <v>76</v>
      </c>
      <c r="I75" s="456">
        <v>1</v>
      </c>
      <c r="J75" s="470"/>
      <c r="K75" s="466" t="s">
        <v>386</v>
      </c>
      <c r="L75" s="466" t="s">
        <v>76</v>
      </c>
      <c r="M75" s="466" t="s">
        <v>322</v>
      </c>
      <c r="N75" s="466" t="s">
        <v>385</v>
      </c>
      <c r="O75" s="466" t="s">
        <v>228</v>
      </c>
      <c r="P75" s="466"/>
      <c r="Q75" s="471" t="s">
        <v>387</v>
      </c>
      <c r="R75" s="659">
        <v>1</v>
      </c>
      <c r="S75" s="657" t="s">
        <v>120</v>
      </c>
      <c r="T75" s="459" t="s">
        <v>527</v>
      </c>
      <c r="U75" s="459" t="s">
        <v>527</v>
      </c>
      <c r="V75" s="459" t="s">
        <v>527</v>
      </c>
      <c r="W75" s="459" t="s">
        <v>527</v>
      </c>
      <c r="X75" s="459" t="s">
        <v>527</v>
      </c>
      <c r="Y75" s="459" t="s">
        <v>527</v>
      </c>
      <c r="Z75" s="459" t="s">
        <v>527</v>
      </c>
      <c r="AA75" s="459" t="s">
        <v>527</v>
      </c>
      <c r="AB75" s="459" t="s">
        <v>527</v>
      </c>
      <c r="AC75" s="459" t="s">
        <v>527</v>
      </c>
      <c r="AD75" s="459" t="s">
        <v>527</v>
      </c>
      <c r="AE75" s="459" t="s">
        <v>527</v>
      </c>
      <c r="AF75" s="630" t="s">
        <v>527</v>
      </c>
      <c r="AG75" s="630" t="s">
        <v>527</v>
      </c>
      <c r="AH75" s="630" t="s">
        <v>527</v>
      </c>
      <c r="AI75" s="630" t="s">
        <v>527</v>
      </c>
      <c r="AJ75" s="658">
        <v>1</v>
      </c>
      <c r="AK75" s="90"/>
      <c r="AL75" s="304"/>
      <c r="AM75" s="304">
        <f>R75</f>
        <v>1</v>
      </c>
      <c r="AN75" s="438"/>
      <c r="AO75" s="438"/>
      <c r="AP75" s="469"/>
      <c r="AQ75" s="459"/>
      <c r="AR75" s="459"/>
      <c r="AS75" s="657"/>
      <c r="AT75" s="459"/>
      <c r="AU75" s="29" t="s">
        <v>388</v>
      </c>
      <c r="AV75" s="29" t="s">
        <v>389</v>
      </c>
      <c r="AW75" s="29">
        <v>1</v>
      </c>
      <c r="AX75" s="91">
        <v>0.2</v>
      </c>
      <c r="AY75" s="207">
        <v>0.25</v>
      </c>
      <c r="AZ75" s="207">
        <v>0.25</v>
      </c>
      <c r="BA75" s="207">
        <v>0.25</v>
      </c>
      <c r="BB75" s="207">
        <v>0.25</v>
      </c>
      <c r="BC75" s="207"/>
      <c r="BD75" s="207"/>
      <c r="BE75" s="207"/>
      <c r="BF75" s="365"/>
      <c r="BG75" s="379">
        <f t="shared" si="18"/>
        <v>0.25</v>
      </c>
      <c r="BH75" s="365"/>
      <c r="BI75" s="365"/>
      <c r="BJ75" s="663"/>
      <c r="BK75" s="663"/>
      <c r="BL75" s="666"/>
      <c r="BM75" s="207"/>
      <c r="BN75" s="85">
        <v>44927</v>
      </c>
      <c r="BO75" s="85">
        <v>45291</v>
      </c>
      <c r="BP75" s="4">
        <v>365</v>
      </c>
      <c r="BQ75" s="29">
        <v>1028736</v>
      </c>
      <c r="BR75" s="29">
        <v>1028736</v>
      </c>
      <c r="BS75" s="29" t="s">
        <v>285</v>
      </c>
      <c r="BT75" s="29" t="s">
        <v>286</v>
      </c>
      <c r="BU75" s="29" t="s">
        <v>184</v>
      </c>
      <c r="BV75" s="86">
        <v>5000000</v>
      </c>
      <c r="BW75" s="153">
        <v>-5000000</v>
      </c>
      <c r="BX75" s="225">
        <f t="shared" si="1"/>
        <v>0</v>
      </c>
      <c r="BY75" s="102">
        <v>0</v>
      </c>
      <c r="BZ75" s="102">
        <v>0</v>
      </c>
      <c r="CA75" s="226">
        <f t="shared" si="2"/>
        <v>0</v>
      </c>
      <c r="CB75" s="86">
        <v>0</v>
      </c>
      <c r="CC75" s="226">
        <f t="shared" si="3"/>
        <v>0</v>
      </c>
      <c r="CD75" s="102">
        <v>0</v>
      </c>
      <c r="CE75" s="102">
        <v>0</v>
      </c>
      <c r="CF75" s="102">
        <v>0</v>
      </c>
      <c r="CG75" s="102">
        <f>SUM(CD75:CF75)</f>
        <v>0</v>
      </c>
      <c r="CH75" s="86">
        <v>0</v>
      </c>
      <c r="CI75" s="86">
        <v>0</v>
      </c>
      <c r="CJ75" s="86">
        <v>0</v>
      </c>
      <c r="CK75" s="86">
        <f t="shared" si="19"/>
        <v>0</v>
      </c>
      <c r="CL75" s="86">
        <f t="shared" si="19"/>
        <v>0</v>
      </c>
      <c r="CM75" s="86">
        <f t="shared" si="19"/>
        <v>0</v>
      </c>
      <c r="CN75" s="86">
        <f t="shared" si="19"/>
        <v>0</v>
      </c>
      <c r="CO75" s="102">
        <f t="shared" si="19"/>
        <v>0</v>
      </c>
      <c r="CP75" s="86">
        <v>0</v>
      </c>
      <c r="CQ75" s="86">
        <v>0</v>
      </c>
      <c r="CR75" s="86">
        <v>0</v>
      </c>
      <c r="CS75" s="226">
        <f t="shared" si="7"/>
        <v>0</v>
      </c>
      <c r="CT75" s="620"/>
      <c r="CU75" s="471"/>
      <c r="CV75" s="471"/>
      <c r="CW75" s="630" t="s">
        <v>108</v>
      </c>
      <c r="CX75" s="630" t="s">
        <v>390</v>
      </c>
      <c r="CY75" s="630" t="s">
        <v>391</v>
      </c>
      <c r="CZ75" s="630" t="s">
        <v>111</v>
      </c>
      <c r="DA75" s="248">
        <v>44958</v>
      </c>
      <c r="DB75" s="249" t="s">
        <v>294</v>
      </c>
      <c r="DC75" s="479"/>
      <c r="DD75" s="479"/>
      <c r="DE75" s="173"/>
      <c r="DF75" s="173" t="s">
        <v>582</v>
      </c>
      <c r="DG75" s="86">
        <f t="shared" si="8"/>
        <v>0</v>
      </c>
      <c r="DH75" s="80">
        <v>0.5</v>
      </c>
      <c r="DI75" s="64" t="s">
        <v>737</v>
      </c>
      <c r="DJ75" s="80">
        <v>0.5</v>
      </c>
      <c r="DK75" s="64" t="s">
        <v>738</v>
      </c>
      <c r="DL75" s="117" t="s">
        <v>739</v>
      </c>
    </row>
    <row r="76" spans="1:116" ht="138.6" customHeight="1" x14ac:dyDescent="0.25">
      <c r="A76" s="465"/>
      <c r="B76" s="506"/>
      <c r="C76" s="465"/>
      <c r="D76" s="436"/>
      <c r="E76" s="457"/>
      <c r="F76" s="457"/>
      <c r="G76" s="457"/>
      <c r="H76" s="457"/>
      <c r="I76" s="457"/>
      <c r="J76" s="470"/>
      <c r="K76" s="466"/>
      <c r="L76" s="466"/>
      <c r="M76" s="466"/>
      <c r="N76" s="466"/>
      <c r="O76" s="466"/>
      <c r="P76" s="466"/>
      <c r="Q76" s="471"/>
      <c r="R76" s="659"/>
      <c r="S76" s="657"/>
      <c r="T76" s="459"/>
      <c r="U76" s="459"/>
      <c r="V76" s="459"/>
      <c r="W76" s="459"/>
      <c r="X76" s="459"/>
      <c r="Y76" s="459"/>
      <c r="Z76" s="459"/>
      <c r="AA76" s="459"/>
      <c r="AB76" s="459"/>
      <c r="AC76" s="459"/>
      <c r="AD76" s="459"/>
      <c r="AE76" s="459"/>
      <c r="AF76" s="631"/>
      <c r="AG76" s="631"/>
      <c r="AH76" s="631"/>
      <c r="AI76" s="631"/>
      <c r="AJ76" s="658"/>
      <c r="AK76" s="90"/>
      <c r="AL76" s="304"/>
      <c r="AM76" s="304"/>
      <c r="AN76" s="438"/>
      <c r="AO76" s="438"/>
      <c r="AP76" s="469"/>
      <c r="AQ76" s="459"/>
      <c r="AR76" s="459"/>
      <c r="AS76" s="657"/>
      <c r="AT76" s="459"/>
      <c r="AU76" s="29" t="s">
        <v>392</v>
      </c>
      <c r="AV76" s="29" t="s">
        <v>114</v>
      </c>
      <c r="AW76" s="29">
        <v>1</v>
      </c>
      <c r="AX76" s="91">
        <v>0.4</v>
      </c>
      <c r="AY76" s="207">
        <v>0.25</v>
      </c>
      <c r="AZ76" s="207">
        <v>0.25</v>
      </c>
      <c r="BA76" s="207">
        <v>0.25</v>
      </c>
      <c r="BB76" s="207">
        <v>0.25</v>
      </c>
      <c r="BC76" s="207"/>
      <c r="BD76" s="207"/>
      <c r="BE76" s="207"/>
      <c r="BF76" s="366"/>
      <c r="BG76" s="379">
        <f t="shared" si="18"/>
        <v>0.25</v>
      </c>
      <c r="BH76" s="366"/>
      <c r="BI76" s="366"/>
      <c r="BJ76" s="664"/>
      <c r="BK76" s="664"/>
      <c r="BL76" s="667"/>
      <c r="BM76" s="207"/>
      <c r="BN76" s="85">
        <v>44927</v>
      </c>
      <c r="BO76" s="85">
        <v>45291</v>
      </c>
      <c r="BP76" s="4">
        <v>365</v>
      </c>
      <c r="BQ76" s="29">
        <v>1028736</v>
      </c>
      <c r="BR76" s="29">
        <v>1028736</v>
      </c>
      <c r="BS76" s="29" t="s">
        <v>285</v>
      </c>
      <c r="BT76" s="29" t="s">
        <v>286</v>
      </c>
      <c r="BU76" s="29" t="s">
        <v>184</v>
      </c>
      <c r="BV76" s="86">
        <v>70782500</v>
      </c>
      <c r="BW76" s="153">
        <v>-1782500</v>
      </c>
      <c r="BX76" s="225">
        <f t="shared" si="1"/>
        <v>69000000</v>
      </c>
      <c r="BY76" s="102">
        <v>0</v>
      </c>
      <c r="BZ76" s="102">
        <v>0</v>
      </c>
      <c r="CA76" s="226">
        <f t="shared" si="2"/>
        <v>69000000</v>
      </c>
      <c r="CB76" s="86">
        <v>0</v>
      </c>
      <c r="CC76" s="226">
        <f t="shared" si="3"/>
        <v>69000000</v>
      </c>
      <c r="CD76" s="102">
        <v>0</v>
      </c>
      <c r="CE76" s="102">
        <v>0</v>
      </c>
      <c r="CF76" s="102">
        <v>12000000</v>
      </c>
      <c r="CG76" s="102">
        <f>SUM(CD76:CF76)</f>
        <v>12000000</v>
      </c>
      <c r="CH76" s="86">
        <v>0</v>
      </c>
      <c r="CI76" s="86">
        <v>6000000</v>
      </c>
      <c r="CJ76" s="86">
        <v>12000000</v>
      </c>
      <c r="CK76" s="86">
        <f>SUM(CH76:CJ76)</f>
        <v>18000000</v>
      </c>
      <c r="CL76" s="102">
        <v>0</v>
      </c>
      <c r="CM76" s="102">
        <v>6000000</v>
      </c>
      <c r="CN76" s="102">
        <v>6000000</v>
      </c>
      <c r="CO76" s="102">
        <f>SUM(CL76:CN76)</f>
        <v>12000000</v>
      </c>
      <c r="CP76" s="86">
        <v>12000000</v>
      </c>
      <c r="CQ76" s="86">
        <v>0</v>
      </c>
      <c r="CR76" s="86">
        <f>6000000+7000000</f>
        <v>13000000</v>
      </c>
      <c r="CS76" s="226">
        <f>SUM(CP76:CR76)</f>
        <v>25000000</v>
      </c>
      <c r="CT76" s="621"/>
      <c r="CU76" s="471"/>
      <c r="CV76" s="471"/>
      <c r="CW76" s="631"/>
      <c r="CX76" s="631"/>
      <c r="CY76" s="631"/>
      <c r="CZ76" s="631"/>
      <c r="DA76" s="248">
        <v>44958</v>
      </c>
      <c r="DB76" s="249" t="s">
        <v>317</v>
      </c>
      <c r="DC76" s="480"/>
      <c r="DD76" s="480"/>
      <c r="DE76" s="173" t="s">
        <v>545</v>
      </c>
      <c r="DF76" s="173" t="s">
        <v>582</v>
      </c>
      <c r="DG76" s="86">
        <f t="shared" si="8"/>
        <v>30000000</v>
      </c>
      <c r="DH76" s="80">
        <v>0.5</v>
      </c>
      <c r="DI76" s="64" t="s">
        <v>617</v>
      </c>
      <c r="DJ76" s="80">
        <v>0.5</v>
      </c>
      <c r="DK76" s="64" t="s">
        <v>740</v>
      </c>
      <c r="DL76" s="117" t="s">
        <v>741</v>
      </c>
    </row>
    <row r="77" spans="1:116" ht="78.75" customHeight="1" x14ac:dyDescent="0.25">
      <c r="A77" s="317"/>
      <c r="B77" s="374"/>
      <c r="C77" s="317"/>
      <c r="D77" s="4"/>
      <c r="E77" s="327"/>
      <c r="F77" s="327"/>
      <c r="G77" s="327"/>
      <c r="H77" s="327"/>
      <c r="I77" s="327"/>
      <c r="J77" s="767" t="s">
        <v>798</v>
      </c>
      <c r="K77" s="768"/>
      <c r="L77" s="768"/>
      <c r="M77" s="768"/>
      <c r="N77" s="768"/>
      <c r="O77" s="768"/>
      <c r="P77" s="768"/>
      <c r="Q77" s="768"/>
      <c r="R77" s="768"/>
      <c r="S77" s="768"/>
      <c r="T77" s="768"/>
      <c r="U77" s="768"/>
      <c r="V77" s="768"/>
      <c r="W77" s="768"/>
      <c r="X77" s="768"/>
      <c r="Y77" s="768"/>
      <c r="Z77" s="768"/>
      <c r="AA77" s="768"/>
      <c r="AB77" s="768"/>
      <c r="AC77" s="768"/>
      <c r="AD77" s="769"/>
      <c r="AE77" s="77"/>
      <c r="AF77" s="592"/>
      <c r="AG77" s="593"/>
      <c r="AH77" s="593"/>
      <c r="AI77" s="593"/>
      <c r="AJ77" s="593"/>
      <c r="AK77" s="594"/>
      <c r="AL77" s="304"/>
      <c r="AM77" s="390">
        <f>100%</f>
        <v>1</v>
      </c>
      <c r="AN77" s="64"/>
      <c r="AO77" s="64"/>
      <c r="AP77" s="330"/>
      <c r="AQ77" s="77"/>
      <c r="AR77" s="77"/>
      <c r="AS77" s="295"/>
      <c r="AT77" s="77"/>
      <c r="AU77" s="29"/>
      <c r="AV77" s="29"/>
      <c r="AW77" s="29"/>
      <c r="AX77" s="595" t="s">
        <v>788</v>
      </c>
      <c r="AY77" s="596"/>
      <c r="AZ77" s="596"/>
      <c r="BA77" s="596"/>
      <c r="BB77" s="596"/>
      <c r="BC77" s="596"/>
      <c r="BD77" s="596"/>
      <c r="BE77" s="596"/>
      <c r="BF77" s="597"/>
      <c r="BG77" s="380">
        <f>SUM(BG73:BG76)/4</f>
        <v>0.25</v>
      </c>
      <c r="BH77" s="598" t="s">
        <v>789</v>
      </c>
      <c r="BI77" s="599"/>
      <c r="BJ77" s="399">
        <f>BJ73</f>
        <v>69000000</v>
      </c>
      <c r="BK77" s="399">
        <f>BK73</f>
        <v>67000000</v>
      </c>
      <c r="BL77" s="398">
        <f>BK77/BJ77</f>
        <v>0.97101449275362317</v>
      </c>
      <c r="BM77" s="207"/>
      <c r="BN77" s="85"/>
      <c r="BO77" s="85"/>
      <c r="BP77" s="4"/>
      <c r="BQ77" s="29"/>
      <c r="BR77" s="29"/>
      <c r="BS77" s="29"/>
      <c r="BT77" s="29"/>
      <c r="BU77" s="29"/>
      <c r="BV77" s="86"/>
      <c r="BW77" s="153"/>
      <c r="BX77" s="225"/>
      <c r="BY77" s="102"/>
      <c r="BZ77" s="102"/>
      <c r="CA77" s="226"/>
      <c r="CB77" s="86"/>
      <c r="CC77" s="226"/>
      <c r="CD77" s="102"/>
      <c r="CE77" s="102"/>
      <c r="CF77" s="102"/>
      <c r="CG77" s="102"/>
      <c r="CH77" s="86"/>
      <c r="CI77" s="86"/>
      <c r="CJ77" s="86"/>
      <c r="CK77" s="86"/>
      <c r="CL77" s="102"/>
      <c r="CM77" s="102"/>
      <c r="CN77" s="102"/>
      <c r="CO77" s="102"/>
      <c r="CP77" s="86"/>
      <c r="CQ77" s="86"/>
      <c r="CR77" s="86"/>
      <c r="CS77" s="226"/>
      <c r="CT77" s="339"/>
      <c r="CU77" s="375"/>
      <c r="CV77" s="375"/>
      <c r="CW77" s="342"/>
      <c r="CX77" s="342"/>
      <c r="CY77" s="341"/>
      <c r="CZ77" s="341"/>
      <c r="DA77" s="248"/>
      <c r="DB77" s="249"/>
      <c r="DC77" s="329"/>
      <c r="DD77" s="329"/>
      <c r="DE77" s="173"/>
      <c r="DF77" s="173"/>
      <c r="DG77" s="86"/>
      <c r="DH77" s="80"/>
      <c r="DI77" s="64"/>
      <c r="DJ77" s="80"/>
      <c r="DK77" s="64"/>
      <c r="DL77" s="117"/>
    </row>
    <row r="78" spans="1:116" ht="128.25" x14ac:dyDescent="0.25">
      <c r="A78" s="449" t="s">
        <v>393</v>
      </c>
      <c r="B78" s="449" t="s">
        <v>394</v>
      </c>
      <c r="C78" s="449" t="s">
        <v>395</v>
      </c>
      <c r="D78" s="436" t="s">
        <v>396</v>
      </c>
      <c r="E78" s="436" t="s">
        <v>397</v>
      </c>
      <c r="F78" s="436" t="s">
        <v>398</v>
      </c>
      <c r="G78" s="436">
        <v>100</v>
      </c>
      <c r="H78" s="436" t="s">
        <v>180</v>
      </c>
      <c r="I78" s="463">
        <v>1</v>
      </c>
      <c r="J78" s="437" t="s">
        <v>399</v>
      </c>
      <c r="K78" s="436" t="s">
        <v>400</v>
      </c>
      <c r="L78" s="436" t="s">
        <v>401</v>
      </c>
      <c r="M78" s="436">
        <v>0</v>
      </c>
      <c r="N78" s="436" t="s">
        <v>402</v>
      </c>
      <c r="O78" s="436"/>
      <c r="P78" s="436" t="s">
        <v>228</v>
      </c>
      <c r="Q78" s="438" t="s">
        <v>403</v>
      </c>
      <c r="R78" s="464">
        <v>33</v>
      </c>
      <c r="S78" s="464">
        <v>33</v>
      </c>
      <c r="T78" s="438">
        <v>0</v>
      </c>
      <c r="U78" s="438">
        <v>0</v>
      </c>
      <c r="V78" s="438">
        <v>0</v>
      </c>
      <c r="W78" s="438">
        <f>SUM(T78:V80)</f>
        <v>0</v>
      </c>
      <c r="X78" s="438">
        <v>0</v>
      </c>
      <c r="Y78" s="438">
        <v>0</v>
      </c>
      <c r="Z78" s="438">
        <v>0</v>
      </c>
      <c r="AA78" s="438">
        <f>SUM(X78:Z80)</f>
        <v>0</v>
      </c>
      <c r="AB78" s="438">
        <v>0</v>
      </c>
      <c r="AC78" s="438">
        <v>0</v>
      </c>
      <c r="AD78" s="438">
        <v>0</v>
      </c>
      <c r="AE78" s="438">
        <f>SUM(AB78:AD80)</f>
        <v>0</v>
      </c>
      <c r="AF78" s="438">
        <v>0</v>
      </c>
      <c r="AG78" s="438">
        <v>0</v>
      </c>
      <c r="AH78" s="438">
        <v>32</v>
      </c>
      <c r="AI78" s="438">
        <v>32</v>
      </c>
      <c r="AJ78" s="464">
        <v>1</v>
      </c>
      <c r="AK78" s="478"/>
      <c r="AL78" s="770">
        <f>AI78/S78</f>
        <v>0.96969696969696972</v>
      </c>
      <c r="AM78" s="770">
        <f>(AJ78+AI78)/R78</f>
        <v>1</v>
      </c>
      <c r="AN78" s="438" t="s">
        <v>82</v>
      </c>
      <c r="AO78" s="438" t="s">
        <v>194</v>
      </c>
      <c r="AP78" s="438" t="s">
        <v>84</v>
      </c>
      <c r="AQ78" s="438" t="s">
        <v>85</v>
      </c>
      <c r="AR78" s="436" t="s">
        <v>404</v>
      </c>
      <c r="AS78" s="633">
        <v>2021130010282</v>
      </c>
      <c r="AT78" s="462" t="s">
        <v>405</v>
      </c>
      <c r="AU78" s="4" t="s">
        <v>406</v>
      </c>
      <c r="AV78" s="4" t="s">
        <v>407</v>
      </c>
      <c r="AW78" s="4">
        <v>1</v>
      </c>
      <c r="AX78" s="79">
        <v>0.6</v>
      </c>
      <c r="AY78" s="202">
        <v>0.25</v>
      </c>
      <c r="AZ78" s="202">
        <v>0.25</v>
      </c>
      <c r="BA78" s="202">
        <v>0.25</v>
      </c>
      <c r="BB78" s="202">
        <v>0.25</v>
      </c>
      <c r="BC78" s="202"/>
      <c r="BD78" s="202"/>
      <c r="BE78" s="202"/>
      <c r="BF78" s="352"/>
      <c r="BG78" s="379">
        <f t="shared" si="18"/>
        <v>0.25</v>
      </c>
      <c r="BH78" s="352"/>
      <c r="BI78" s="352"/>
      <c r="BJ78" s="662">
        <v>899775056</v>
      </c>
      <c r="BK78" s="662">
        <v>419875082</v>
      </c>
      <c r="BL78" s="665">
        <f>BK78/BJ78</f>
        <v>0.46664450097847565</v>
      </c>
      <c r="BM78" s="202"/>
      <c r="BN78" s="85">
        <v>44927</v>
      </c>
      <c r="BO78" s="85">
        <v>45291</v>
      </c>
      <c r="BP78" s="4">
        <v>365</v>
      </c>
      <c r="BQ78" s="4">
        <v>33</v>
      </c>
      <c r="BR78" s="4">
        <v>33</v>
      </c>
      <c r="BS78" s="29" t="s">
        <v>285</v>
      </c>
      <c r="BT78" s="29" t="s">
        <v>286</v>
      </c>
      <c r="BU78" s="29" t="s">
        <v>184</v>
      </c>
      <c r="BV78" s="116">
        <v>300000000</v>
      </c>
      <c r="BW78" s="116">
        <v>0</v>
      </c>
      <c r="BX78" s="225">
        <f t="shared" si="1"/>
        <v>300000000</v>
      </c>
      <c r="BY78" s="152">
        <v>150000000</v>
      </c>
      <c r="BZ78" s="157">
        <v>426145856</v>
      </c>
      <c r="CA78" s="232">
        <f t="shared" si="2"/>
        <v>876145856</v>
      </c>
      <c r="CB78" s="86">
        <v>0</v>
      </c>
      <c r="CC78" s="226">
        <f t="shared" si="3"/>
        <v>876145856</v>
      </c>
      <c r="CD78" s="102">
        <v>0</v>
      </c>
      <c r="CE78" s="102">
        <v>0</v>
      </c>
      <c r="CF78" s="102">
        <v>0</v>
      </c>
      <c r="CG78" s="102">
        <f t="shared" si="15"/>
        <v>0</v>
      </c>
      <c r="CH78" s="86">
        <v>0</v>
      </c>
      <c r="CI78" s="86">
        <v>0</v>
      </c>
      <c r="CJ78" s="86">
        <v>0</v>
      </c>
      <c r="CK78" s="86">
        <f t="shared" ref="CK78:CK85" si="20">SUM(CH78:CJ78)</f>
        <v>0</v>
      </c>
      <c r="CL78" s="102">
        <v>0</v>
      </c>
      <c r="CM78" s="102">
        <v>0</v>
      </c>
      <c r="CN78" s="102">
        <v>0</v>
      </c>
      <c r="CO78" s="102">
        <f t="shared" ref="CO78:CO85" si="21">SUM(CL78:CN78)</f>
        <v>0</v>
      </c>
      <c r="CP78" s="86">
        <v>0</v>
      </c>
      <c r="CQ78" s="86">
        <v>179946464</v>
      </c>
      <c r="CR78" s="86">
        <f>239928618+179946464</f>
        <v>419875082</v>
      </c>
      <c r="CS78" s="226">
        <f t="shared" si="7"/>
        <v>599821546</v>
      </c>
      <c r="CT78" s="619" t="s">
        <v>94</v>
      </c>
      <c r="CU78" s="478" t="s">
        <v>408</v>
      </c>
      <c r="CV78" s="478" t="s">
        <v>409</v>
      </c>
      <c r="CW78" s="64" t="s">
        <v>108</v>
      </c>
      <c r="CX78" s="438" t="s">
        <v>410</v>
      </c>
      <c r="CY78" s="630" t="s">
        <v>216</v>
      </c>
      <c r="CZ78" s="478" t="s">
        <v>111</v>
      </c>
      <c r="DA78" s="248">
        <v>44986</v>
      </c>
      <c r="DB78" s="64" t="s">
        <v>411</v>
      </c>
      <c r="DC78" s="478" t="s">
        <v>99</v>
      </c>
      <c r="DD78" s="478" t="s">
        <v>100</v>
      </c>
      <c r="DE78" s="173" t="s">
        <v>540</v>
      </c>
      <c r="DF78" s="173" t="s">
        <v>605</v>
      </c>
      <c r="DG78" s="86">
        <f t="shared" si="8"/>
        <v>0</v>
      </c>
      <c r="DH78" s="80">
        <v>0.5</v>
      </c>
      <c r="DI78" s="64" t="s">
        <v>656</v>
      </c>
      <c r="DJ78" s="80">
        <v>0.5</v>
      </c>
      <c r="DK78" s="64" t="s">
        <v>685</v>
      </c>
      <c r="DL78" s="117" t="s">
        <v>742</v>
      </c>
    </row>
    <row r="79" spans="1:116" ht="124.15" customHeight="1" x14ac:dyDescent="0.25">
      <c r="A79" s="450"/>
      <c r="B79" s="450"/>
      <c r="C79" s="450"/>
      <c r="D79" s="436"/>
      <c r="E79" s="436"/>
      <c r="F79" s="436"/>
      <c r="G79" s="436"/>
      <c r="H79" s="436"/>
      <c r="I79" s="436"/>
      <c r="J79" s="437"/>
      <c r="K79" s="436"/>
      <c r="L79" s="436"/>
      <c r="M79" s="436"/>
      <c r="N79" s="436"/>
      <c r="O79" s="436"/>
      <c r="P79" s="436"/>
      <c r="Q79" s="438"/>
      <c r="R79" s="464"/>
      <c r="S79" s="464"/>
      <c r="T79" s="438"/>
      <c r="U79" s="438"/>
      <c r="V79" s="438"/>
      <c r="W79" s="438"/>
      <c r="X79" s="438"/>
      <c r="Y79" s="438"/>
      <c r="Z79" s="438"/>
      <c r="AA79" s="438"/>
      <c r="AB79" s="438"/>
      <c r="AC79" s="438"/>
      <c r="AD79" s="438"/>
      <c r="AE79" s="438"/>
      <c r="AF79" s="438"/>
      <c r="AG79" s="438"/>
      <c r="AH79" s="438"/>
      <c r="AI79" s="438"/>
      <c r="AJ79" s="464"/>
      <c r="AK79" s="479"/>
      <c r="AL79" s="709"/>
      <c r="AM79" s="709"/>
      <c r="AN79" s="438"/>
      <c r="AO79" s="438"/>
      <c r="AP79" s="438"/>
      <c r="AQ79" s="438"/>
      <c r="AR79" s="436"/>
      <c r="AS79" s="633"/>
      <c r="AT79" s="462"/>
      <c r="AU79" s="4" t="s">
        <v>412</v>
      </c>
      <c r="AV79" s="4" t="s">
        <v>413</v>
      </c>
      <c r="AW79" s="4">
        <v>1</v>
      </c>
      <c r="AX79" s="79">
        <v>0.15</v>
      </c>
      <c r="AY79" s="202">
        <v>0.25</v>
      </c>
      <c r="AZ79" s="202">
        <v>0.25</v>
      </c>
      <c r="BA79" s="202">
        <v>0.25</v>
      </c>
      <c r="BB79" s="202">
        <v>0.25</v>
      </c>
      <c r="BC79" s="202"/>
      <c r="BD79" s="202"/>
      <c r="BE79" s="202"/>
      <c r="BF79" s="353"/>
      <c r="BG79" s="379">
        <f t="shared" si="18"/>
        <v>0.25</v>
      </c>
      <c r="BH79" s="353"/>
      <c r="BI79" s="353"/>
      <c r="BJ79" s="663"/>
      <c r="BK79" s="663"/>
      <c r="BL79" s="666"/>
      <c r="BM79" s="202"/>
      <c r="BN79" s="85">
        <v>44927</v>
      </c>
      <c r="BO79" s="85">
        <v>45291</v>
      </c>
      <c r="BP79" s="4">
        <v>365</v>
      </c>
      <c r="BQ79" s="4">
        <v>33</v>
      </c>
      <c r="BR79" s="4">
        <v>33</v>
      </c>
      <c r="BS79" s="29" t="s">
        <v>285</v>
      </c>
      <c r="BT79" s="29" t="s">
        <v>286</v>
      </c>
      <c r="BU79" s="29" t="s">
        <v>184</v>
      </c>
      <c r="BV79" s="116">
        <v>23629200</v>
      </c>
      <c r="BW79" s="116">
        <v>0</v>
      </c>
      <c r="BX79" s="225">
        <f t="shared" si="1"/>
        <v>23629200</v>
      </c>
      <c r="BY79" s="102">
        <v>0</v>
      </c>
      <c r="BZ79" s="102">
        <v>0</v>
      </c>
      <c r="CA79" s="226">
        <f t="shared" si="2"/>
        <v>23629200</v>
      </c>
      <c r="CB79" s="86">
        <v>0</v>
      </c>
      <c r="CC79" s="226">
        <f t="shared" si="3"/>
        <v>23629200</v>
      </c>
      <c r="CD79" s="102">
        <v>0</v>
      </c>
      <c r="CE79" s="102">
        <v>0</v>
      </c>
      <c r="CF79" s="102">
        <v>0</v>
      </c>
      <c r="CG79" s="102">
        <f t="shared" si="15"/>
        <v>0</v>
      </c>
      <c r="CH79" s="86">
        <v>0</v>
      </c>
      <c r="CI79" s="86">
        <v>0</v>
      </c>
      <c r="CJ79" s="86">
        <v>0</v>
      </c>
      <c r="CK79" s="86">
        <f t="shared" si="20"/>
        <v>0</v>
      </c>
      <c r="CL79" s="102">
        <v>0</v>
      </c>
      <c r="CM79" s="102">
        <v>0</v>
      </c>
      <c r="CN79" s="102">
        <v>0</v>
      </c>
      <c r="CO79" s="102">
        <f t="shared" si="21"/>
        <v>0</v>
      </c>
      <c r="CP79" s="86">
        <v>0</v>
      </c>
      <c r="CQ79" s="86">
        <v>0</v>
      </c>
      <c r="CR79" s="86">
        <v>0</v>
      </c>
      <c r="CS79" s="226">
        <f t="shared" si="7"/>
        <v>0</v>
      </c>
      <c r="CT79" s="620"/>
      <c r="CU79" s="479"/>
      <c r="CV79" s="479"/>
      <c r="CW79" s="64" t="s">
        <v>108</v>
      </c>
      <c r="CX79" s="438"/>
      <c r="CY79" s="661"/>
      <c r="CZ79" s="479"/>
      <c r="DA79" s="248">
        <v>44986</v>
      </c>
      <c r="DB79" s="64" t="s">
        <v>414</v>
      </c>
      <c r="DC79" s="479"/>
      <c r="DD79" s="479"/>
      <c r="DE79" s="173" t="s">
        <v>710</v>
      </c>
      <c r="DF79" s="173" t="s">
        <v>582</v>
      </c>
      <c r="DG79" s="86">
        <f t="shared" si="8"/>
        <v>0</v>
      </c>
      <c r="DH79" s="80">
        <v>0.5</v>
      </c>
      <c r="DI79" s="64" t="s">
        <v>657</v>
      </c>
      <c r="DJ79" s="80">
        <v>0.5</v>
      </c>
      <c r="DK79" s="64" t="s">
        <v>685</v>
      </c>
      <c r="DL79" s="117" t="s">
        <v>743</v>
      </c>
    </row>
    <row r="80" spans="1:116" ht="114" x14ac:dyDescent="0.25">
      <c r="A80" s="450"/>
      <c r="B80" s="450"/>
      <c r="C80" s="450"/>
      <c r="D80" s="436"/>
      <c r="E80" s="436"/>
      <c r="F80" s="436"/>
      <c r="G80" s="436"/>
      <c r="H80" s="436"/>
      <c r="I80" s="436"/>
      <c r="J80" s="437"/>
      <c r="K80" s="436"/>
      <c r="L80" s="436"/>
      <c r="M80" s="436"/>
      <c r="N80" s="436"/>
      <c r="O80" s="436"/>
      <c r="P80" s="436"/>
      <c r="Q80" s="438"/>
      <c r="R80" s="464"/>
      <c r="S80" s="464"/>
      <c r="T80" s="438"/>
      <c r="U80" s="438"/>
      <c r="V80" s="438"/>
      <c r="W80" s="438"/>
      <c r="X80" s="438"/>
      <c r="Y80" s="438"/>
      <c r="Z80" s="438"/>
      <c r="AA80" s="438"/>
      <c r="AB80" s="438"/>
      <c r="AC80" s="438"/>
      <c r="AD80" s="438"/>
      <c r="AE80" s="438"/>
      <c r="AF80" s="438"/>
      <c r="AG80" s="438"/>
      <c r="AH80" s="438"/>
      <c r="AI80" s="438"/>
      <c r="AJ80" s="464"/>
      <c r="AK80" s="480"/>
      <c r="AL80" s="710"/>
      <c r="AM80" s="710"/>
      <c r="AN80" s="438"/>
      <c r="AO80" s="438"/>
      <c r="AP80" s="438"/>
      <c r="AQ80" s="438"/>
      <c r="AR80" s="436"/>
      <c r="AS80" s="633"/>
      <c r="AT80" s="462"/>
      <c r="AU80" s="4" t="s">
        <v>415</v>
      </c>
      <c r="AV80" s="4" t="s">
        <v>416</v>
      </c>
      <c r="AW80" s="4">
        <v>1</v>
      </c>
      <c r="AX80" s="79">
        <v>0.25</v>
      </c>
      <c r="AY80" s="202">
        <v>0</v>
      </c>
      <c r="AZ80" s="202">
        <v>0</v>
      </c>
      <c r="BA80" s="202">
        <v>0.7</v>
      </c>
      <c r="BB80" s="202">
        <v>0</v>
      </c>
      <c r="BC80" s="202"/>
      <c r="BD80" s="202"/>
      <c r="BE80" s="202"/>
      <c r="BF80" s="354"/>
      <c r="BG80" s="379">
        <f t="shared" si="18"/>
        <v>0</v>
      </c>
      <c r="BH80" s="354"/>
      <c r="BI80" s="354"/>
      <c r="BJ80" s="664"/>
      <c r="BK80" s="664"/>
      <c r="BL80" s="667"/>
      <c r="BM80" s="202"/>
      <c r="BN80" s="85">
        <v>44927</v>
      </c>
      <c r="BO80" s="85">
        <v>45291</v>
      </c>
      <c r="BP80" s="4">
        <v>365</v>
      </c>
      <c r="BQ80" s="4">
        <v>33</v>
      </c>
      <c r="BR80" s="4">
        <v>33</v>
      </c>
      <c r="BS80" s="29" t="s">
        <v>285</v>
      </c>
      <c r="BT80" s="29" t="s">
        <v>286</v>
      </c>
      <c r="BU80" s="29" t="s">
        <v>184</v>
      </c>
      <c r="BV80" s="116">
        <v>0</v>
      </c>
      <c r="BW80" s="116">
        <v>0</v>
      </c>
      <c r="BX80" s="225">
        <f t="shared" si="1"/>
        <v>0</v>
      </c>
      <c r="BY80" s="102">
        <v>0</v>
      </c>
      <c r="BZ80" s="102">
        <v>0</v>
      </c>
      <c r="CA80" s="226">
        <f t="shared" si="2"/>
        <v>0</v>
      </c>
      <c r="CB80" s="86">
        <v>0</v>
      </c>
      <c r="CC80" s="226">
        <f t="shared" si="3"/>
        <v>0</v>
      </c>
      <c r="CD80" s="102">
        <v>0</v>
      </c>
      <c r="CE80" s="102">
        <v>0</v>
      </c>
      <c r="CF80" s="102">
        <v>0</v>
      </c>
      <c r="CG80" s="102">
        <f t="shared" si="15"/>
        <v>0</v>
      </c>
      <c r="CH80" s="86">
        <v>0</v>
      </c>
      <c r="CI80" s="86">
        <v>0</v>
      </c>
      <c r="CJ80" s="86">
        <v>0</v>
      </c>
      <c r="CK80" s="86">
        <f t="shared" si="20"/>
        <v>0</v>
      </c>
      <c r="CL80" s="102">
        <v>0</v>
      </c>
      <c r="CM80" s="102">
        <v>0</v>
      </c>
      <c r="CN80" s="102">
        <v>0</v>
      </c>
      <c r="CO80" s="102">
        <f t="shared" si="21"/>
        <v>0</v>
      </c>
      <c r="CP80" s="86">
        <v>0</v>
      </c>
      <c r="CQ80" s="86">
        <v>0</v>
      </c>
      <c r="CR80" s="86">
        <v>0</v>
      </c>
      <c r="CS80" s="226">
        <f t="shared" si="7"/>
        <v>0</v>
      </c>
      <c r="CT80" s="621"/>
      <c r="CU80" s="480"/>
      <c r="CV80" s="480"/>
      <c r="CW80" s="64" t="s">
        <v>108</v>
      </c>
      <c r="CX80" s="438"/>
      <c r="CY80" s="631"/>
      <c r="CZ80" s="480"/>
      <c r="DA80" s="248">
        <v>45200</v>
      </c>
      <c r="DB80" s="64" t="s">
        <v>417</v>
      </c>
      <c r="DC80" s="480"/>
      <c r="DD80" s="480"/>
      <c r="DE80" s="173" t="s">
        <v>539</v>
      </c>
      <c r="DF80" s="173" t="s">
        <v>582</v>
      </c>
      <c r="DG80" s="86">
        <f t="shared" si="8"/>
        <v>0</v>
      </c>
      <c r="DH80" s="80">
        <v>0</v>
      </c>
      <c r="DI80" s="64" t="s">
        <v>658</v>
      </c>
      <c r="DJ80" s="80">
        <v>0</v>
      </c>
      <c r="DK80" s="64" t="s">
        <v>685</v>
      </c>
      <c r="DL80" s="117" t="s">
        <v>744</v>
      </c>
    </row>
    <row r="81" spans="1:116" ht="42.75" customHeight="1" x14ac:dyDescent="0.25">
      <c r="A81" s="450"/>
      <c r="B81" s="450"/>
      <c r="C81" s="450"/>
      <c r="D81" s="436"/>
      <c r="E81" s="436"/>
      <c r="F81" s="436"/>
      <c r="G81" s="436"/>
      <c r="H81" s="436"/>
      <c r="I81" s="436"/>
      <c r="J81" s="321"/>
      <c r="K81" s="771" t="s">
        <v>799</v>
      </c>
      <c r="L81" s="772"/>
      <c r="M81" s="772"/>
      <c r="N81" s="772"/>
      <c r="O81" s="772"/>
      <c r="P81" s="772"/>
      <c r="Q81" s="773"/>
      <c r="R81" s="148"/>
      <c r="S81" s="148"/>
      <c r="T81" s="64"/>
      <c r="U81" s="64"/>
      <c r="V81" s="64"/>
      <c r="W81" s="64"/>
      <c r="X81" s="64"/>
      <c r="Y81" s="64"/>
      <c r="Z81" s="64"/>
      <c r="AA81" s="64"/>
      <c r="AB81" s="64"/>
      <c r="AC81" s="64"/>
      <c r="AD81" s="64"/>
      <c r="AE81" s="64"/>
      <c r="AF81" s="64"/>
      <c r="AG81" s="64"/>
      <c r="AH81" s="64"/>
      <c r="AI81" s="64"/>
      <c r="AJ81" s="148"/>
      <c r="AK81" s="64"/>
      <c r="AL81" s="766">
        <v>0.96969696969696972</v>
      </c>
      <c r="AM81" s="766">
        <v>1</v>
      </c>
      <c r="AN81" s="438"/>
      <c r="AO81" s="438"/>
      <c r="AP81" s="438"/>
      <c r="AQ81" s="438"/>
      <c r="AR81" s="4"/>
      <c r="AS81" s="340"/>
      <c r="AT81" s="331"/>
      <c r="AU81" s="4"/>
      <c r="AV81" s="4"/>
      <c r="AW81" s="595" t="s">
        <v>788</v>
      </c>
      <c r="AX81" s="596"/>
      <c r="AY81" s="596"/>
      <c r="AZ81" s="596"/>
      <c r="BA81" s="596"/>
      <c r="BB81" s="596"/>
      <c r="BC81" s="596"/>
      <c r="BD81" s="596"/>
      <c r="BE81" s="597"/>
      <c r="BF81" s="353"/>
      <c r="BG81" s="383">
        <f>SUM(BG80+BG79+BG78)/(3)</f>
        <v>0.16666666666666666</v>
      </c>
      <c r="BH81" s="693" t="s">
        <v>789</v>
      </c>
      <c r="BI81" s="695"/>
      <c r="BJ81" s="774">
        <f>BJ78</f>
        <v>899775056</v>
      </c>
      <c r="BK81" s="774">
        <f>BK78</f>
        <v>419875082</v>
      </c>
      <c r="BL81" s="775">
        <v>0.47</v>
      </c>
      <c r="BM81" s="202"/>
      <c r="BN81" s="85"/>
      <c r="BO81" s="85"/>
      <c r="BP81" s="4"/>
      <c r="BQ81" s="4"/>
      <c r="BR81" s="4"/>
      <c r="BS81" s="29"/>
      <c r="BT81" s="29"/>
      <c r="BU81" s="29"/>
      <c r="BV81" s="116"/>
      <c r="BW81" s="116"/>
      <c r="BX81" s="225"/>
      <c r="BY81" s="102"/>
      <c r="BZ81" s="102"/>
      <c r="CA81" s="226"/>
      <c r="CB81" s="86"/>
      <c r="CC81" s="226"/>
      <c r="CD81" s="102"/>
      <c r="CE81" s="102"/>
      <c r="CF81" s="102"/>
      <c r="CG81" s="102"/>
      <c r="CH81" s="86"/>
      <c r="CI81" s="86"/>
      <c r="CJ81" s="86"/>
      <c r="CK81" s="86"/>
      <c r="CL81" s="102"/>
      <c r="CM81" s="102"/>
      <c r="CN81" s="102"/>
      <c r="CO81" s="102"/>
      <c r="CP81" s="86"/>
      <c r="CQ81" s="86"/>
      <c r="CR81" s="86"/>
      <c r="CS81" s="226"/>
      <c r="CT81" s="339"/>
      <c r="CU81" s="329"/>
      <c r="CV81" s="9"/>
      <c r="CW81" s="64"/>
      <c r="CX81" s="64"/>
      <c r="CY81" s="342"/>
      <c r="CZ81" s="9"/>
      <c r="DA81" s="248"/>
      <c r="DB81" s="64"/>
      <c r="DC81" s="9"/>
      <c r="DD81" s="9"/>
      <c r="DE81" s="173"/>
      <c r="DF81" s="173"/>
      <c r="DG81" s="86"/>
      <c r="DH81" s="80"/>
      <c r="DI81" s="64"/>
      <c r="DJ81" s="80"/>
      <c r="DK81" s="64"/>
      <c r="DL81" s="117"/>
    </row>
    <row r="82" spans="1:116" ht="133.5" customHeight="1" x14ac:dyDescent="0.25">
      <c r="A82" s="450"/>
      <c r="B82" s="450"/>
      <c r="C82" s="450"/>
      <c r="D82" s="436"/>
      <c r="E82" s="436"/>
      <c r="F82" s="436"/>
      <c r="G82" s="436"/>
      <c r="H82" s="436"/>
      <c r="I82" s="436"/>
      <c r="J82" s="437" t="s">
        <v>418</v>
      </c>
      <c r="K82" s="436" t="s">
        <v>419</v>
      </c>
      <c r="L82" s="436" t="s">
        <v>401</v>
      </c>
      <c r="M82" s="436">
        <v>0</v>
      </c>
      <c r="N82" s="436" t="s">
        <v>420</v>
      </c>
      <c r="O82" s="436"/>
      <c r="P82" s="436" t="s">
        <v>228</v>
      </c>
      <c r="Q82" s="438" t="s">
        <v>403</v>
      </c>
      <c r="R82" s="464">
        <v>2</v>
      </c>
      <c r="S82" s="464">
        <v>4</v>
      </c>
      <c r="T82" s="438">
        <v>0</v>
      </c>
      <c r="U82" s="438">
        <v>0</v>
      </c>
      <c r="V82" s="438">
        <v>0</v>
      </c>
      <c r="W82" s="438">
        <f>SUM(T82:V85)</f>
        <v>0</v>
      </c>
      <c r="X82" s="438" t="s">
        <v>527</v>
      </c>
      <c r="Y82" s="438" t="s">
        <v>527</v>
      </c>
      <c r="Z82" s="438" t="s">
        <v>527</v>
      </c>
      <c r="AA82" s="438" t="s">
        <v>527</v>
      </c>
      <c r="AB82" s="438" t="s">
        <v>527</v>
      </c>
      <c r="AC82" s="438" t="s">
        <v>527</v>
      </c>
      <c r="AD82" s="438" t="s">
        <v>527</v>
      </c>
      <c r="AE82" s="438" t="s">
        <v>527</v>
      </c>
      <c r="AF82" s="438" t="s">
        <v>527</v>
      </c>
      <c r="AG82" s="438" t="s">
        <v>527</v>
      </c>
      <c r="AH82" s="438" t="s">
        <v>527</v>
      </c>
      <c r="AI82" s="438" t="s">
        <v>527</v>
      </c>
      <c r="AJ82" s="464">
        <v>3</v>
      </c>
      <c r="AK82" s="64"/>
      <c r="AL82" s="304"/>
      <c r="AM82" s="304"/>
      <c r="AN82" s="438"/>
      <c r="AO82" s="438"/>
      <c r="AP82" s="438"/>
      <c r="AQ82" s="438"/>
      <c r="AR82" s="442" t="s">
        <v>421</v>
      </c>
      <c r="AS82" s="633" t="s">
        <v>422</v>
      </c>
      <c r="AT82" s="442" t="s">
        <v>423</v>
      </c>
      <c r="AU82" s="4" t="s">
        <v>424</v>
      </c>
      <c r="AV82" s="4" t="s">
        <v>114</v>
      </c>
      <c r="AW82" s="4">
        <v>12</v>
      </c>
      <c r="AX82" s="79">
        <v>0.3</v>
      </c>
      <c r="AY82" s="202">
        <v>0.25</v>
      </c>
      <c r="AZ82" s="202">
        <v>0.25</v>
      </c>
      <c r="BA82" s="202">
        <v>0.25</v>
      </c>
      <c r="BB82" s="202">
        <v>0.25</v>
      </c>
      <c r="BC82" s="202"/>
      <c r="BD82" s="202"/>
      <c r="BE82" s="202"/>
      <c r="BF82" s="352"/>
      <c r="BG82" s="379">
        <f t="shared" si="18"/>
        <v>2.0833333333333332E-2</v>
      </c>
      <c r="BH82" s="352"/>
      <c r="BI82" s="352"/>
      <c r="BJ82" s="662">
        <v>52707027</v>
      </c>
      <c r="BK82" s="662">
        <v>40000000</v>
      </c>
      <c r="BL82" s="665">
        <f>BK82/BJ82</f>
        <v>0.75891208965362433</v>
      </c>
      <c r="BM82" s="202"/>
      <c r="BN82" s="85">
        <v>44927</v>
      </c>
      <c r="BO82" s="85">
        <v>45291</v>
      </c>
      <c r="BP82" s="4">
        <v>365</v>
      </c>
      <c r="BQ82" s="4">
        <v>6</v>
      </c>
      <c r="BR82" s="4">
        <v>6</v>
      </c>
      <c r="BS82" s="29" t="s">
        <v>285</v>
      </c>
      <c r="BT82" s="29" t="s">
        <v>286</v>
      </c>
      <c r="BU82" s="29" t="s">
        <v>184</v>
      </c>
      <c r="BV82" s="116">
        <v>53486500</v>
      </c>
      <c r="BW82" s="116">
        <v>0</v>
      </c>
      <c r="BX82" s="225">
        <f t="shared" si="1"/>
        <v>53486500</v>
      </c>
      <c r="BY82" s="102">
        <v>0</v>
      </c>
      <c r="BZ82" s="153">
        <v>-779473</v>
      </c>
      <c r="CA82" s="233">
        <f t="shared" si="2"/>
        <v>52707027</v>
      </c>
      <c r="CB82" s="86">
        <v>0</v>
      </c>
      <c r="CC82" s="226">
        <f t="shared" ref="CC82:CC97" si="22">BV82+BW82+BY82+BZ82+CB82</f>
        <v>52707027</v>
      </c>
      <c r="CD82" s="102">
        <v>0</v>
      </c>
      <c r="CE82" s="102">
        <v>0</v>
      </c>
      <c r="CF82" s="102">
        <v>4000000</v>
      </c>
      <c r="CG82" s="102">
        <f t="shared" si="15"/>
        <v>4000000</v>
      </c>
      <c r="CH82" s="86">
        <v>4000000</v>
      </c>
      <c r="CI82" s="86">
        <v>4000000</v>
      </c>
      <c r="CJ82" s="86">
        <v>4000000</v>
      </c>
      <c r="CK82" s="86">
        <f t="shared" si="20"/>
        <v>12000000</v>
      </c>
      <c r="CL82" s="86">
        <v>4000000</v>
      </c>
      <c r="CM82" s="86">
        <v>4000000</v>
      </c>
      <c r="CN82" s="86">
        <v>4000000</v>
      </c>
      <c r="CO82" s="102">
        <f t="shared" si="21"/>
        <v>12000000</v>
      </c>
      <c r="CP82" s="86">
        <v>4000000</v>
      </c>
      <c r="CQ82" s="86">
        <v>4000000</v>
      </c>
      <c r="CR82" s="86">
        <v>7866667</v>
      </c>
      <c r="CS82" s="226">
        <f t="shared" si="7"/>
        <v>15866667</v>
      </c>
      <c r="CT82" s="443" t="s">
        <v>94</v>
      </c>
      <c r="CU82" s="405" t="s">
        <v>425</v>
      </c>
      <c r="CV82" s="436" t="s">
        <v>426</v>
      </c>
      <c r="CW82" s="4" t="s">
        <v>108</v>
      </c>
      <c r="CX82" s="4" t="s">
        <v>427</v>
      </c>
      <c r="CY82" s="4" t="s">
        <v>365</v>
      </c>
      <c r="CZ82" s="4" t="s">
        <v>111</v>
      </c>
      <c r="DA82" s="6">
        <v>44927</v>
      </c>
      <c r="DB82" s="4" t="s">
        <v>259</v>
      </c>
      <c r="DC82" s="436" t="s">
        <v>99</v>
      </c>
      <c r="DD82" s="436" t="s">
        <v>100</v>
      </c>
      <c r="DE82" s="173" t="s">
        <v>547</v>
      </c>
      <c r="DF82" s="173" t="s">
        <v>606</v>
      </c>
      <c r="DG82" s="86">
        <f t="shared" si="8"/>
        <v>16000000</v>
      </c>
      <c r="DH82" s="80">
        <v>0.5</v>
      </c>
      <c r="DI82" s="64" t="s">
        <v>684</v>
      </c>
      <c r="DJ82" s="80">
        <v>0.5</v>
      </c>
      <c r="DK82" s="173" t="s">
        <v>606</v>
      </c>
      <c r="DL82" s="117" t="s">
        <v>745</v>
      </c>
    </row>
    <row r="83" spans="1:116" ht="85.5" x14ac:dyDescent="0.25">
      <c r="A83" s="450"/>
      <c r="B83" s="450"/>
      <c r="C83" s="450"/>
      <c r="D83" s="436"/>
      <c r="E83" s="436"/>
      <c r="F83" s="436"/>
      <c r="G83" s="436"/>
      <c r="H83" s="436"/>
      <c r="I83" s="436"/>
      <c r="J83" s="437"/>
      <c r="K83" s="436"/>
      <c r="L83" s="436"/>
      <c r="M83" s="436"/>
      <c r="N83" s="436"/>
      <c r="O83" s="436"/>
      <c r="P83" s="436"/>
      <c r="Q83" s="438"/>
      <c r="R83" s="464"/>
      <c r="S83" s="464"/>
      <c r="T83" s="438"/>
      <c r="U83" s="438"/>
      <c r="V83" s="438"/>
      <c r="W83" s="438"/>
      <c r="X83" s="438"/>
      <c r="Y83" s="438"/>
      <c r="Z83" s="438"/>
      <c r="AA83" s="438"/>
      <c r="AB83" s="438"/>
      <c r="AC83" s="438"/>
      <c r="AD83" s="438"/>
      <c r="AE83" s="438"/>
      <c r="AF83" s="438"/>
      <c r="AG83" s="438"/>
      <c r="AH83" s="438"/>
      <c r="AI83" s="438"/>
      <c r="AJ83" s="464"/>
      <c r="AK83" s="64"/>
      <c r="AL83" s="304"/>
      <c r="AM83" s="304"/>
      <c r="AN83" s="438"/>
      <c r="AO83" s="438"/>
      <c r="AP83" s="438"/>
      <c r="AQ83" s="438"/>
      <c r="AR83" s="442"/>
      <c r="AS83" s="633"/>
      <c r="AT83" s="442"/>
      <c r="AU83" s="64" t="s">
        <v>428</v>
      </c>
      <c r="AV83" s="4" t="s">
        <v>429</v>
      </c>
      <c r="AW83" s="4">
        <v>4</v>
      </c>
      <c r="AX83" s="79">
        <v>0.5</v>
      </c>
      <c r="AY83" s="202">
        <v>0.25</v>
      </c>
      <c r="AZ83" s="202">
        <v>0.25</v>
      </c>
      <c r="BA83" s="202">
        <v>0.25</v>
      </c>
      <c r="BB83" s="202">
        <v>0.25</v>
      </c>
      <c r="BC83" s="202"/>
      <c r="BD83" s="202"/>
      <c r="BE83" s="202"/>
      <c r="BF83" s="353"/>
      <c r="BG83" s="379">
        <f t="shared" si="18"/>
        <v>6.25E-2</v>
      </c>
      <c r="BH83" s="353"/>
      <c r="BI83" s="353"/>
      <c r="BJ83" s="663"/>
      <c r="BK83" s="663">
        <v>40000000</v>
      </c>
      <c r="BL83" s="666"/>
      <c r="BM83" s="202"/>
      <c r="BN83" s="85">
        <v>44927</v>
      </c>
      <c r="BO83" s="85">
        <v>45291</v>
      </c>
      <c r="BP83" s="4">
        <v>365</v>
      </c>
      <c r="BQ83" s="4">
        <v>4</v>
      </c>
      <c r="BR83" s="4">
        <v>4</v>
      </c>
      <c r="BS83" s="29" t="s">
        <v>285</v>
      </c>
      <c r="BT83" s="29" t="s">
        <v>286</v>
      </c>
      <c r="BU83" s="29" t="s">
        <v>184</v>
      </c>
      <c r="BV83" s="116">
        <v>155282958</v>
      </c>
      <c r="BW83" s="116">
        <v>0</v>
      </c>
      <c r="BX83" s="225">
        <f t="shared" ref="BX83:BX85" si="23">BV83+BW83</f>
        <v>155282958</v>
      </c>
      <c r="BY83" s="102">
        <v>0</v>
      </c>
      <c r="BZ83" s="153">
        <v>-155282958</v>
      </c>
      <c r="CA83" s="233">
        <f t="shared" ref="CA83:CA85" si="24">BV83+BW83+BY83+BZ83</f>
        <v>0</v>
      </c>
      <c r="CB83" s="86">
        <v>0</v>
      </c>
      <c r="CC83" s="226">
        <f t="shared" si="22"/>
        <v>0</v>
      </c>
      <c r="CD83" s="102">
        <v>0</v>
      </c>
      <c r="CE83" s="102">
        <v>0</v>
      </c>
      <c r="CF83" s="102">
        <v>0</v>
      </c>
      <c r="CG83" s="102">
        <f t="shared" si="15"/>
        <v>0</v>
      </c>
      <c r="CH83" s="86">
        <v>0</v>
      </c>
      <c r="CI83" s="86">
        <v>0</v>
      </c>
      <c r="CJ83" s="86">
        <v>0</v>
      </c>
      <c r="CK83" s="86">
        <f t="shared" si="20"/>
        <v>0</v>
      </c>
      <c r="CL83" s="86">
        <v>0</v>
      </c>
      <c r="CM83" s="86">
        <v>0</v>
      </c>
      <c r="CN83" s="86">
        <v>0</v>
      </c>
      <c r="CO83" s="102">
        <f>SUM(CL83:CN83)</f>
        <v>0</v>
      </c>
      <c r="CP83" s="86">
        <v>0</v>
      </c>
      <c r="CQ83" s="86">
        <v>0</v>
      </c>
      <c r="CR83" s="86">
        <v>0</v>
      </c>
      <c r="CS83" s="226">
        <f t="shared" ref="CS83:CS85" si="25">SUM(CP83:CR83)</f>
        <v>0</v>
      </c>
      <c r="CT83" s="444"/>
      <c r="CU83" s="406"/>
      <c r="CV83" s="436"/>
      <c r="CW83" s="4" t="s">
        <v>108</v>
      </c>
      <c r="CX83" s="436" t="s">
        <v>430</v>
      </c>
      <c r="CY83" s="436" t="s">
        <v>216</v>
      </c>
      <c r="CZ83" s="436" t="s">
        <v>111</v>
      </c>
      <c r="DA83" s="6">
        <v>44986</v>
      </c>
      <c r="DB83" s="4" t="s">
        <v>431</v>
      </c>
      <c r="DC83" s="436"/>
      <c r="DD83" s="436"/>
      <c r="DE83" s="173" t="s">
        <v>540</v>
      </c>
      <c r="DF83" s="173" t="s">
        <v>606</v>
      </c>
      <c r="DG83" s="86">
        <f t="shared" ref="DG83:DG85" si="26">CG83+CK83</f>
        <v>0</v>
      </c>
      <c r="DH83" s="80">
        <v>0.5</v>
      </c>
      <c r="DI83" s="64" t="s">
        <v>659</v>
      </c>
      <c r="DJ83" s="80">
        <v>0.5</v>
      </c>
      <c r="DK83" s="173" t="s">
        <v>606</v>
      </c>
      <c r="DL83" s="117" t="s">
        <v>746</v>
      </c>
    </row>
    <row r="84" spans="1:116" ht="85.5" x14ac:dyDescent="0.25">
      <c r="A84" s="450"/>
      <c r="B84" s="450"/>
      <c r="C84" s="450"/>
      <c r="D84" s="436"/>
      <c r="E84" s="436"/>
      <c r="F84" s="436"/>
      <c r="G84" s="436"/>
      <c r="H84" s="436"/>
      <c r="I84" s="436"/>
      <c r="J84" s="437"/>
      <c r="K84" s="436"/>
      <c r="L84" s="436"/>
      <c r="M84" s="436"/>
      <c r="N84" s="436"/>
      <c r="O84" s="436"/>
      <c r="P84" s="436"/>
      <c r="Q84" s="438"/>
      <c r="R84" s="464"/>
      <c r="S84" s="464"/>
      <c r="T84" s="438"/>
      <c r="U84" s="438"/>
      <c r="V84" s="438"/>
      <c r="W84" s="438"/>
      <c r="X84" s="438"/>
      <c r="Y84" s="438"/>
      <c r="Z84" s="438"/>
      <c r="AA84" s="438"/>
      <c r="AB84" s="438"/>
      <c r="AC84" s="438"/>
      <c r="AD84" s="438"/>
      <c r="AE84" s="438"/>
      <c r="AF84" s="438"/>
      <c r="AG84" s="438"/>
      <c r="AH84" s="438"/>
      <c r="AI84" s="438"/>
      <c r="AJ84" s="464"/>
      <c r="AK84" s="64"/>
      <c r="AL84" s="304"/>
      <c r="AM84" s="304"/>
      <c r="AN84" s="438"/>
      <c r="AO84" s="438"/>
      <c r="AP84" s="438"/>
      <c r="AQ84" s="438"/>
      <c r="AR84" s="442"/>
      <c r="AS84" s="633"/>
      <c r="AT84" s="442"/>
      <c r="AU84" s="64" t="s">
        <v>432</v>
      </c>
      <c r="AV84" s="64" t="s">
        <v>413</v>
      </c>
      <c r="AW84" s="4">
        <v>1</v>
      </c>
      <c r="AX84" s="79">
        <v>0.1</v>
      </c>
      <c r="AY84" s="202">
        <v>0</v>
      </c>
      <c r="AZ84" s="202">
        <v>0.15</v>
      </c>
      <c r="BA84" s="202">
        <v>0.15</v>
      </c>
      <c r="BB84" s="202">
        <v>0.15</v>
      </c>
      <c r="BC84" s="202"/>
      <c r="BD84" s="202"/>
      <c r="BE84" s="202"/>
      <c r="BF84" s="353"/>
      <c r="BG84" s="379">
        <f t="shared" si="18"/>
        <v>0.15</v>
      </c>
      <c r="BH84" s="353"/>
      <c r="BI84" s="353"/>
      <c r="BJ84" s="663"/>
      <c r="BK84" s="663">
        <v>40000000</v>
      </c>
      <c r="BL84" s="666"/>
      <c r="BM84" s="202"/>
      <c r="BN84" s="85">
        <v>44927</v>
      </c>
      <c r="BO84" s="85">
        <v>45291</v>
      </c>
      <c r="BP84" s="4">
        <v>365</v>
      </c>
      <c r="BQ84" s="4">
        <v>6</v>
      </c>
      <c r="BR84" s="4">
        <v>6</v>
      </c>
      <c r="BS84" s="29" t="s">
        <v>285</v>
      </c>
      <c r="BT84" s="29" t="s">
        <v>286</v>
      </c>
      <c r="BU84" s="29" t="s">
        <v>184</v>
      </c>
      <c r="BV84" s="116">
        <v>15000000</v>
      </c>
      <c r="BW84" s="116">
        <v>0</v>
      </c>
      <c r="BX84" s="225">
        <f t="shared" si="23"/>
        <v>15000000</v>
      </c>
      <c r="BY84" s="102">
        <v>0</v>
      </c>
      <c r="BZ84" s="153">
        <v>-15000000</v>
      </c>
      <c r="CA84" s="233">
        <f t="shared" si="24"/>
        <v>0</v>
      </c>
      <c r="CB84" s="86">
        <v>0</v>
      </c>
      <c r="CC84" s="226">
        <f t="shared" si="22"/>
        <v>0</v>
      </c>
      <c r="CD84" s="102">
        <v>0</v>
      </c>
      <c r="CE84" s="102">
        <v>0</v>
      </c>
      <c r="CF84" s="102">
        <v>0</v>
      </c>
      <c r="CG84" s="102">
        <f t="shared" si="15"/>
        <v>0</v>
      </c>
      <c r="CH84" s="86">
        <v>0</v>
      </c>
      <c r="CI84" s="86">
        <v>0</v>
      </c>
      <c r="CJ84" s="86">
        <v>0</v>
      </c>
      <c r="CK84" s="86">
        <f t="shared" si="20"/>
        <v>0</v>
      </c>
      <c r="CL84" s="86">
        <v>0</v>
      </c>
      <c r="CM84" s="86">
        <v>0</v>
      </c>
      <c r="CN84" s="86">
        <v>0</v>
      </c>
      <c r="CO84" s="102">
        <f t="shared" si="21"/>
        <v>0</v>
      </c>
      <c r="CP84" s="86">
        <v>0</v>
      </c>
      <c r="CQ84" s="86">
        <v>0</v>
      </c>
      <c r="CR84" s="86">
        <v>0</v>
      </c>
      <c r="CS84" s="226">
        <f t="shared" si="25"/>
        <v>0</v>
      </c>
      <c r="CT84" s="444"/>
      <c r="CU84" s="406"/>
      <c r="CV84" s="436"/>
      <c r="CW84" s="4" t="s">
        <v>108</v>
      </c>
      <c r="CX84" s="436"/>
      <c r="CY84" s="436"/>
      <c r="CZ84" s="436"/>
      <c r="DA84" s="6">
        <v>45200</v>
      </c>
      <c r="DB84" s="4" t="s">
        <v>433</v>
      </c>
      <c r="DC84" s="436"/>
      <c r="DD84" s="436"/>
      <c r="DE84" s="173"/>
      <c r="DF84" s="173" t="s">
        <v>606</v>
      </c>
      <c r="DG84" s="86">
        <f t="shared" si="26"/>
        <v>0</v>
      </c>
      <c r="DH84" s="80">
        <v>0</v>
      </c>
      <c r="DI84" s="64" t="s">
        <v>661</v>
      </c>
      <c r="DJ84" s="80">
        <v>0</v>
      </c>
      <c r="DK84" s="173" t="s">
        <v>606</v>
      </c>
      <c r="DL84" s="117" t="s">
        <v>747</v>
      </c>
    </row>
    <row r="85" spans="1:116" ht="57" x14ac:dyDescent="0.25">
      <c r="A85" s="451"/>
      <c r="B85" s="451"/>
      <c r="C85" s="451"/>
      <c r="D85" s="436"/>
      <c r="E85" s="436"/>
      <c r="F85" s="436"/>
      <c r="G85" s="436"/>
      <c r="H85" s="436"/>
      <c r="I85" s="436"/>
      <c r="J85" s="437"/>
      <c r="K85" s="436"/>
      <c r="L85" s="436"/>
      <c r="M85" s="436"/>
      <c r="N85" s="436"/>
      <c r="O85" s="436"/>
      <c r="P85" s="436"/>
      <c r="Q85" s="438"/>
      <c r="R85" s="464"/>
      <c r="S85" s="464"/>
      <c r="T85" s="438"/>
      <c r="U85" s="438"/>
      <c r="V85" s="438"/>
      <c r="W85" s="438"/>
      <c r="X85" s="438"/>
      <c r="Y85" s="438"/>
      <c r="Z85" s="438"/>
      <c r="AA85" s="438"/>
      <c r="AB85" s="438"/>
      <c r="AC85" s="438"/>
      <c r="AD85" s="438"/>
      <c r="AE85" s="438"/>
      <c r="AF85" s="438"/>
      <c r="AG85" s="438"/>
      <c r="AH85" s="438"/>
      <c r="AI85" s="438"/>
      <c r="AJ85" s="464"/>
      <c r="AK85" s="64"/>
      <c r="AL85" s="304"/>
      <c r="AM85" s="304"/>
      <c r="AN85" s="438"/>
      <c r="AO85" s="438"/>
      <c r="AP85" s="438"/>
      <c r="AQ85" s="438"/>
      <c r="AR85" s="442"/>
      <c r="AS85" s="633"/>
      <c r="AT85" s="442"/>
      <c r="AU85" s="64" t="s">
        <v>434</v>
      </c>
      <c r="AV85" s="4" t="s">
        <v>416</v>
      </c>
      <c r="AW85" s="4">
        <v>1</v>
      </c>
      <c r="AX85" s="79">
        <v>0.1</v>
      </c>
      <c r="AY85" s="202">
        <v>0.25</v>
      </c>
      <c r="AZ85" s="202">
        <v>0.25</v>
      </c>
      <c r="BA85" s="202">
        <v>0.25</v>
      </c>
      <c r="BB85" s="202">
        <v>0.25</v>
      </c>
      <c r="BC85" s="202"/>
      <c r="BD85" s="202"/>
      <c r="BE85" s="202"/>
      <c r="BF85" s="354"/>
      <c r="BG85" s="379">
        <f t="shared" si="18"/>
        <v>0.25</v>
      </c>
      <c r="BH85" s="354"/>
      <c r="BI85" s="354"/>
      <c r="BJ85" s="664"/>
      <c r="BK85" s="664">
        <v>40000000</v>
      </c>
      <c r="BL85" s="667"/>
      <c r="BM85" s="202"/>
      <c r="BN85" s="85">
        <v>44927</v>
      </c>
      <c r="BO85" s="85">
        <v>45291</v>
      </c>
      <c r="BP85" s="4">
        <v>365</v>
      </c>
      <c r="BQ85" s="4">
        <v>6</v>
      </c>
      <c r="BR85" s="4">
        <v>6</v>
      </c>
      <c r="BS85" s="29" t="s">
        <v>285</v>
      </c>
      <c r="BT85" s="29" t="s">
        <v>286</v>
      </c>
      <c r="BU85" s="29" t="s">
        <v>184</v>
      </c>
      <c r="BV85" s="116">
        <v>0</v>
      </c>
      <c r="BW85" s="116">
        <v>0</v>
      </c>
      <c r="BX85" s="225">
        <f t="shared" si="23"/>
        <v>0</v>
      </c>
      <c r="BY85" s="102">
        <v>0</v>
      </c>
      <c r="BZ85" s="102">
        <v>0</v>
      </c>
      <c r="CA85" s="226">
        <f t="shared" si="24"/>
        <v>0</v>
      </c>
      <c r="CB85" s="86">
        <v>0</v>
      </c>
      <c r="CC85" s="226">
        <f t="shared" si="22"/>
        <v>0</v>
      </c>
      <c r="CD85" s="102">
        <v>0</v>
      </c>
      <c r="CE85" s="102">
        <v>0</v>
      </c>
      <c r="CF85" s="102">
        <v>0</v>
      </c>
      <c r="CG85" s="102">
        <f t="shared" si="15"/>
        <v>0</v>
      </c>
      <c r="CH85" s="86">
        <v>0</v>
      </c>
      <c r="CI85" s="86">
        <v>0</v>
      </c>
      <c r="CJ85" s="86">
        <v>0</v>
      </c>
      <c r="CK85" s="86">
        <f t="shared" si="20"/>
        <v>0</v>
      </c>
      <c r="CL85" s="86">
        <v>0</v>
      </c>
      <c r="CM85" s="86">
        <v>0</v>
      </c>
      <c r="CN85" s="86">
        <v>0</v>
      </c>
      <c r="CO85" s="102">
        <f t="shared" si="21"/>
        <v>0</v>
      </c>
      <c r="CP85" s="86">
        <v>0</v>
      </c>
      <c r="CQ85" s="86">
        <v>0</v>
      </c>
      <c r="CR85" s="86">
        <v>0</v>
      </c>
      <c r="CS85" s="226">
        <f t="shared" si="25"/>
        <v>0</v>
      </c>
      <c r="CT85" s="445"/>
      <c r="CU85" s="407"/>
      <c r="CV85" s="436"/>
      <c r="CW85" s="4" t="s">
        <v>108</v>
      </c>
      <c r="CX85" s="436"/>
      <c r="CY85" s="436"/>
      <c r="CZ85" s="436"/>
      <c r="DA85" s="6">
        <v>44743</v>
      </c>
      <c r="DB85" s="4" t="s">
        <v>417</v>
      </c>
      <c r="DC85" s="436"/>
      <c r="DD85" s="436"/>
      <c r="DE85" s="173"/>
      <c r="DF85" s="173" t="s">
        <v>582</v>
      </c>
      <c r="DG85" s="86">
        <f t="shared" si="26"/>
        <v>0</v>
      </c>
      <c r="DH85" s="80">
        <v>0.5</v>
      </c>
      <c r="DI85" s="64" t="s">
        <v>660</v>
      </c>
      <c r="DJ85" s="80">
        <v>0.5</v>
      </c>
      <c r="DK85" s="173" t="s">
        <v>582</v>
      </c>
      <c r="DL85" s="117" t="s">
        <v>219</v>
      </c>
    </row>
    <row r="86" spans="1:116" ht="39.75" customHeight="1" x14ac:dyDescent="0.25">
      <c r="A86" s="318"/>
      <c r="B86" s="318"/>
      <c r="C86" s="318"/>
      <c r="D86" s="5"/>
      <c r="E86" s="5"/>
      <c r="F86" s="5"/>
      <c r="G86" s="5"/>
      <c r="H86" s="5"/>
      <c r="I86" s="5"/>
      <c r="J86" s="761" t="s">
        <v>800</v>
      </c>
      <c r="K86" s="760"/>
      <c r="L86" s="760"/>
      <c r="M86" s="760"/>
      <c r="N86" s="760"/>
      <c r="O86" s="760"/>
      <c r="P86" s="760"/>
      <c r="Q86" s="760"/>
      <c r="R86" s="760"/>
      <c r="S86" s="760"/>
      <c r="T86" s="760"/>
      <c r="U86" s="760"/>
      <c r="V86" s="760"/>
      <c r="W86" s="760"/>
      <c r="X86" s="760"/>
      <c r="Y86" s="760"/>
      <c r="Z86" s="760"/>
      <c r="AA86" s="760"/>
      <c r="AB86" s="760"/>
      <c r="AC86" s="760"/>
      <c r="AD86" s="760"/>
      <c r="AE86" s="760"/>
      <c r="AF86" s="760"/>
      <c r="AG86" s="760"/>
      <c r="AH86" s="760"/>
      <c r="AI86" s="760"/>
      <c r="AJ86" s="762"/>
      <c r="AK86" s="64"/>
      <c r="AL86" s="400">
        <f>AL78</f>
        <v>0.96969696969696972</v>
      </c>
      <c r="AM86" s="390">
        <f>SUM(AM78:AM85)/2</f>
        <v>1</v>
      </c>
      <c r="AN86" s="64"/>
      <c r="AO86" s="64"/>
      <c r="AP86" s="64"/>
      <c r="AQ86" s="64"/>
      <c r="AR86" s="376"/>
      <c r="AS86" s="377"/>
      <c r="AT86" s="376"/>
      <c r="AU86" s="64"/>
      <c r="AV86" s="4"/>
      <c r="AW86" s="4"/>
      <c r="AX86" s="600" t="s">
        <v>788</v>
      </c>
      <c r="AY86" s="601"/>
      <c r="AZ86" s="601"/>
      <c r="BA86" s="601"/>
      <c r="BB86" s="601"/>
      <c r="BC86" s="601"/>
      <c r="BD86" s="601"/>
      <c r="BE86" s="601"/>
      <c r="BF86" s="602"/>
      <c r="BG86" s="380">
        <f>SUM(BG78:BG85)/7</f>
        <v>0.16428571428571428</v>
      </c>
      <c r="BH86" s="603" t="s">
        <v>789</v>
      </c>
      <c r="BI86" s="604"/>
      <c r="BJ86" s="399">
        <f>BJ82</f>
        <v>52707027</v>
      </c>
      <c r="BK86" s="399">
        <f>BK82</f>
        <v>40000000</v>
      </c>
      <c r="BL86" s="401">
        <f>BK86/BJ86</f>
        <v>0.75891208965362433</v>
      </c>
      <c r="BM86" s="202"/>
      <c r="BN86" s="85"/>
      <c r="BO86" s="85"/>
      <c r="BP86" s="4"/>
      <c r="BQ86" s="4"/>
      <c r="BR86" s="4"/>
      <c r="BS86" s="29"/>
      <c r="BT86" s="29"/>
      <c r="BU86" s="29"/>
      <c r="BV86" s="116"/>
      <c r="BW86" s="116"/>
      <c r="BX86" s="225"/>
      <c r="BY86" s="102"/>
      <c r="BZ86" s="102"/>
      <c r="CA86" s="226"/>
      <c r="CB86" s="86"/>
      <c r="CC86" s="226"/>
      <c r="CD86" s="102"/>
      <c r="CE86" s="102"/>
      <c r="CF86" s="102"/>
      <c r="CG86" s="102"/>
      <c r="CH86" s="86"/>
      <c r="CI86" s="86"/>
      <c r="CJ86" s="86"/>
      <c r="CK86" s="86"/>
      <c r="CL86" s="86"/>
      <c r="CM86" s="86"/>
      <c r="CN86" s="86"/>
      <c r="CO86" s="102"/>
      <c r="CP86" s="86"/>
      <c r="CQ86" s="86"/>
      <c r="CR86" s="86"/>
      <c r="CS86" s="226"/>
      <c r="CT86" s="324"/>
      <c r="CU86" s="313"/>
      <c r="CV86" s="5"/>
      <c r="CW86" s="4"/>
      <c r="CX86" s="4"/>
      <c r="CY86" s="4"/>
      <c r="CZ86" s="4"/>
      <c r="DA86" s="6"/>
      <c r="DB86" s="4"/>
      <c r="DC86" s="4"/>
      <c r="DD86" s="4"/>
      <c r="DE86" s="173"/>
      <c r="DF86" s="173"/>
      <c r="DG86" s="86"/>
      <c r="DH86" s="80"/>
      <c r="DI86" s="64"/>
      <c r="DJ86" s="80"/>
      <c r="DK86" s="173"/>
      <c r="DL86" s="117"/>
    </row>
    <row r="87" spans="1:116" s="38" customFormat="1" ht="124.15" customHeight="1" x14ac:dyDescent="0.25">
      <c r="A87" s="453" t="s">
        <v>435</v>
      </c>
      <c r="B87" s="454" t="s">
        <v>436</v>
      </c>
      <c r="C87" s="454" t="s">
        <v>437</v>
      </c>
      <c r="D87" s="414" t="s">
        <v>438</v>
      </c>
      <c r="E87" s="417">
        <v>0.08</v>
      </c>
      <c r="F87" s="414" t="s">
        <v>439</v>
      </c>
      <c r="G87" s="414">
        <v>4.5</v>
      </c>
      <c r="H87" s="414" t="s">
        <v>180</v>
      </c>
      <c r="I87" s="414">
        <v>4.5</v>
      </c>
      <c r="J87" s="426" t="s">
        <v>440</v>
      </c>
      <c r="K87" s="435" t="s">
        <v>441</v>
      </c>
      <c r="L87" s="435" t="s">
        <v>442</v>
      </c>
      <c r="M87" s="452">
        <v>931838490672</v>
      </c>
      <c r="N87" s="435" t="s">
        <v>443</v>
      </c>
      <c r="O87" s="33"/>
      <c r="P87" s="33" t="s">
        <v>80</v>
      </c>
      <c r="Q87" s="92" t="s">
        <v>444</v>
      </c>
      <c r="R87" s="614">
        <v>1047261338899</v>
      </c>
      <c r="S87" s="614">
        <v>357537406369</v>
      </c>
      <c r="T87" s="448">
        <v>41154487150</v>
      </c>
      <c r="U87" s="448">
        <v>84329962045</v>
      </c>
      <c r="V87" s="455">
        <v>125554417606</v>
      </c>
      <c r="W87" s="439">
        <f>SUM(T87:V89)</f>
        <v>251038866801</v>
      </c>
      <c r="X87" s="448">
        <v>27826394524</v>
      </c>
      <c r="Y87" s="448">
        <v>9473389549</v>
      </c>
      <c r="Z87" s="448">
        <v>21762581056</v>
      </c>
      <c r="AA87" s="607">
        <f>SUM(X87:Z89)</f>
        <v>59062365129</v>
      </c>
      <c r="AB87" s="569">
        <v>27826394524</v>
      </c>
      <c r="AC87" s="448">
        <v>9473389549</v>
      </c>
      <c r="AD87" s="448">
        <v>21762581056</v>
      </c>
      <c r="AE87" s="607">
        <f>SUM(AB87:AD89)</f>
        <v>59062365129</v>
      </c>
      <c r="AF87" s="646">
        <v>6697063890</v>
      </c>
      <c r="AG87" s="646">
        <v>6716155553</v>
      </c>
      <c r="AH87" s="646">
        <v>8413385081</v>
      </c>
      <c r="AI87" s="439">
        <f>AF87+AG87+AH87</f>
        <v>21826604524</v>
      </c>
      <c r="AJ87" s="615">
        <v>809607984981</v>
      </c>
      <c r="AK87" s="748"/>
      <c r="AL87" s="745">
        <f>SUM(W87+AA87+AH87+AG87+AF87)/(S87)</f>
        <v>0.92837233403050035</v>
      </c>
      <c r="AM87" s="745">
        <f>SUM(AJ87+AH87+AG87+AF87+AA87+W87)/(R87)</f>
        <v>1.0900200160497779</v>
      </c>
      <c r="AN87" s="73" t="s">
        <v>445</v>
      </c>
      <c r="AO87" s="93" t="s">
        <v>446</v>
      </c>
      <c r="AP87" s="73" t="s">
        <v>447</v>
      </c>
      <c r="AQ87" s="73" t="s">
        <v>448</v>
      </c>
      <c r="AR87" s="414" t="s">
        <v>449</v>
      </c>
      <c r="AS87" s="616" t="s">
        <v>450</v>
      </c>
      <c r="AT87" s="414" t="s">
        <v>451</v>
      </c>
      <c r="AU87" s="94" t="s">
        <v>563</v>
      </c>
      <c r="AV87" s="117" t="s">
        <v>452</v>
      </c>
      <c r="AW87" s="33">
        <v>1</v>
      </c>
      <c r="AX87" s="97">
        <v>0.1</v>
      </c>
      <c r="AY87" s="208">
        <v>0.25</v>
      </c>
      <c r="AZ87" s="208">
        <v>0.25</v>
      </c>
      <c r="BA87" s="208">
        <v>0.25</v>
      </c>
      <c r="BB87" s="208">
        <v>0.25</v>
      </c>
      <c r="BC87" s="208"/>
      <c r="BD87" s="208"/>
      <c r="BE87" s="208"/>
      <c r="BF87" s="367"/>
      <c r="BG87" s="379">
        <f t="shared" si="18"/>
        <v>0.25</v>
      </c>
      <c r="BH87" s="367"/>
      <c r="BI87" s="367"/>
      <c r="BJ87" s="608">
        <v>21318513569.039997</v>
      </c>
      <c r="BK87" s="608">
        <f>GETPIVOTDATA(" PAGOS",[1]HACIENDA!$A$3,"UE2","3 SECRETARIA DE HACIENDA PUBLICA","BPIN+RUBRO","2022130010001 IMPLEMENTACION DE ESTRATEGIAS PARA EL MEJORAMIENTO Y SOSTENIBILIDAD DE LAS FINANZAS EN EL DISTRITO DE CARTAGENA DE INDIAS  CARTAGENA DE INDIAS","PILAR","10. PILAR: CARTAGENA TRANSPARENTE","LÍNEA","10.8 LÍNEA ESTRATÉGICA: FINANZAS PÚBLICAS PARA SALVAR A CARTAGENA","PROGRAMA","10.8.1 PROGRAMA: FINANZAS SOSTENIBLES PARA SALVAR A CARTAGENA")</f>
        <v>17711547542.489998</v>
      </c>
      <c r="BL87" s="611">
        <f>BK87/BJ87</f>
        <v>0.83080593237099565</v>
      </c>
      <c r="BM87" s="208"/>
      <c r="BN87" s="95">
        <v>44927</v>
      </c>
      <c r="BO87" s="95">
        <v>45291</v>
      </c>
      <c r="BP87" s="33">
        <v>365</v>
      </c>
      <c r="BQ87" s="96">
        <v>1028736</v>
      </c>
      <c r="BR87" s="96">
        <v>1028736</v>
      </c>
      <c r="BS87" s="96" t="s">
        <v>285</v>
      </c>
      <c r="BT87" s="96" t="s">
        <v>286</v>
      </c>
      <c r="BU87" s="118" t="s">
        <v>184</v>
      </c>
      <c r="BV87" s="119">
        <v>50000000</v>
      </c>
      <c r="BW87" s="160">
        <v>0</v>
      </c>
      <c r="BX87" s="227">
        <f t="shared" ref="BX87:BX97" si="27">BV87+BW87</f>
        <v>50000000</v>
      </c>
      <c r="BY87" s="160">
        <v>0</v>
      </c>
      <c r="BZ87" s="102">
        <v>0</v>
      </c>
      <c r="CA87" s="226">
        <f t="shared" ref="CA87:CA97" si="28">BV87+BW87+BY87+BZ87</f>
        <v>50000000</v>
      </c>
      <c r="CB87" s="86">
        <v>0</v>
      </c>
      <c r="CC87" s="226">
        <f t="shared" si="22"/>
        <v>50000000</v>
      </c>
      <c r="CD87" s="55">
        <v>0</v>
      </c>
      <c r="CE87" s="55">
        <v>0</v>
      </c>
      <c r="CF87" s="55">
        <v>0</v>
      </c>
      <c r="CG87" s="102">
        <f t="shared" ref="CG87:CG97" si="29">SUM(CD87:CF87)</f>
        <v>0</v>
      </c>
      <c r="CH87" s="49">
        <v>0</v>
      </c>
      <c r="CI87" s="49">
        <v>0</v>
      </c>
      <c r="CJ87" s="49">
        <v>0</v>
      </c>
      <c r="CK87" s="86">
        <f t="shared" ref="CK87:CK97" si="30">SUM(CH87:CJ87)</f>
        <v>0</v>
      </c>
      <c r="CL87" s="216">
        <v>0</v>
      </c>
      <c r="CM87" s="216">
        <v>0</v>
      </c>
      <c r="CN87" s="216">
        <v>0</v>
      </c>
      <c r="CO87" s="102">
        <f t="shared" ref="CO87:CO88" si="31">SUM(CL87:CN87)</f>
        <v>0</v>
      </c>
      <c r="CP87" s="55">
        <v>0</v>
      </c>
      <c r="CQ87" s="55">
        <v>0</v>
      </c>
      <c r="CR87" s="55">
        <v>0</v>
      </c>
      <c r="CS87" s="233">
        <f t="shared" ref="CS87:CS97" si="32">SUM(CP87:CR87)</f>
        <v>0</v>
      </c>
      <c r="CT87" s="411" t="s">
        <v>566</v>
      </c>
      <c r="CU87" s="411" t="s">
        <v>453</v>
      </c>
      <c r="CV87" s="411" t="s">
        <v>567</v>
      </c>
      <c r="CW87" s="35" t="s">
        <v>108</v>
      </c>
      <c r="CX87" s="35" t="s">
        <v>454</v>
      </c>
      <c r="CY87" s="35" t="s">
        <v>455</v>
      </c>
      <c r="CZ87" s="36" t="s">
        <v>456</v>
      </c>
      <c r="DA87" s="37">
        <v>44927</v>
      </c>
      <c r="DB87" s="30" t="s">
        <v>457</v>
      </c>
      <c r="DC87" s="33" t="s">
        <v>458</v>
      </c>
      <c r="DD87" s="33" t="s">
        <v>459</v>
      </c>
      <c r="DE87" s="173"/>
      <c r="DF87" s="173" t="s">
        <v>582</v>
      </c>
      <c r="DG87" s="86">
        <f t="shared" ref="DG87:DG97" si="33">CG87+CK87</f>
        <v>0</v>
      </c>
      <c r="DH87" s="237">
        <f>(T87+U87+V87+X87+Y87+Z87)/S87</f>
        <v>0.86732528235089612</v>
      </c>
      <c r="DI87" s="193"/>
      <c r="DJ87" s="237">
        <f>(V87+W87+X87+Z87+AA87+AB87)/U87</f>
        <v>6.0840892987265427</v>
      </c>
      <c r="DK87" s="193"/>
      <c r="DL87" s="122" t="s">
        <v>582</v>
      </c>
    </row>
    <row r="88" spans="1:116" s="38" customFormat="1" ht="105" customHeight="1" x14ac:dyDescent="0.25">
      <c r="A88" s="453"/>
      <c r="B88" s="454"/>
      <c r="C88" s="454"/>
      <c r="D88" s="416"/>
      <c r="E88" s="419"/>
      <c r="F88" s="416"/>
      <c r="G88" s="416"/>
      <c r="H88" s="416"/>
      <c r="I88" s="416"/>
      <c r="J88" s="427"/>
      <c r="K88" s="435"/>
      <c r="L88" s="435"/>
      <c r="M88" s="452"/>
      <c r="N88" s="435"/>
      <c r="O88" s="33"/>
      <c r="P88" s="33" t="s">
        <v>80</v>
      </c>
      <c r="Q88" s="92" t="s">
        <v>444</v>
      </c>
      <c r="R88" s="614"/>
      <c r="S88" s="614"/>
      <c r="T88" s="448"/>
      <c r="U88" s="448"/>
      <c r="V88" s="455"/>
      <c r="W88" s="440"/>
      <c r="X88" s="448"/>
      <c r="Y88" s="448"/>
      <c r="Z88" s="448"/>
      <c r="AA88" s="438"/>
      <c r="AB88" s="569"/>
      <c r="AC88" s="448"/>
      <c r="AD88" s="448"/>
      <c r="AE88" s="438"/>
      <c r="AF88" s="647"/>
      <c r="AG88" s="647"/>
      <c r="AH88" s="647"/>
      <c r="AI88" s="440"/>
      <c r="AJ88" s="615"/>
      <c r="AK88" s="749"/>
      <c r="AL88" s="746"/>
      <c r="AM88" s="746"/>
      <c r="AN88" s="73"/>
      <c r="AO88" s="93"/>
      <c r="AP88" s="73"/>
      <c r="AQ88" s="73"/>
      <c r="AR88" s="415"/>
      <c r="AS88" s="617"/>
      <c r="AT88" s="415"/>
      <c r="AU88" s="94" t="s">
        <v>460</v>
      </c>
      <c r="AV88" s="117" t="s">
        <v>452</v>
      </c>
      <c r="AW88" s="33">
        <v>1</v>
      </c>
      <c r="AX88" s="97">
        <v>0.1</v>
      </c>
      <c r="AY88" s="208">
        <v>1</v>
      </c>
      <c r="AZ88" s="208">
        <v>0</v>
      </c>
      <c r="BA88" s="208">
        <v>0</v>
      </c>
      <c r="BB88" s="208">
        <v>1</v>
      </c>
      <c r="BC88" s="208"/>
      <c r="BD88" s="208"/>
      <c r="BE88" s="208"/>
      <c r="BF88" s="368"/>
      <c r="BG88" s="379">
        <f t="shared" si="18"/>
        <v>1</v>
      </c>
      <c r="BH88" s="368"/>
      <c r="BI88" s="368"/>
      <c r="BJ88" s="609"/>
      <c r="BK88" s="609"/>
      <c r="BL88" s="612"/>
      <c r="BM88" s="208"/>
      <c r="BN88" s="95">
        <v>44927</v>
      </c>
      <c r="BO88" s="95">
        <v>45291</v>
      </c>
      <c r="BP88" s="33">
        <v>365</v>
      </c>
      <c r="BQ88" s="96">
        <v>1028736</v>
      </c>
      <c r="BR88" s="96">
        <v>1028736</v>
      </c>
      <c r="BS88" s="96" t="s">
        <v>285</v>
      </c>
      <c r="BT88" s="96" t="s">
        <v>286</v>
      </c>
      <c r="BU88" s="118" t="s">
        <v>184</v>
      </c>
      <c r="BV88" s="119">
        <v>0</v>
      </c>
      <c r="BW88" s="161">
        <v>70000000</v>
      </c>
      <c r="BX88" s="227">
        <f t="shared" si="27"/>
        <v>70000000</v>
      </c>
      <c r="BY88" s="160">
        <v>0</v>
      </c>
      <c r="BZ88" s="102">
        <v>0</v>
      </c>
      <c r="CA88" s="226">
        <f t="shared" si="28"/>
        <v>70000000</v>
      </c>
      <c r="CB88" s="86">
        <v>0</v>
      </c>
      <c r="CC88" s="226">
        <f t="shared" si="22"/>
        <v>70000000</v>
      </c>
      <c r="CD88" s="55">
        <v>0</v>
      </c>
      <c r="CE88" s="55">
        <v>0</v>
      </c>
      <c r="CF88" s="55">
        <v>0</v>
      </c>
      <c r="CG88" s="102">
        <f t="shared" si="29"/>
        <v>0</v>
      </c>
      <c r="CH88" s="49">
        <v>0</v>
      </c>
      <c r="CI88" s="49">
        <v>0</v>
      </c>
      <c r="CJ88" s="49">
        <v>0</v>
      </c>
      <c r="CK88" s="86">
        <f t="shared" si="30"/>
        <v>0</v>
      </c>
      <c r="CL88" s="216"/>
      <c r="CM88" s="216"/>
      <c r="CN88" s="216"/>
      <c r="CO88" s="102">
        <f t="shared" si="31"/>
        <v>0</v>
      </c>
      <c r="CP88" s="55">
        <v>0</v>
      </c>
      <c r="CQ88" s="55">
        <v>0</v>
      </c>
      <c r="CR88" s="55">
        <v>0</v>
      </c>
      <c r="CS88" s="233">
        <f t="shared" si="32"/>
        <v>0</v>
      </c>
      <c r="CT88" s="412"/>
      <c r="CU88" s="412"/>
      <c r="CV88" s="412"/>
      <c r="CW88" s="35" t="s">
        <v>108</v>
      </c>
      <c r="CX88" s="35" t="s">
        <v>461</v>
      </c>
      <c r="CY88" s="35" t="s">
        <v>462</v>
      </c>
      <c r="CZ88" s="36" t="s">
        <v>456</v>
      </c>
      <c r="DA88" s="37">
        <v>44927</v>
      </c>
      <c r="DB88" s="30" t="s">
        <v>457</v>
      </c>
      <c r="DC88" s="33" t="s">
        <v>458</v>
      </c>
      <c r="DD88" s="33" t="s">
        <v>459</v>
      </c>
      <c r="DE88" s="173"/>
      <c r="DF88" s="173" t="s">
        <v>582</v>
      </c>
      <c r="DG88" s="86">
        <f t="shared" si="33"/>
        <v>0</v>
      </c>
      <c r="DH88" s="237"/>
      <c r="DI88" s="193"/>
      <c r="DJ88" s="237"/>
      <c r="DK88" s="193"/>
      <c r="DL88" s="122" t="s">
        <v>582</v>
      </c>
    </row>
    <row r="89" spans="1:116" s="38" customFormat="1" ht="80.45" customHeight="1" x14ac:dyDescent="0.25">
      <c r="A89" s="453"/>
      <c r="B89" s="454"/>
      <c r="C89" s="454"/>
      <c r="D89" s="31" t="s">
        <v>463</v>
      </c>
      <c r="E89" s="39">
        <v>0.08</v>
      </c>
      <c r="F89" s="31" t="s">
        <v>464</v>
      </c>
      <c r="G89" s="31">
        <v>3</v>
      </c>
      <c r="H89" s="31" t="s">
        <v>180</v>
      </c>
      <c r="I89" s="31">
        <v>3</v>
      </c>
      <c r="J89" s="427"/>
      <c r="K89" s="435"/>
      <c r="L89" s="435"/>
      <c r="M89" s="452"/>
      <c r="N89" s="435"/>
      <c r="O89" s="33"/>
      <c r="P89" s="33" t="s">
        <v>80</v>
      </c>
      <c r="Q89" s="92" t="s">
        <v>444</v>
      </c>
      <c r="R89" s="614"/>
      <c r="S89" s="614"/>
      <c r="T89" s="448"/>
      <c r="U89" s="448"/>
      <c r="V89" s="455"/>
      <c r="W89" s="441"/>
      <c r="X89" s="448"/>
      <c r="Y89" s="448"/>
      <c r="Z89" s="448"/>
      <c r="AA89" s="438"/>
      <c r="AB89" s="569"/>
      <c r="AC89" s="448"/>
      <c r="AD89" s="448"/>
      <c r="AE89" s="438"/>
      <c r="AF89" s="648"/>
      <c r="AG89" s="648"/>
      <c r="AH89" s="648"/>
      <c r="AI89" s="441"/>
      <c r="AJ89" s="615"/>
      <c r="AK89" s="750"/>
      <c r="AL89" s="747"/>
      <c r="AM89" s="747"/>
      <c r="AN89" s="73" t="s">
        <v>445</v>
      </c>
      <c r="AO89" s="93" t="s">
        <v>446</v>
      </c>
      <c r="AP89" s="73" t="s">
        <v>447</v>
      </c>
      <c r="AQ89" s="73" t="s">
        <v>448</v>
      </c>
      <c r="AR89" s="415"/>
      <c r="AS89" s="617"/>
      <c r="AT89" s="415"/>
      <c r="AU89" s="94" t="s">
        <v>465</v>
      </c>
      <c r="AV89" s="92" t="s">
        <v>466</v>
      </c>
      <c r="AW89" s="33">
        <v>1</v>
      </c>
      <c r="AX89" s="97">
        <v>0.1</v>
      </c>
      <c r="AY89" s="208">
        <v>0.25</v>
      </c>
      <c r="AZ89" s="208">
        <v>0.25</v>
      </c>
      <c r="BA89" s="208">
        <v>0.25</v>
      </c>
      <c r="BB89" s="208">
        <v>0.25</v>
      </c>
      <c r="BC89" s="208"/>
      <c r="BD89" s="208"/>
      <c r="BE89" s="208"/>
      <c r="BF89" s="368"/>
      <c r="BG89" s="379">
        <f t="shared" si="18"/>
        <v>0.25</v>
      </c>
      <c r="BH89" s="368"/>
      <c r="BI89" s="368"/>
      <c r="BJ89" s="609"/>
      <c r="BK89" s="609"/>
      <c r="BL89" s="612"/>
      <c r="BM89" s="208"/>
      <c r="BN89" s="95">
        <v>44927</v>
      </c>
      <c r="BO89" s="95">
        <v>45291</v>
      </c>
      <c r="BP89" s="33">
        <v>365</v>
      </c>
      <c r="BQ89" s="96">
        <v>1028736</v>
      </c>
      <c r="BR89" s="96">
        <v>1028736</v>
      </c>
      <c r="BS89" s="96" t="s">
        <v>285</v>
      </c>
      <c r="BT89" s="96" t="s">
        <v>286</v>
      </c>
      <c r="BU89" s="29" t="s">
        <v>184</v>
      </c>
      <c r="BV89" s="98">
        <v>8968000000</v>
      </c>
      <c r="BW89" s="98">
        <v>0</v>
      </c>
      <c r="BX89" s="228">
        <f t="shared" si="27"/>
        <v>8968000000</v>
      </c>
      <c r="BY89" s="98">
        <v>0</v>
      </c>
      <c r="BZ89" s="102">
        <v>0</v>
      </c>
      <c r="CA89" s="226">
        <f t="shared" si="28"/>
        <v>8968000000</v>
      </c>
      <c r="CB89" s="86">
        <v>0</v>
      </c>
      <c r="CC89" s="226">
        <f t="shared" si="22"/>
        <v>8968000000</v>
      </c>
      <c r="CD89" s="40">
        <v>0</v>
      </c>
      <c r="CE89" s="98">
        <v>3700000</v>
      </c>
      <c r="CF89" s="98">
        <v>3596300000</v>
      </c>
      <c r="CG89" s="102">
        <f>SUM(CD89:CF89)</f>
        <v>3600000000</v>
      </c>
      <c r="CH89" s="180" t="s">
        <v>610</v>
      </c>
      <c r="CI89" s="181" t="s">
        <v>610</v>
      </c>
      <c r="CJ89" s="181" t="s">
        <v>610</v>
      </c>
      <c r="CK89" s="211">
        <v>2552814228</v>
      </c>
      <c r="CL89" s="217"/>
      <c r="CM89" s="218"/>
      <c r="CN89" s="218"/>
      <c r="CO89" s="179">
        <v>2552814228</v>
      </c>
      <c r="CP89" s="180" t="s">
        <v>610</v>
      </c>
      <c r="CQ89" s="181" t="s">
        <v>610</v>
      </c>
      <c r="CR89" s="181" t="s">
        <v>775</v>
      </c>
      <c r="CS89" s="233">
        <f>SUM(CP89:CR89)</f>
        <v>0</v>
      </c>
      <c r="CT89" s="412"/>
      <c r="CU89" s="412"/>
      <c r="CV89" s="412"/>
      <c r="CW89" s="40" t="s">
        <v>108</v>
      </c>
      <c r="CX89" s="41" t="s">
        <v>467</v>
      </c>
      <c r="CY89" s="41" t="s">
        <v>455</v>
      </c>
      <c r="CZ89" s="41" t="s">
        <v>456</v>
      </c>
      <c r="DA89" s="42">
        <v>44927</v>
      </c>
      <c r="DB89" s="33" t="s">
        <v>468</v>
      </c>
      <c r="DC89" s="33" t="s">
        <v>469</v>
      </c>
      <c r="DD89" s="33" t="s">
        <v>459</v>
      </c>
      <c r="DE89" s="172"/>
      <c r="DF89" s="173" t="s">
        <v>582</v>
      </c>
      <c r="DG89" s="86">
        <f t="shared" si="33"/>
        <v>6152814228</v>
      </c>
      <c r="DH89" s="237"/>
      <c r="DI89" s="193"/>
      <c r="DJ89" s="237"/>
      <c r="DK89" s="193"/>
      <c r="DL89" s="122" t="s">
        <v>582</v>
      </c>
    </row>
    <row r="90" spans="1:116" s="38" customFormat="1" ht="183" customHeight="1" x14ac:dyDescent="0.25">
      <c r="A90" s="453"/>
      <c r="B90" s="454"/>
      <c r="C90" s="454"/>
      <c r="D90" s="31" t="s">
        <v>470</v>
      </c>
      <c r="E90" s="39">
        <v>7.0000000000000007E-2</v>
      </c>
      <c r="F90" s="31" t="s">
        <v>471</v>
      </c>
      <c r="G90" s="31">
        <v>4.5</v>
      </c>
      <c r="H90" s="31" t="s">
        <v>180</v>
      </c>
      <c r="I90" s="31">
        <v>4.5</v>
      </c>
      <c r="J90" s="427"/>
      <c r="K90" s="31" t="s">
        <v>472</v>
      </c>
      <c r="L90" s="31" t="s">
        <v>442</v>
      </c>
      <c r="M90" s="32">
        <v>1052980949605</v>
      </c>
      <c r="N90" s="31" t="s">
        <v>473</v>
      </c>
      <c r="O90" s="33"/>
      <c r="P90" s="33" t="s">
        <v>80</v>
      </c>
      <c r="Q90" s="92" t="s">
        <v>444</v>
      </c>
      <c r="R90" s="290">
        <v>1189376917533</v>
      </c>
      <c r="S90" s="290">
        <v>443909637139</v>
      </c>
      <c r="T90" s="134">
        <f>78172665940+841651466</f>
        <v>79014317406</v>
      </c>
      <c r="U90" s="134">
        <f>4183479097+4700670048</f>
        <v>8884149145</v>
      </c>
      <c r="V90" s="135">
        <f>1130902354+108714034055</f>
        <v>109844936409</v>
      </c>
      <c r="W90" s="75">
        <f>SUM(T90:V90)</f>
        <v>197743402960</v>
      </c>
      <c r="X90" s="134">
        <f>544495214+44776808788</f>
        <v>45321304002</v>
      </c>
      <c r="Y90" s="134">
        <f>850869856+125283706320</f>
        <v>126134576176</v>
      </c>
      <c r="Z90" s="134">
        <f>796463519+3237414899</f>
        <v>4033878418</v>
      </c>
      <c r="AA90" s="195">
        <f>SUM(X90:Z90)</f>
        <v>175489758596</v>
      </c>
      <c r="AB90" s="136">
        <f>544495214+44776808788</f>
        <v>45321304002</v>
      </c>
      <c r="AC90" s="134">
        <f>850869856+125283706320</f>
        <v>126134576176</v>
      </c>
      <c r="AD90" s="134">
        <f>796463519+3237414899</f>
        <v>4033878418</v>
      </c>
      <c r="AE90" s="75">
        <f>SUM(AB90:AD90)</f>
        <v>175489758596</v>
      </c>
      <c r="AF90" s="75">
        <v>2115449053</v>
      </c>
      <c r="AG90" s="75">
        <v>88295452017</v>
      </c>
      <c r="AH90" s="75">
        <v>1653431603</v>
      </c>
      <c r="AI90" s="75">
        <f>AF90+AG90+AH90</f>
        <v>92064332673</v>
      </c>
      <c r="AJ90" s="299">
        <v>1136632216206</v>
      </c>
      <c r="AK90" s="34"/>
      <c r="AL90" s="305">
        <f>SUM(AH90+AG90+AF90+AA90+W90)/(S90)</f>
        <v>1.048180655026651</v>
      </c>
      <c r="AM90" s="305">
        <f>SUM(AJ90+AH90+AG90+AF90+AE90+AA90+W90)/(R90)</f>
        <v>1.4944122782521416</v>
      </c>
      <c r="AN90" s="73" t="s">
        <v>445</v>
      </c>
      <c r="AO90" s="93" t="s">
        <v>446</v>
      </c>
      <c r="AP90" s="73" t="s">
        <v>447</v>
      </c>
      <c r="AQ90" s="73" t="s">
        <v>448</v>
      </c>
      <c r="AR90" s="415"/>
      <c r="AS90" s="617"/>
      <c r="AT90" s="415"/>
      <c r="AU90" s="193" t="s">
        <v>474</v>
      </c>
      <c r="AV90" s="64" t="s">
        <v>475</v>
      </c>
      <c r="AW90" s="33">
        <v>1</v>
      </c>
      <c r="AX90" s="97">
        <v>0.15</v>
      </c>
      <c r="AY90" s="208">
        <v>0.25</v>
      </c>
      <c r="AZ90" s="208">
        <v>0.25</v>
      </c>
      <c r="BA90" s="208">
        <v>0.25</v>
      </c>
      <c r="BB90" s="208">
        <v>0.25</v>
      </c>
      <c r="BC90" s="208"/>
      <c r="BD90" s="208"/>
      <c r="BE90" s="208"/>
      <c r="BF90" s="368"/>
      <c r="BG90" s="379">
        <f t="shared" si="18"/>
        <v>0.25</v>
      </c>
      <c r="BH90" s="368"/>
      <c r="BI90" s="368"/>
      <c r="BJ90" s="609"/>
      <c r="BK90" s="609"/>
      <c r="BL90" s="612"/>
      <c r="BM90" s="208"/>
      <c r="BN90" s="95">
        <v>44927</v>
      </c>
      <c r="BO90" s="95">
        <v>45291</v>
      </c>
      <c r="BP90" s="33">
        <v>365</v>
      </c>
      <c r="BQ90" s="96">
        <v>1028736</v>
      </c>
      <c r="BR90" s="96">
        <v>1028736</v>
      </c>
      <c r="BS90" s="96" t="s">
        <v>285</v>
      </c>
      <c r="BT90" s="96" t="s">
        <v>286</v>
      </c>
      <c r="BU90" s="33" t="s">
        <v>184</v>
      </c>
      <c r="BV90" s="49">
        <v>70000000</v>
      </c>
      <c r="BW90" s="55">
        <v>0</v>
      </c>
      <c r="BX90" s="229">
        <f t="shared" si="27"/>
        <v>70000000</v>
      </c>
      <c r="BY90" s="55">
        <v>0</v>
      </c>
      <c r="BZ90" s="102">
        <v>0</v>
      </c>
      <c r="CA90" s="226">
        <f t="shared" si="28"/>
        <v>70000000</v>
      </c>
      <c r="CB90" s="86">
        <v>0</v>
      </c>
      <c r="CC90" s="226">
        <f t="shared" si="22"/>
        <v>70000000</v>
      </c>
      <c r="CD90" s="55">
        <v>0</v>
      </c>
      <c r="CE90" s="55">
        <v>0</v>
      </c>
      <c r="CF90" s="55">
        <v>0</v>
      </c>
      <c r="CG90" s="102">
        <f t="shared" si="29"/>
        <v>0</v>
      </c>
      <c r="CH90" s="49">
        <v>0</v>
      </c>
      <c r="CI90" s="49">
        <v>0</v>
      </c>
      <c r="CJ90" s="49">
        <v>0</v>
      </c>
      <c r="CK90" s="86">
        <f t="shared" si="30"/>
        <v>0</v>
      </c>
      <c r="CL90" s="216"/>
      <c r="CM90" s="216"/>
      <c r="CN90" s="216"/>
      <c r="CO90" s="102">
        <f t="shared" ref="CO90" si="34">SUM(CL90:CN90)</f>
        <v>0</v>
      </c>
      <c r="CP90" s="55">
        <v>0</v>
      </c>
      <c r="CQ90" s="55">
        <v>0</v>
      </c>
      <c r="CR90" s="55">
        <v>0</v>
      </c>
      <c r="CS90" s="233">
        <f t="shared" si="32"/>
        <v>0</v>
      </c>
      <c r="CT90" s="412"/>
      <c r="CU90" s="412"/>
      <c r="CV90" s="412"/>
      <c r="CW90" s="43" t="s">
        <v>108</v>
      </c>
      <c r="CX90" s="43" t="s">
        <v>476</v>
      </c>
      <c r="CY90" s="44" t="s">
        <v>477</v>
      </c>
      <c r="CZ90" s="45" t="s">
        <v>456</v>
      </c>
      <c r="DA90" s="46">
        <v>44927</v>
      </c>
      <c r="DB90" s="30" t="s">
        <v>457</v>
      </c>
      <c r="DC90" s="33" t="s">
        <v>469</v>
      </c>
      <c r="DD90" s="33" t="s">
        <v>459</v>
      </c>
      <c r="DE90" s="173"/>
      <c r="DF90" s="173" t="s">
        <v>582</v>
      </c>
      <c r="DG90" s="86">
        <f t="shared" si="33"/>
        <v>0</v>
      </c>
      <c r="DH90" s="237">
        <f t="shared" ref="DH90:DH95" si="35">(T90+U90+V90+X90+Y90+Z90)/S90</f>
        <v>0.84078634553079257</v>
      </c>
      <c r="DI90" s="193"/>
      <c r="DJ90" s="237">
        <f t="shared" ref="DJ90:DJ95" si="36">(V90+W90+X90+Z90+AA90+AB90)/U90</f>
        <v>65.032067219645938</v>
      </c>
      <c r="DK90" s="193"/>
      <c r="DL90" s="122" t="s">
        <v>582</v>
      </c>
    </row>
    <row r="91" spans="1:116" s="38" customFormat="1" ht="100.15" customHeight="1" x14ac:dyDescent="0.25">
      <c r="A91" s="453"/>
      <c r="B91" s="454"/>
      <c r="C91" s="454"/>
      <c r="D91" s="31" t="s">
        <v>478</v>
      </c>
      <c r="E91" s="39">
        <v>0.11</v>
      </c>
      <c r="F91" s="31" t="s">
        <v>479</v>
      </c>
      <c r="G91" s="31">
        <v>5</v>
      </c>
      <c r="H91" s="31" t="s">
        <v>180</v>
      </c>
      <c r="I91" s="31">
        <v>5</v>
      </c>
      <c r="J91" s="427"/>
      <c r="K91" s="31" t="s">
        <v>480</v>
      </c>
      <c r="L91" s="31" t="s">
        <v>442</v>
      </c>
      <c r="M91" s="32">
        <v>33340137211</v>
      </c>
      <c r="N91" s="31" t="s">
        <v>481</v>
      </c>
      <c r="O91" s="33"/>
      <c r="P91" s="33" t="s">
        <v>80</v>
      </c>
      <c r="Q91" s="92" t="s">
        <v>444</v>
      </c>
      <c r="R91" s="290">
        <v>14454734972</v>
      </c>
      <c r="S91" s="290">
        <v>6875590435</v>
      </c>
      <c r="T91" s="134">
        <v>209729000</v>
      </c>
      <c r="U91" s="134">
        <v>1204551000</v>
      </c>
      <c r="V91" s="138">
        <v>438365000</v>
      </c>
      <c r="W91" s="76">
        <f t="shared" ref="W91:W97" si="37">SUM(T91:V91)</f>
        <v>1852645000</v>
      </c>
      <c r="X91" s="134">
        <v>1001191000</v>
      </c>
      <c r="Y91" s="134">
        <v>733475000</v>
      </c>
      <c r="Z91" s="134"/>
      <c r="AA91" s="196">
        <f t="shared" ref="AA91:AA93" si="38">SUM(X91:Z91)</f>
        <v>1734666000</v>
      </c>
      <c r="AB91" s="136">
        <v>1001191000</v>
      </c>
      <c r="AC91" s="134">
        <v>733475000</v>
      </c>
      <c r="AD91" s="141"/>
      <c r="AE91" s="224">
        <f t="shared" ref="AE91:AE93" si="39">SUM(AB91:AD91)</f>
        <v>1734666000</v>
      </c>
      <c r="AF91" s="224">
        <v>1119198000</v>
      </c>
      <c r="AG91" s="280">
        <v>317856000</v>
      </c>
      <c r="AH91" s="279" t="s">
        <v>774</v>
      </c>
      <c r="AI91" s="75">
        <f>AF91+AG91</f>
        <v>1437054000</v>
      </c>
      <c r="AJ91" s="299">
        <v>24301002803</v>
      </c>
      <c r="AK91" s="34"/>
      <c r="AL91" s="305">
        <f>SUM(AG91+AE91+AA91+W91)/(S91)</f>
        <v>0.82026889956833215</v>
      </c>
      <c r="AM91" s="305">
        <f>SUM(AJ91+AG91+AF91+AE91+AA92+W92)/(R92)</f>
        <v>0.28965602156499881</v>
      </c>
      <c r="AN91" s="73" t="s">
        <v>445</v>
      </c>
      <c r="AO91" s="93" t="s">
        <v>446</v>
      </c>
      <c r="AP91" s="73" t="s">
        <v>447</v>
      </c>
      <c r="AQ91" s="73" t="s">
        <v>448</v>
      </c>
      <c r="AR91" s="415"/>
      <c r="AS91" s="617"/>
      <c r="AT91" s="415"/>
      <c r="AU91" s="31" t="s">
        <v>482</v>
      </c>
      <c r="AV91" s="117" t="s">
        <v>483</v>
      </c>
      <c r="AW91" s="33">
        <v>1</v>
      </c>
      <c r="AX91" s="97">
        <v>0.15</v>
      </c>
      <c r="AY91" s="208">
        <v>0.25</v>
      </c>
      <c r="AZ91" s="208">
        <v>0.25</v>
      </c>
      <c r="BA91" s="208">
        <v>0.25</v>
      </c>
      <c r="BB91" s="208">
        <v>0.25</v>
      </c>
      <c r="BC91" s="208"/>
      <c r="BD91" s="208"/>
      <c r="BE91" s="208"/>
      <c r="BF91" s="368"/>
      <c r="BG91" s="379">
        <f t="shared" si="18"/>
        <v>0.25</v>
      </c>
      <c r="BH91" s="368"/>
      <c r="BI91" s="368"/>
      <c r="BJ91" s="609"/>
      <c r="BK91" s="609"/>
      <c r="BL91" s="612"/>
      <c r="BM91" s="208"/>
      <c r="BN91" s="95">
        <v>44927</v>
      </c>
      <c r="BO91" s="95">
        <v>45291</v>
      </c>
      <c r="BP91" s="33">
        <v>365</v>
      </c>
      <c r="BQ91" s="96">
        <v>1028736</v>
      </c>
      <c r="BR91" s="96">
        <v>1028736</v>
      </c>
      <c r="BS91" s="96" t="s">
        <v>285</v>
      </c>
      <c r="BT91" s="96" t="s">
        <v>286</v>
      </c>
      <c r="BU91" s="29" t="s">
        <v>184</v>
      </c>
      <c r="BV91" s="98">
        <v>2009341586</v>
      </c>
      <c r="BW91" s="162">
        <v>1748941118</v>
      </c>
      <c r="BX91" s="228">
        <f t="shared" si="27"/>
        <v>3758282704</v>
      </c>
      <c r="BY91" s="162">
        <v>5556641666.04</v>
      </c>
      <c r="BZ91" s="102">
        <v>0</v>
      </c>
      <c r="CA91" s="232">
        <f t="shared" si="28"/>
        <v>9314924370.0400009</v>
      </c>
      <c r="CB91" s="86">
        <v>0</v>
      </c>
      <c r="CC91" s="226">
        <f t="shared" si="22"/>
        <v>9314924370.0400009</v>
      </c>
      <c r="CD91" s="40">
        <v>0</v>
      </c>
      <c r="CE91" s="40">
        <v>0</v>
      </c>
      <c r="CF91" s="98">
        <v>870210000</v>
      </c>
      <c r="CG91" s="102">
        <f t="shared" si="29"/>
        <v>870210000</v>
      </c>
      <c r="CH91" s="212" t="s">
        <v>610</v>
      </c>
      <c r="CI91" s="213" t="s">
        <v>610</v>
      </c>
      <c r="CJ91" s="214" t="s">
        <v>610</v>
      </c>
      <c r="CK91" s="211">
        <v>2383241666</v>
      </c>
      <c r="CL91" s="219"/>
      <c r="CM91" s="220"/>
      <c r="CN91" s="221"/>
      <c r="CO91" s="179">
        <v>2383241666</v>
      </c>
      <c r="CP91" s="176" t="s">
        <v>610</v>
      </c>
      <c r="CQ91" s="177" t="s">
        <v>610</v>
      </c>
      <c r="CR91" s="214" t="s">
        <v>610</v>
      </c>
      <c r="CS91" s="233">
        <f t="shared" si="32"/>
        <v>0</v>
      </c>
      <c r="CT91" s="412"/>
      <c r="CU91" s="412"/>
      <c r="CV91" s="412"/>
      <c r="CW91" s="40" t="s">
        <v>108</v>
      </c>
      <c r="CX91" s="41" t="s">
        <v>484</v>
      </c>
      <c r="CY91" s="44" t="s">
        <v>455</v>
      </c>
      <c r="CZ91" s="41" t="s">
        <v>456</v>
      </c>
      <c r="DA91" s="48">
        <v>44927</v>
      </c>
      <c r="DB91" s="30" t="s">
        <v>457</v>
      </c>
      <c r="DC91" s="33" t="s">
        <v>469</v>
      </c>
      <c r="DD91" s="33" t="s">
        <v>459</v>
      </c>
      <c r="DE91" s="173" t="s">
        <v>538</v>
      </c>
      <c r="DF91" s="173" t="s">
        <v>607</v>
      </c>
      <c r="DG91" s="86">
        <f t="shared" si="33"/>
        <v>3253451666</v>
      </c>
      <c r="DH91" s="237">
        <f t="shared" si="35"/>
        <v>0.52174588261378896</v>
      </c>
      <c r="DI91" s="193"/>
      <c r="DJ91" s="237">
        <f t="shared" si="36"/>
        <v>5.0044024702980616</v>
      </c>
      <c r="DK91" s="193"/>
      <c r="DL91" s="122" t="s">
        <v>607</v>
      </c>
    </row>
    <row r="92" spans="1:116" s="38" customFormat="1" ht="135" customHeight="1" x14ac:dyDescent="0.25">
      <c r="A92" s="453"/>
      <c r="B92" s="454"/>
      <c r="C92" s="454"/>
      <c r="D92" s="31" t="s">
        <v>485</v>
      </c>
      <c r="E92" s="39">
        <v>7.0000000000000007E-2</v>
      </c>
      <c r="F92" s="31" t="s">
        <v>486</v>
      </c>
      <c r="G92" s="31">
        <v>5</v>
      </c>
      <c r="H92" s="31" t="s">
        <v>180</v>
      </c>
      <c r="I92" s="31">
        <v>5</v>
      </c>
      <c r="J92" s="427"/>
      <c r="K92" s="31" t="s">
        <v>487</v>
      </c>
      <c r="L92" s="31" t="s">
        <v>442</v>
      </c>
      <c r="M92" s="32">
        <v>141298575616</v>
      </c>
      <c r="N92" s="31" t="s">
        <v>488</v>
      </c>
      <c r="O92" s="33"/>
      <c r="P92" s="33" t="s">
        <v>80</v>
      </c>
      <c r="Q92" s="92" t="s">
        <v>444</v>
      </c>
      <c r="R92" s="290">
        <v>176659841306</v>
      </c>
      <c r="S92" s="290">
        <v>47769293020</v>
      </c>
      <c r="T92" s="134">
        <v>4813167000</v>
      </c>
      <c r="U92" s="134">
        <v>4543363000</v>
      </c>
      <c r="V92" s="138">
        <v>4862819000</v>
      </c>
      <c r="W92" s="76">
        <f t="shared" si="37"/>
        <v>14219349000</v>
      </c>
      <c r="X92" s="134">
        <v>4704580000</v>
      </c>
      <c r="Y92" s="134">
        <v>4773935000</v>
      </c>
      <c r="Z92" s="134"/>
      <c r="AA92" s="196">
        <f t="shared" si="38"/>
        <v>9478515000</v>
      </c>
      <c r="AB92" s="136">
        <v>4704580000</v>
      </c>
      <c r="AC92" s="134">
        <v>4773935000</v>
      </c>
      <c r="AD92" s="141"/>
      <c r="AE92" s="224">
        <f t="shared" si="39"/>
        <v>9478515000</v>
      </c>
      <c r="AF92" s="224">
        <v>4759974000</v>
      </c>
      <c r="AG92" s="224">
        <v>4439983000</v>
      </c>
      <c r="AH92" s="279" t="s">
        <v>774</v>
      </c>
      <c r="AI92" s="75">
        <f>AF92+AG92</f>
        <v>9199957000</v>
      </c>
      <c r="AJ92" s="299">
        <v>115679876853</v>
      </c>
      <c r="AK92" s="34"/>
      <c r="AL92" s="305">
        <f>SUM(AG92+AF92+AE92+AA92+W92)/(S92)</f>
        <v>0.88710410644465509</v>
      </c>
      <c r="AM92" s="305">
        <f>SUM(AG92+AF92+AE92+AA92+W92+AJ92)/R92</f>
        <v>0.89469237425173576</v>
      </c>
      <c r="AN92" s="73" t="s">
        <v>445</v>
      </c>
      <c r="AO92" s="93" t="s">
        <v>446</v>
      </c>
      <c r="AP92" s="73" t="s">
        <v>447</v>
      </c>
      <c r="AQ92" s="73" t="s">
        <v>448</v>
      </c>
      <c r="AR92" s="415"/>
      <c r="AS92" s="617"/>
      <c r="AT92" s="415"/>
      <c r="AU92" s="31" t="s">
        <v>489</v>
      </c>
      <c r="AV92" s="117" t="s">
        <v>490</v>
      </c>
      <c r="AW92" s="33">
        <v>1</v>
      </c>
      <c r="AX92" s="97">
        <v>0.1</v>
      </c>
      <c r="AY92" s="208">
        <v>0.25</v>
      </c>
      <c r="AZ92" s="208">
        <v>0.25</v>
      </c>
      <c r="BA92" s="208">
        <v>0.25</v>
      </c>
      <c r="BB92" s="208">
        <v>0.25</v>
      </c>
      <c r="BC92" s="208"/>
      <c r="BD92" s="208"/>
      <c r="BE92" s="208"/>
      <c r="BF92" s="368"/>
      <c r="BG92" s="379">
        <f t="shared" si="18"/>
        <v>0.25</v>
      </c>
      <c r="BH92" s="368"/>
      <c r="BI92" s="368"/>
      <c r="BJ92" s="609"/>
      <c r="BK92" s="609"/>
      <c r="BL92" s="612"/>
      <c r="BM92" s="208"/>
      <c r="BN92" s="95">
        <v>44927</v>
      </c>
      <c r="BO92" s="95">
        <v>45291</v>
      </c>
      <c r="BP92" s="33">
        <v>365</v>
      </c>
      <c r="BQ92" s="96">
        <v>1028736</v>
      </c>
      <c r="BR92" s="96">
        <v>1028736</v>
      </c>
      <c r="BS92" s="96" t="s">
        <v>285</v>
      </c>
      <c r="BT92" s="96" t="s">
        <v>286</v>
      </c>
      <c r="BU92" s="29" t="s">
        <v>184</v>
      </c>
      <c r="BV92" s="49">
        <v>95000000</v>
      </c>
      <c r="BW92" s="163">
        <v>-95000000</v>
      </c>
      <c r="BX92" s="229">
        <f t="shared" si="27"/>
        <v>0</v>
      </c>
      <c r="BY92" s="55">
        <v>0</v>
      </c>
      <c r="BZ92" s="102">
        <v>0</v>
      </c>
      <c r="CA92" s="226">
        <f t="shared" si="28"/>
        <v>0</v>
      </c>
      <c r="CB92" s="86">
        <v>0</v>
      </c>
      <c r="CC92" s="226">
        <f t="shared" si="22"/>
        <v>0</v>
      </c>
      <c r="CD92" s="55">
        <v>0</v>
      </c>
      <c r="CE92" s="55">
        <v>0</v>
      </c>
      <c r="CF92" s="55">
        <v>0</v>
      </c>
      <c r="CG92" s="102">
        <f t="shared" si="29"/>
        <v>0</v>
      </c>
      <c r="CH92" s="49">
        <v>0</v>
      </c>
      <c r="CI92" s="49">
        <v>0</v>
      </c>
      <c r="CJ92" s="49">
        <v>0</v>
      </c>
      <c r="CK92" s="86">
        <f t="shared" si="30"/>
        <v>0</v>
      </c>
      <c r="CL92" s="216"/>
      <c r="CM92" s="216"/>
      <c r="CN92" s="216"/>
      <c r="CO92" s="102">
        <f t="shared" ref="CO92:CO97" si="40">SUM(CL92:CN92)</f>
        <v>0</v>
      </c>
      <c r="CP92" s="55">
        <v>0</v>
      </c>
      <c r="CQ92" s="55">
        <v>0</v>
      </c>
      <c r="CR92" s="55">
        <v>0</v>
      </c>
      <c r="CS92" s="233">
        <f t="shared" si="32"/>
        <v>0</v>
      </c>
      <c r="CT92" s="412"/>
      <c r="CU92" s="412"/>
      <c r="CV92" s="412"/>
      <c r="CW92" s="35" t="s">
        <v>108</v>
      </c>
      <c r="CX92" s="35" t="s">
        <v>491</v>
      </c>
      <c r="CY92" s="50"/>
      <c r="CZ92" s="35" t="s">
        <v>456</v>
      </c>
      <c r="DA92" s="42">
        <v>44927</v>
      </c>
      <c r="DB92" s="33" t="s">
        <v>492</v>
      </c>
      <c r="DC92" s="33" t="s">
        <v>469</v>
      </c>
      <c r="DD92" s="33" t="s">
        <v>459</v>
      </c>
      <c r="DE92" s="173" t="s">
        <v>538</v>
      </c>
      <c r="DF92" s="173" t="s">
        <v>608</v>
      </c>
      <c r="DG92" s="86">
        <f t="shared" si="33"/>
        <v>0</v>
      </c>
      <c r="DH92" s="237">
        <f t="shared" si="35"/>
        <v>0.49608990424200339</v>
      </c>
      <c r="DI92" s="193"/>
      <c r="DJ92" s="237">
        <f t="shared" si="36"/>
        <v>8.3572109470451732</v>
      </c>
      <c r="DK92" s="193"/>
      <c r="DL92" s="122" t="s">
        <v>608</v>
      </c>
    </row>
    <row r="93" spans="1:116" s="38" customFormat="1" ht="145.15" customHeight="1" x14ac:dyDescent="0.25">
      <c r="A93" s="453"/>
      <c r="B93" s="454"/>
      <c r="C93" s="454"/>
      <c r="D93" s="414" t="s">
        <v>493</v>
      </c>
      <c r="E93" s="417">
        <v>0</v>
      </c>
      <c r="F93" s="414" t="s">
        <v>494</v>
      </c>
      <c r="G93" s="414">
        <v>100</v>
      </c>
      <c r="H93" s="414" t="s">
        <v>180</v>
      </c>
      <c r="I93" s="414">
        <v>100</v>
      </c>
      <c r="J93" s="427"/>
      <c r="K93" s="31" t="s">
        <v>495</v>
      </c>
      <c r="L93" s="31" t="s">
        <v>76</v>
      </c>
      <c r="M93" s="31">
        <v>0</v>
      </c>
      <c r="N93" s="31" t="s">
        <v>496</v>
      </c>
      <c r="O93" s="33"/>
      <c r="P93" s="33" t="s">
        <v>80</v>
      </c>
      <c r="Q93" s="92" t="s">
        <v>497</v>
      </c>
      <c r="R93" s="291">
        <v>1</v>
      </c>
      <c r="S93" s="291">
        <v>0.5</v>
      </c>
      <c r="T93" s="51">
        <v>0</v>
      </c>
      <c r="U93" s="51">
        <v>0</v>
      </c>
      <c r="V93" s="51">
        <v>0</v>
      </c>
      <c r="W93" s="71">
        <f t="shared" si="37"/>
        <v>0</v>
      </c>
      <c r="X93" s="51">
        <v>0</v>
      </c>
      <c r="Y93" s="51">
        <v>0</v>
      </c>
      <c r="Z93" s="51">
        <v>0</v>
      </c>
      <c r="AA93" s="64">
        <f t="shared" si="38"/>
        <v>0</v>
      </c>
      <c r="AB93" s="222">
        <v>0</v>
      </c>
      <c r="AC93" s="222">
        <v>0</v>
      </c>
      <c r="AD93" s="222">
        <v>0</v>
      </c>
      <c r="AE93" s="223">
        <f t="shared" si="39"/>
        <v>0</v>
      </c>
      <c r="AF93" s="222">
        <v>0</v>
      </c>
      <c r="AG93" s="222">
        <v>0</v>
      </c>
      <c r="AH93" s="222">
        <v>0</v>
      </c>
      <c r="AI93" s="223">
        <v>0</v>
      </c>
      <c r="AJ93" s="291">
        <v>0.5</v>
      </c>
      <c r="AK93" s="51">
        <v>0</v>
      </c>
      <c r="AL93" s="237">
        <f>AI93/S93</f>
        <v>0</v>
      </c>
      <c r="AM93" s="237">
        <f>AJ93/R93</f>
        <v>0.5</v>
      </c>
      <c r="AN93" s="73" t="s">
        <v>445</v>
      </c>
      <c r="AO93" s="93" t="s">
        <v>446</v>
      </c>
      <c r="AP93" s="73" t="s">
        <v>447</v>
      </c>
      <c r="AQ93" s="73" t="s">
        <v>448</v>
      </c>
      <c r="AR93" s="415"/>
      <c r="AS93" s="617"/>
      <c r="AT93" s="415"/>
      <c r="AU93" s="31" t="s">
        <v>498</v>
      </c>
      <c r="AV93" s="64" t="s">
        <v>499</v>
      </c>
      <c r="AW93" s="33">
        <v>1</v>
      </c>
      <c r="AX93" s="97">
        <v>0.15</v>
      </c>
      <c r="AY93" s="208">
        <v>0</v>
      </c>
      <c r="AZ93" s="208">
        <v>0</v>
      </c>
      <c r="BA93" s="208">
        <v>0</v>
      </c>
      <c r="BB93" s="208">
        <v>0</v>
      </c>
      <c r="BC93" s="208"/>
      <c r="BD93" s="208"/>
      <c r="BE93" s="208"/>
      <c r="BF93" s="368"/>
      <c r="BG93" s="379">
        <f t="shared" si="18"/>
        <v>0</v>
      </c>
      <c r="BH93" s="368"/>
      <c r="BI93" s="368"/>
      <c r="BJ93" s="609"/>
      <c r="BK93" s="609"/>
      <c r="BL93" s="612"/>
      <c r="BM93" s="208"/>
      <c r="BN93" s="95">
        <v>44927</v>
      </c>
      <c r="BO93" s="95">
        <v>45291</v>
      </c>
      <c r="BP93" s="33">
        <v>365</v>
      </c>
      <c r="BQ93" s="96">
        <v>1028736</v>
      </c>
      <c r="BR93" s="96">
        <v>1028736</v>
      </c>
      <c r="BS93" s="96" t="s">
        <v>285</v>
      </c>
      <c r="BT93" s="96" t="s">
        <v>286</v>
      </c>
      <c r="BU93" s="29" t="s">
        <v>184</v>
      </c>
      <c r="BV93" s="49">
        <v>0</v>
      </c>
      <c r="BW93" s="55">
        <v>0</v>
      </c>
      <c r="BX93" s="229">
        <f t="shared" si="27"/>
        <v>0</v>
      </c>
      <c r="BY93" s="55">
        <v>0</v>
      </c>
      <c r="BZ93" s="102">
        <v>0</v>
      </c>
      <c r="CA93" s="226">
        <f t="shared" si="28"/>
        <v>0</v>
      </c>
      <c r="CB93" s="86">
        <v>0</v>
      </c>
      <c r="CC93" s="226">
        <f t="shared" si="22"/>
        <v>0</v>
      </c>
      <c r="CD93" s="55">
        <v>0</v>
      </c>
      <c r="CE93" s="55">
        <v>0</v>
      </c>
      <c r="CF93" s="55">
        <v>0</v>
      </c>
      <c r="CG93" s="102">
        <f t="shared" si="29"/>
        <v>0</v>
      </c>
      <c r="CH93" s="49">
        <v>0</v>
      </c>
      <c r="CI93" s="49">
        <v>0</v>
      </c>
      <c r="CJ93" s="49">
        <v>0</v>
      </c>
      <c r="CK93" s="86">
        <f t="shared" si="30"/>
        <v>0</v>
      </c>
      <c r="CL93" s="216"/>
      <c r="CM93" s="216"/>
      <c r="CN93" s="216"/>
      <c r="CO93" s="102">
        <f t="shared" si="40"/>
        <v>0</v>
      </c>
      <c r="CP93" s="55">
        <v>0</v>
      </c>
      <c r="CQ93" s="55">
        <v>0</v>
      </c>
      <c r="CR93" s="55">
        <v>0</v>
      </c>
      <c r="CS93" s="233">
        <f t="shared" si="32"/>
        <v>0</v>
      </c>
      <c r="CT93" s="412"/>
      <c r="CU93" s="412"/>
      <c r="CV93" s="412"/>
      <c r="CW93" s="35" t="s">
        <v>108</v>
      </c>
      <c r="CX93" s="52" t="s">
        <v>500</v>
      </c>
      <c r="CY93" s="35" t="s">
        <v>501</v>
      </c>
      <c r="CZ93" s="35" t="s">
        <v>456</v>
      </c>
      <c r="DA93" s="53">
        <v>2022</v>
      </c>
      <c r="DB93" s="33" t="s">
        <v>502</v>
      </c>
      <c r="DC93" s="33" t="s">
        <v>469</v>
      </c>
      <c r="DD93" s="33" t="s">
        <v>459</v>
      </c>
      <c r="DE93" s="173" t="s">
        <v>553</v>
      </c>
      <c r="DF93" s="173" t="s">
        <v>582</v>
      </c>
      <c r="DG93" s="86">
        <f t="shared" si="33"/>
        <v>0</v>
      </c>
      <c r="DH93" s="237">
        <f t="shared" si="35"/>
        <v>0</v>
      </c>
      <c r="DI93" s="193"/>
      <c r="DJ93" s="237" t="e">
        <f t="shared" si="36"/>
        <v>#DIV/0!</v>
      </c>
      <c r="DK93" s="193"/>
      <c r="DL93" s="122" t="s">
        <v>582</v>
      </c>
    </row>
    <row r="94" spans="1:116" s="38" customFormat="1" ht="151.15" customHeight="1" x14ac:dyDescent="0.25">
      <c r="A94" s="453"/>
      <c r="B94" s="454"/>
      <c r="C94" s="454"/>
      <c r="D94" s="415"/>
      <c r="E94" s="418"/>
      <c r="F94" s="415"/>
      <c r="G94" s="415"/>
      <c r="H94" s="415"/>
      <c r="I94" s="415"/>
      <c r="J94" s="427"/>
      <c r="K94" s="414" t="s">
        <v>503</v>
      </c>
      <c r="L94" s="414" t="s">
        <v>76</v>
      </c>
      <c r="M94" s="414">
        <v>0</v>
      </c>
      <c r="N94" s="414" t="s">
        <v>504</v>
      </c>
      <c r="O94" s="411"/>
      <c r="P94" s="411" t="s">
        <v>80</v>
      </c>
      <c r="Q94" s="420" t="s">
        <v>505</v>
      </c>
      <c r="R94" s="561">
        <v>3</v>
      </c>
      <c r="S94" s="561">
        <v>1</v>
      </c>
      <c r="T94" s="429">
        <v>3</v>
      </c>
      <c r="U94" s="429">
        <v>3</v>
      </c>
      <c r="V94" s="429">
        <v>3</v>
      </c>
      <c r="W94" s="446">
        <v>3</v>
      </c>
      <c r="X94" s="429">
        <v>3</v>
      </c>
      <c r="Y94" s="429">
        <v>3</v>
      </c>
      <c r="Z94" s="429">
        <v>3</v>
      </c>
      <c r="AA94" s="478">
        <v>3</v>
      </c>
      <c r="AB94" s="429">
        <v>3</v>
      </c>
      <c r="AC94" s="429">
        <v>3</v>
      </c>
      <c r="AD94" s="429">
        <v>3</v>
      </c>
      <c r="AE94" s="446">
        <v>3</v>
      </c>
      <c r="AF94" s="429">
        <v>3</v>
      </c>
      <c r="AG94" s="429">
        <v>3</v>
      </c>
      <c r="AH94" s="429">
        <v>3</v>
      </c>
      <c r="AI94" s="605">
        <v>3</v>
      </c>
      <c r="AJ94" s="561">
        <v>5</v>
      </c>
      <c r="AK94" s="429">
        <v>3</v>
      </c>
      <c r="AL94" s="743">
        <v>1</v>
      </c>
      <c r="AM94" s="743">
        <f>100%</f>
        <v>1</v>
      </c>
      <c r="AN94" s="422" t="s">
        <v>445</v>
      </c>
      <c r="AO94" s="424" t="s">
        <v>446</v>
      </c>
      <c r="AP94" s="422" t="s">
        <v>447</v>
      </c>
      <c r="AQ94" s="422" t="s">
        <v>448</v>
      </c>
      <c r="AR94" s="415"/>
      <c r="AS94" s="617"/>
      <c r="AT94" s="415"/>
      <c r="AU94" s="31" t="s">
        <v>506</v>
      </c>
      <c r="AV94" s="92" t="s">
        <v>475</v>
      </c>
      <c r="AW94" s="33">
        <v>1</v>
      </c>
      <c r="AX94" s="97">
        <v>0.05</v>
      </c>
      <c r="AY94" s="208">
        <v>0.25</v>
      </c>
      <c r="AZ94" s="208">
        <v>0.25</v>
      </c>
      <c r="BA94" s="208">
        <v>0.25</v>
      </c>
      <c r="BB94" s="208">
        <v>0.25</v>
      </c>
      <c r="BC94" s="208"/>
      <c r="BD94" s="208"/>
      <c r="BE94" s="208"/>
      <c r="BF94" s="368"/>
      <c r="BG94" s="379">
        <f t="shared" si="18"/>
        <v>0.25</v>
      </c>
      <c r="BH94" s="368"/>
      <c r="BI94" s="368"/>
      <c r="BJ94" s="609"/>
      <c r="BK94" s="609"/>
      <c r="BL94" s="612"/>
      <c r="BM94" s="208"/>
      <c r="BN94" s="95">
        <v>44927</v>
      </c>
      <c r="BO94" s="95">
        <v>45291</v>
      </c>
      <c r="BP94" s="33">
        <v>365</v>
      </c>
      <c r="BQ94" s="96">
        <v>1028736</v>
      </c>
      <c r="BR94" s="96">
        <v>1028736</v>
      </c>
      <c r="BS94" s="96" t="s">
        <v>285</v>
      </c>
      <c r="BT94" s="96" t="s">
        <v>286</v>
      </c>
      <c r="BU94" s="29" t="s">
        <v>184</v>
      </c>
      <c r="BV94" s="49">
        <v>741635168</v>
      </c>
      <c r="BW94" s="164">
        <v>131364832</v>
      </c>
      <c r="BX94" s="229">
        <f t="shared" si="27"/>
        <v>873000000</v>
      </c>
      <c r="BY94" s="55">
        <v>0</v>
      </c>
      <c r="BZ94" s="152">
        <v>39000000</v>
      </c>
      <c r="CA94" s="232">
        <f t="shared" si="28"/>
        <v>912000000</v>
      </c>
      <c r="CB94" s="86">
        <v>0</v>
      </c>
      <c r="CC94" s="226">
        <f t="shared" si="22"/>
        <v>912000000</v>
      </c>
      <c r="CD94" s="55">
        <v>0</v>
      </c>
      <c r="CE94" s="55">
        <v>0</v>
      </c>
      <c r="CF94" s="55">
        <v>0</v>
      </c>
      <c r="CG94" s="102">
        <f t="shared" si="29"/>
        <v>0</v>
      </c>
      <c r="CH94" s="49">
        <v>0</v>
      </c>
      <c r="CI94" s="49">
        <v>0</v>
      </c>
      <c r="CJ94" s="49">
        <v>0</v>
      </c>
      <c r="CK94" s="86">
        <f t="shared" si="30"/>
        <v>0</v>
      </c>
      <c r="CL94" s="216"/>
      <c r="CM94" s="216"/>
      <c r="CN94" s="216"/>
      <c r="CO94" s="102">
        <f t="shared" si="40"/>
        <v>0</v>
      </c>
      <c r="CP94" s="55">
        <v>0</v>
      </c>
      <c r="CQ94" s="55">
        <v>0</v>
      </c>
      <c r="CR94" s="55">
        <v>0</v>
      </c>
      <c r="CS94" s="233">
        <f t="shared" si="32"/>
        <v>0</v>
      </c>
      <c r="CT94" s="412"/>
      <c r="CU94" s="412"/>
      <c r="CV94" s="412"/>
      <c r="CW94" s="35" t="s">
        <v>108</v>
      </c>
      <c r="CX94" s="35" t="s">
        <v>507</v>
      </c>
      <c r="CY94" s="35" t="s">
        <v>455</v>
      </c>
      <c r="CZ94" s="35" t="s">
        <v>456</v>
      </c>
      <c r="DA94" s="42">
        <v>44927</v>
      </c>
      <c r="DB94" s="33" t="s">
        <v>468</v>
      </c>
      <c r="DC94" s="33" t="s">
        <v>469</v>
      </c>
      <c r="DD94" s="33" t="s">
        <v>459</v>
      </c>
      <c r="DE94" s="173"/>
      <c r="DF94" s="173" t="s">
        <v>582</v>
      </c>
      <c r="DG94" s="86">
        <f t="shared" si="33"/>
        <v>0</v>
      </c>
      <c r="DH94" s="237">
        <f t="shared" si="35"/>
        <v>18</v>
      </c>
      <c r="DI94" s="193"/>
      <c r="DJ94" s="237">
        <f t="shared" si="36"/>
        <v>6</v>
      </c>
      <c r="DK94" s="193"/>
      <c r="DL94" s="122" t="s">
        <v>582</v>
      </c>
    </row>
    <row r="95" spans="1:116" s="38" customFormat="1" ht="141" customHeight="1" x14ac:dyDescent="0.25">
      <c r="A95" s="453"/>
      <c r="B95" s="454"/>
      <c r="C95" s="454"/>
      <c r="D95" s="416"/>
      <c r="E95" s="419"/>
      <c r="F95" s="416"/>
      <c r="G95" s="416"/>
      <c r="H95" s="416"/>
      <c r="I95" s="416"/>
      <c r="J95" s="428"/>
      <c r="K95" s="416"/>
      <c r="L95" s="416"/>
      <c r="M95" s="416"/>
      <c r="N95" s="416"/>
      <c r="O95" s="413"/>
      <c r="P95" s="413"/>
      <c r="Q95" s="421"/>
      <c r="R95" s="562"/>
      <c r="S95" s="562"/>
      <c r="T95" s="430"/>
      <c r="U95" s="430"/>
      <c r="V95" s="430"/>
      <c r="W95" s="447"/>
      <c r="X95" s="430"/>
      <c r="Y95" s="430"/>
      <c r="Z95" s="430"/>
      <c r="AA95" s="480"/>
      <c r="AB95" s="430"/>
      <c r="AC95" s="430"/>
      <c r="AD95" s="430"/>
      <c r="AE95" s="447"/>
      <c r="AF95" s="430"/>
      <c r="AG95" s="430"/>
      <c r="AH95" s="430"/>
      <c r="AI95" s="606"/>
      <c r="AJ95" s="562"/>
      <c r="AK95" s="430"/>
      <c r="AL95" s="744"/>
      <c r="AM95" s="744"/>
      <c r="AN95" s="423"/>
      <c r="AO95" s="425"/>
      <c r="AP95" s="423"/>
      <c r="AQ95" s="423"/>
      <c r="AR95" s="416"/>
      <c r="AS95" s="618"/>
      <c r="AT95" s="416"/>
      <c r="AU95" s="31" t="s">
        <v>564</v>
      </c>
      <c r="AV95" s="92" t="s">
        <v>475</v>
      </c>
      <c r="AW95" s="33">
        <v>1</v>
      </c>
      <c r="AX95" s="97">
        <v>0.1</v>
      </c>
      <c r="AY95" s="208">
        <v>0.25</v>
      </c>
      <c r="AZ95" s="208">
        <v>0.25</v>
      </c>
      <c r="BA95" s="208">
        <v>0.25</v>
      </c>
      <c r="BB95" s="208">
        <v>0.25</v>
      </c>
      <c r="BC95" s="208"/>
      <c r="BD95" s="208"/>
      <c r="BE95" s="208"/>
      <c r="BF95" s="369"/>
      <c r="BG95" s="379">
        <f t="shared" si="18"/>
        <v>0.25</v>
      </c>
      <c r="BH95" s="369"/>
      <c r="BI95" s="369"/>
      <c r="BJ95" s="610"/>
      <c r="BK95" s="610"/>
      <c r="BL95" s="613"/>
      <c r="BM95" s="208"/>
      <c r="BN95" s="95">
        <v>45078</v>
      </c>
      <c r="BO95" s="95">
        <v>45291</v>
      </c>
      <c r="BP95" s="33">
        <f>BO95-BN95</f>
        <v>213</v>
      </c>
      <c r="BQ95" s="96">
        <v>1028736</v>
      </c>
      <c r="BR95" s="96">
        <v>1028736</v>
      </c>
      <c r="BS95" s="96" t="s">
        <v>285</v>
      </c>
      <c r="BT95" s="96" t="s">
        <v>286</v>
      </c>
      <c r="BU95" s="29" t="s">
        <v>184</v>
      </c>
      <c r="BV95" s="49">
        <v>0</v>
      </c>
      <c r="BW95" s="49">
        <v>0</v>
      </c>
      <c r="BX95" s="229">
        <v>0</v>
      </c>
      <c r="BY95" s="162">
        <v>1933589199</v>
      </c>
      <c r="BZ95" s="102">
        <v>0</v>
      </c>
      <c r="CA95" s="232">
        <f t="shared" si="28"/>
        <v>1933589199</v>
      </c>
      <c r="CB95" s="86">
        <v>0</v>
      </c>
      <c r="CC95" s="226">
        <f t="shared" si="22"/>
        <v>1933589199</v>
      </c>
      <c r="CD95" s="55">
        <v>0</v>
      </c>
      <c r="CE95" s="55">
        <v>0</v>
      </c>
      <c r="CF95" s="55">
        <v>0</v>
      </c>
      <c r="CG95" s="102">
        <f t="shared" ref="CG95" si="41">SUM(CD95:CF95)</f>
        <v>0</v>
      </c>
      <c r="CH95" s="49">
        <v>0</v>
      </c>
      <c r="CI95" s="49">
        <v>0</v>
      </c>
      <c r="CJ95" s="49">
        <v>0</v>
      </c>
      <c r="CK95" s="86">
        <f t="shared" si="30"/>
        <v>0</v>
      </c>
      <c r="CL95" s="216"/>
      <c r="CM95" s="216"/>
      <c r="CN95" s="216"/>
      <c r="CO95" s="102">
        <f t="shared" si="40"/>
        <v>0</v>
      </c>
      <c r="CP95" s="55">
        <v>0</v>
      </c>
      <c r="CQ95" s="55">
        <v>0</v>
      </c>
      <c r="CR95" s="55">
        <v>0</v>
      </c>
      <c r="CS95" s="233">
        <f t="shared" si="32"/>
        <v>0</v>
      </c>
      <c r="CT95" s="413"/>
      <c r="CU95" s="413"/>
      <c r="CV95" s="413"/>
      <c r="CW95" s="147"/>
      <c r="CX95" s="147"/>
      <c r="CY95" s="147"/>
      <c r="CZ95" s="35" t="s">
        <v>456</v>
      </c>
      <c r="DA95" s="42"/>
      <c r="DB95" s="33"/>
      <c r="DC95" s="33"/>
      <c r="DD95" s="33"/>
      <c r="DE95" s="173" t="s">
        <v>565</v>
      </c>
      <c r="DF95" s="173" t="s">
        <v>582</v>
      </c>
      <c r="DG95" s="86">
        <f t="shared" si="33"/>
        <v>0</v>
      </c>
      <c r="DH95" s="237" t="e">
        <f t="shared" si="35"/>
        <v>#DIV/0!</v>
      </c>
      <c r="DI95" s="193"/>
      <c r="DJ95" s="237" t="e">
        <f t="shared" si="36"/>
        <v>#DIV/0!</v>
      </c>
      <c r="DK95" s="193"/>
      <c r="DL95" s="122" t="s">
        <v>582</v>
      </c>
    </row>
    <row r="96" spans="1:116" s="38" customFormat="1" ht="76.5" customHeight="1" x14ac:dyDescent="0.25">
      <c r="A96" s="453"/>
      <c r="B96" s="454"/>
      <c r="C96" s="454"/>
      <c r="D96" s="332"/>
      <c r="E96" s="333"/>
      <c r="F96" s="332"/>
      <c r="G96" s="332"/>
      <c r="H96" s="332"/>
      <c r="I96" s="332"/>
      <c r="J96" s="576" t="s">
        <v>787</v>
      </c>
      <c r="K96" s="577"/>
      <c r="L96" s="577"/>
      <c r="M96" s="577"/>
      <c r="N96" s="577"/>
      <c r="O96" s="577"/>
      <c r="P96" s="577"/>
      <c r="Q96" s="577"/>
      <c r="R96" s="577"/>
      <c r="S96" s="577"/>
      <c r="T96" s="577"/>
      <c r="U96" s="577"/>
      <c r="V96" s="577"/>
      <c r="W96" s="577"/>
      <c r="X96" s="577"/>
      <c r="Y96" s="578"/>
      <c r="Z96" s="278"/>
      <c r="AA96" s="579"/>
      <c r="AB96" s="580"/>
      <c r="AC96" s="580"/>
      <c r="AD96" s="580"/>
      <c r="AE96" s="580"/>
      <c r="AF96" s="580"/>
      <c r="AG96" s="580"/>
      <c r="AH96" s="580"/>
      <c r="AI96" s="580"/>
      <c r="AJ96" s="580"/>
      <c r="AK96" s="581"/>
      <c r="AL96" s="756">
        <f>SUM(1+0.89+0.82+1+0.93)/6</f>
        <v>0.77333333333333332</v>
      </c>
      <c r="AM96" s="756">
        <f>SUM(1+0.5+0.89+0.29+1+1)/(6)</f>
        <v>0.77999999999999992</v>
      </c>
      <c r="AN96" s="335"/>
      <c r="AO96" s="336"/>
      <c r="AP96" s="335"/>
      <c r="AQ96" s="335"/>
      <c r="AR96" s="332"/>
      <c r="AS96" s="348"/>
      <c r="AT96" s="332"/>
      <c r="AU96" s="31"/>
      <c r="AV96" s="92"/>
      <c r="AW96" s="33"/>
      <c r="AX96" s="582" t="s">
        <v>788</v>
      </c>
      <c r="AY96" s="583"/>
      <c r="AZ96" s="583"/>
      <c r="BA96" s="583"/>
      <c r="BB96" s="583"/>
      <c r="BC96" s="583"/>
      <c r="BD96" s="583"/>
      <c r="BE96" s="583"/>
      <c r="BF96" s="584"/>
      <c r="BG96" s="380">
        <f>SUM(BG87:BG95)/9</f>
        <v>0.30555555555555558</v>
      </c>
      <c r="BH96" s="585" t="s">
        <v>789</v>
      </c>
      <c r="BI96" s="586"/>
      <c r="BJ96" s="403">
        <f>BJ87</f>
        <v>21318513569.039997</v>
      </c>
      <c r="BK96" s="404">
        <f>BK87</f>
        <v>17711547542.489998</v>
      </c>
      <c r="BL96" s="402">
        <f>BK96/BJ96</f>
        <v>0.83080593237099565</v>
      </c>
      <c r="BM96" s="208"/>
      <c r="BN96" s="95"/>
      <c r="BO96" s="95"/>
      <c r="BP96" s="33"/>
      <c r="BQ96" s="96"/>
      <c r="BR96" s="96"/>
      <c r="BS96" s="96"/>
      <c r="BT96" s="96"/>
      <c r="BU96" s="29"/>
      <c r="BV96" s="49"/>
      <c r="BW96" s="49"/>
      <c r="BX96" s="229"/>
      <c r="BY96" s="162"/>
      <c r="BZ96" s="102"/>
      <c r="CA96" s="232"/>
      <c r="CB96" s="86"/>
      <c r="CC96" s="226"/>
      <c r="CD96" s="55"/>
      <c r="CE96" s="55"/>
      <c r="CF96" s="55"/>
      <c r="CG96" s="102"/>
      <c r="CH96" s="49"/>
      <c r="CI96" s="49"/>
      <c r="CJ96" s="49"/>
      <c r="CK96" s="86"/>
      <c r="CL96" s="216"/>
      <c r="CM96" s="216"/>
      <c r="CN96" s="216"/>
      <c r="CO96" s="102"/>
      <c r="CP96" s="55"/>
      <c r="CQ96" s="55"/>
      <c r="CR96" s="55"/>
      <c r="CS96" s="233"/>
      <c r="CT96" s="378"/>
      <c r="CU96" s="334"/>
      <c r="CV96" s="334"/>
      <c r="CW96" s="147"/>
      <c r="CX96" s="147"/>
      <c r="CY96" s="147"/>
      <c r="CZ96" s="35"/>
      <c r="DA96" s="42"/>
      <c r="DB96" s="33"/>
      <c r="DC96" s="33"/>
      <c r="DD96" s="33"/>
      <c r="DE96" s="173"/>
      <c r="DF96" s="173"/>
      <c r="DG96" s="86"/>
      <c r="DH96" s="237"/>
      <c r="DI96" s="193"/>
      <c r="DJ96" s="237"/>
      <c r="DK96" s="193"/>
      <c r="DL96" s="122"/>
    </row>
    <row r="97" spans="1:116" s="38" customFormat="1" ht="330" x14ac:dyDescent="0.25">
      <c r="A97" s="453"/>
      <c r="B97" s="454"/>
      <c r="C97" s="454"/>
      <c r="D97" s="31" t="s">
        <v>493</v>
      </c>
      <c r="E97" s="39">
        <v>0</v>
      </c>
      <c r="F97" s="31" t="s">
        <v>494</v>
      </c>
      <c r="G97" s="31">
        <v>100</v>
      </c>
      <c r="H97" s="31" t="s">
        <v>180</v>
      </c>
      <c r="I97" s="31"/>
      <c r="J97" s="99" t="s">
        <v>508</v>
      </c>
      <c r="K97" s="193" t="s">
        <v>509</v>
      </c>
      <c r="L97" s="193" t="s">
        <v>442</v>
      </c>
      <c r="M97" s="272">
        <v>54000000000</v>
      </c>
      <c r="N97" s="193" t="s">
        <v>510</v>
      </c>
      <c r="O97" s="92"/>
      <c r="P97" s="92" t="s">
        <v>80</v>
      </c>
      <c r="Q97" s="92" t="s">
        <v>511</v>
      </c>
      <c r="R97" s="292">
        <v>396000000000</v>
      </c>
      <c r="S97" s="292">
        <v>5000000000</v>
      </c>
      <c r="T97" s="54">
        <v>0</v>
      </c>
      <c r="U97" s="54">
        <v>0</v>
      </c>
      <c r="V97" s="54">
        <v>0</v>
      </c>
      <c r="W97" s="64">
        <f t="shared" si="37"/>
        <v>0</v>
      </c>
      <c r="X97" s="54">
        <v>0</v>
      </c>
      <c r="Y97" s="54">
        <v>0</v>
      </c>
      <c r="Z97" s="54">
        <v>0</v>
      </c>
      <c r="AA97" s="196">
        <f t="shared" ref="AA97" si="42">SUM(X97:Z97)</f>
        <v>0</v>
      </c>
      <c r="AB97" s="54">
        <v>0</v>
      </c>
      <c r="AC97" s="54">
        <v>0</v>
      </c>
      <c r="AD97" s="54">
        <v>4998909304.9700003</v>
      </c>
      <c r="AE97" s="196">
        <f t="shared" ref="AE97" si="43">SUM(AB97:AD97)</f>
        <v>4998909304.9700003</v>
      </c>
      <c r="AF97" s="54">
        <v>0</v>
      </c>
      <c r="AG97" s="54">
        <v>0</v>
      </c>
      <c r="AH97" s="54">
        <v>0</v>
      </c>
      <c r="AI97" s="273">
        <f>AF97+AH97+AG97</f>
        <v>0</v>
      </c>
      <c r="AJ97" s="292">
        <v>121626151883.25999</v>
      </c>
      <c r="AK97" s="54"/>
      <c r="AL97" s="751">
        <f>AE97/S97</f>
        <v>0.99978186099400002</v>
      </c>
      <c r="AM97" s="237">
        <f>SUM(AJ97+AE97)/(R97)</f>
        <v>0.31976025552583331</v>
      </c>
      <c r="AN97" s="73" t="s">
        <v>445</v>
      </c>
      <c r="AO97" s="93" t="s">
        <v>446</v>
      </c>
      <c r="AP97" s="73" t="s">
        <v>447</v>
      </c>
      <c r="AQ97" s="73" t="s">
        <v>448</v>
      </c>
      <c r="AR97" s="31" t="s">
        <v>512</v>
      </c>
      <c r="AS97" s="306" t="s">
        <v>513</v>
      </c>
      <c r="AT97" s="31" t="s">
        <v>514</v>
      </c>
      <c r="AU97" s="33" t="s">
        <v>515</v>
      </c>
      <c r="AV97" s="33" t="s">
        <v>511</v>
      </c>
      <c r="AW97" s="33">
        <v>1</v>
      </c>
      <c r="AX97" s="100">
        <v>1</v>
      </c>
      <c r="AY97" s="209">
        <v>0</v>
      </c>
      <c r="AZ97" s="209">
        <v>0</v>
      </c>
      <c r="BA97" s="209">
        <v>1</v>
      </c>
      <c r="BB97" s="209">
        <v>0</v>
      </c>
      <c r="BC97" s="209"/>
      <c r="BD97" s="209"/>
      <c r="BE97" s="209"/>
      <c r="BF97" s="209"/>
      <c r="BG97" s="379">
        <f t="shared" si="18"/>
        <v>0</v>
      </c>
      <c r="BH97" s="209"/>
      <c r="BI97" s="209"/>
      <c r="BJ97" s="310">
        <v>7182339023</v>
      </c>
      <c r="BK97" s="310">
        <v>4494516983.9700003</v>
      </c>
      <c r="BL97" s="776">
        <f>BK97/BJ97</f>
        <v>0.6257734380926897</v>
      </c>
      <c r="BM97" s="209"/>
      <c r="BN97" s="269">
        <v>44927</v>
      </c>
      <c r="BO97" s="269">
        <v>45291</v>
      </c>
      <c r="BP97" s="92">
        <v>365</v>
      </c>
      <c r="BQ97" s="270">
        <v>1028736</v>
      </c>
      <c r="BR97" s="270">
        <v>1028736</v>
      </c>
      <c r="BS97" s="270" t="s">
        <v>285</v>
      </c>
      <c r="BT97" s="270" t="s">
        <v>286</v>
      </c>
      <c r="BU97" s="77" t="s">
        <v>184</v>
      </c>
      <c r="BV97" s="49">
        <v>5000000000</v>
      </c>
      <c r="BW97" s="49">
        <v>0</v>
      </c>
      <c r="BX97" s="271">
        <f t="shared" si="27"/>
        <v>5000000000</v>
      </c>
      <c r="BY97" s="49">
        <v>0</v>
      </c>
      <c r="BZ97" s="86">
        <v>0</v>
      </c>
      <c r="CA97" s="226">
        <f t="shared" si="28"/>
        <v>5000000000</v>
      </c>
      <c r="CB97" s="98">
        <v>2182339023</v>
      </c>
      <c r="CC97" s="226">
        <f t="shared" si="22"/>
        <v>7182339023</v>
      </c>
      <c r="CD97" s="49">
        <v>0</v>
      </c>
      <c r="CE97" s="49">
        <v>0</v>
      </c>
      <c r="CF97" s="49">
        <v>0</v>
      </c>
      <c r="CG97" s="86">
        <f t="shared" si="29"/>
        <v>0</v>
      </c>
      <c r="CH97" s="49">
        <v>0</v>
      </c>
      <c r="CI97" s="49">
        <v>0</v>
      </c>
      <c r="CJ97" s="49">
        <v>0</v>
      </c>
      <c r="CK97" s="86">
        <f t="shared" si="30"/>
        <v>0</v>
      </c>
      <c r="CL97" s="49">
        <v>0</v>
      </c>
      <c r="CM97" s="49">
        <v>0</v>
      </c>
      <c r="CN97" s="49">
        <v>4998909304.9700003</v>
      </c>
      <c r="CO97" s="86">
        <f t="shared" si="40"/>
        <v>4998909304.9700003</v>
      </c>
      <c r="CP97" s="49">
        <v>0</v>
      </c>
      <c r="CQ97" s="49">
        <v>0</v>
      </c>
      <c r="CR97" s="49">
        <v>0</v>
      </c>
      <c r="CS97" s="226">
        <f t="shared" si="32"/>
        <v>0</v>
      </c>
      <c r="CT97" s="274" t="s">
        <v>516</v>
      </c>
      <c r="CU97" s="92" t="s">
        <v>517</v>
      </c>
      <c r="CV97" s="92" t="s">
        <v>518</v>
      </c>
      <c r="CW97" s="92" t="s">
        <v>96</v>
      </c>
      <c r="CX97" s="92" t="s">
        <v>219</v>
      </c>
      <c r="CY97" s="92" t="s">
        <v>219</v>
      </c>
      <c r="CZ97" s="92" t="s">
        <v>219</v>
      </c>
      <c r="DA97" s="92" t="s">
        <v>219</v>
      </c>
      <c r="DB97" s="92" t="s">
        <v>519</v>
      </c>
      <c r="DC97" s="92" t="s">
        <v>469</v>
      </c>
      <c r="DD97" s="92" t="s">
        <v>459</v>
      </c>
      <c r="DE97" s="173" t="s">
        <v>528</v>
      </c>
      <c r="DF97" s="173" t="s">
        <v>609</v>
      </c>
      <c r="DG97" s="86">
        <f t="shared" si="33"/>
        <v>0</v>
      </c>
      <c r="DH97" s="193"/>
      <c r="DI97" s="193"/>
      <c r="DJ97" s="193"/>
      <c r="DK97" s="193" t="s">
        <v>697</v>
      </c>
      <c r="DL97" s="275" t="s">
        <v>765</v>
      </c>
    </row>
    <row r="98" spans="1:116" ht="48" customHeight="1" thickBot="1" x14ac:dyDescent="0.3">
      <c r="A98" s="777" t="s">
        <v>790</v>
      </c>
      <c r="B98" s="777"/>
      <c r="C98" s="777"/>
      <c r="D98" s="777"/>
      <c r="E98" s="777"/>
      <c r="F98" s="777"/>
      <c r="G98" s="777"/>
      <c r="H98" s="777"/>
      <c r="I98" s="777"/>
      <c r="J98" s="777"/>
      <c r="K98" s="777"/>
      <c r="L98" s="752"/>
      <c r="M98" s="752"/>
      <c r="N98" s="752"/>
      <c r="O98" s="752"/>
      <c r="P98" s="752"/>
      <c r="Q98" s="752"/>
      <c r="R98" s="752"/>
      <c r="S98" s="752"/>
      <c r="T98" s="752"/>
      <c r="U98" s="752"/>
      <c r="V98" s="752"/>
      <c r="W98" s="752"/>
      <c r="X98" s="752"/>
      <c r="Y98" s="752"/>
      <c r="Z98" s="752"/>
      <c r="AA98" s="752"/>
      <c r="AB98" s="752"/>
      <c r="AC98" s="752"/>
      <c r="AD98" s="752"/>
      <c r="AE98" s="752"/>
      <c r="AF98" s="752"/>
      <c r="AG98" s="752"/>
      <c r="AH98" s="752"/>
      <c r="AI98" s="752"/>
      <c r="AJ98" s="752"/>
      <c r="AK98" s="752"/>
      <c r="AL98" s="754">
        <v>0.99978186099400002</v>
      </c>
      <c r="AM98" s="755">
        <v>0.31976025552583331</v>
      </c>
      <c r="AN98" s="752"/>
      <c r="AO98" s="752"/>
      <c r="AP98" s="752"/>
      <c r="AQ98" s="752"/>
      <c r="AR98" s="752"/>
      <c r="AS98" s="752"/>
      <c r="AT98" s="752"/>
      <c r="AU98" s="752"/>
      <c r="AV98" s="752"/>
      <c r="AW98" s="752"/>
      <c r="AX98" s="752"/>
      <c r="AY98" s="752"/>
      <c r="AZ98" s="777" t="s">
        <v>788</v>
      </c>
      <c r="BA98" s="777"/>
      <c r="BB98" s="752"/>
      <c r="BC98" s="752"/>
      <c r="BD98" s="752"/>
      <c r="BE98" s="752"/>
      <c r="BF98" s="752"/>
      <c r="BG98" s="753">
        <f>BG97</f>
        <v>0</v>
      </c>
      <c r="BH98" s="777" t="s">
        <v>789</v>
      </c>
      <c r="BI98" s="777"/>
      <c r="BJ98" s="778">
        <f>BJ97</f>
        <v>7182339023</v>
      </c>
      <c r="BK98" s="778">
        <f t="shared" ref="BK98:BL98" si="44">BK97</f>
        <v>4494516983.9700003</v>
      </c>
      <c r="BL98" s="755">
        <f t="shared" si="44"/>
        <v>0.6257734380926897</v>
      </c>
      <c r="BM98" s="752"/>
      <c r="BN98" s="752"/>
      <c r="BO98" s="752"/>
      <c r="BP98" s="752"/>
      <c r="BQ98" s="752"/>
      <c r="BR98" s="752"/>
      <c r="BS98" s="752"/>
      <c r="BT98" s="752"/>
      <c r="BU98" s="752"/>
      <c r="BV98" s="752"/>
      <c r="BW98" s="752"/>
      <c r="BX98" s="752"/>
      <c r="BY98" s="752"/>
      <c r="BZ98" s="752"/>
      <c r="CA98" s="752"/>
      <c r="CB98" s="752"/>
      <c r="CC98" s="752"/>
      <c r="CD98" s="752"/>
      <c r="CE98" s="752"/>
      <c r="CF98" s="752"/>
      <c r="CG98" s="752"/>
      <c r="CH98" s="752"/>
      <c r="CI98" s="752"/>
      <c r="CJ98" s="752"/>
      <c r="CK98" s="752"/>
      <c r="CL98" s="752"/>
      <c r="CM98" s="752"/>
      <c r="CN98" s="752"/>
      <c r="CO98" s="752"/>
      <c r="CP98" s="752"/>
      <c r="CQ98" s="752"/>
      <c r="CR98" s="752"/>
      <c r="CS98" s="752"/>
      <c r="CT98" s="752"/>
      <c r="CU98" s="752"/>
      <c r="CV98" s="752"/>
      <c r="CW98" s="752"/>
      <c r="CX98" s="752"/>
      <c r="CY98" s="752"/>
      <c r="CZ98" s="752"/>
      <c r="DA98" s="752"/>
      <c r="DB98" s="752"/>
      <c r="DC98" s="752"/>
      <c r="DD98" s="752"/>
    </row>
    <row r="99" spans="1:116" ht="33" customHeight="1" thickBot="1" x14ac:dyDescent="0.3">
      <c r="A99" s="752"/>
      <c r="B99" s="752"/>
      <c r="C99" s="752"/>
      <c r="D99" s="752"/>
      <c r="E99" s="752"/>
      <c r="F99" s="752"/>
      <c r="G99" s="752"/>
      <c r="H99" s="752"/>
      <c r="I99" s="752"/>
      <c r="J99" s="752"/>
      <c r="K99" s="752"/>
      <c r="L99" s="752"/>
      <c r="M99" s="752"/>
      <c r="N99" s="752"/>
      <c r="O99" s="752"/>
      <c r="P99" s="752"/>
      <c r="Q99" s="752"/>
      <c r="R99" s="752"/>
      <c r="S99" s="752"/>
      <c r="T99" s="752"/>
      <c r="U99" s="752"/>
      <c r="V99" s="752"/>
      <c r="W99" s="752"/>
      <c r="X99" s="752"/>
      <c r="Y99" s="752"/>
      <c r="Z99" s="752"/>
      <c r="AA99" s="752"/>
      <c r="AB99" s="752"/>
      <c r="AC99" s="752"/>
      <c r="AD99" s="752"/>
      <c r="AE99" s="752"/>
      <c r="AF99" s="752"/>
      <c r="AG99" s="752"/>
      <c r="AH99" s="752"/>
      <c r="AI99" s="810" t="s">
        <v>805</v>
      </c>
      <c r="AJ99" s="811"/>
      <c r="AK99" s="812"/>
      <c r="AL99" s="807" t="s">
        <v>803</v>
      </c>
      <c r="AM99" s="806" t="s">
        <v>804</v>
      </c>
      <c r="AN99" s="752"/>
      <c r="AO99" s="752"/>
      <c r="AP99" s="752"/>
      <c r="AQ99" s="752"/>
      <c r="AR99" s="752"/>
      <c r="AS99" s="752"/>
      <c r="AT99" s="752"/>
      <c r="AU99" s="752"/>
      <c r="AV99" s="752"/>
      <c r="AW99" s="752"/>
      <c r="AX99" s="752"/>
      <c r="AY99" s="752"/>
      <c r="AZ99" s="752"/>
      <c r="BA99" s="752"/>
      <c r="BB99" s="752"/>
      <c r="BC99" s="752"/>
      <c r="BD99" s="752"/>
      <c r="BE99" s="752"/>
      <c r="BF99" s="752"/>
      <c r="BG99" s="752"/>
      <c r="BH99" s="752"/>
      <c r="BI99" s="752"/>
      <c r="BJ99" s="752"/>
      <c r="BK99" s="752"/>
      <c r="BL99" s="752"/>
      <c r="BM99" s="752"/>
      <c r="BN99" s="752"/>
      <c r="BO99" s="752"/>
      <c r="BP99" s="752"/>
      <c r="BQ99" s="752"/>
      <c r="BR99" s="752"/>
      <c r="BS99" s="752"/>
      <c r="BT99" s="752"/>
      <c r="BU99" s="752"/>
      <c r="BV99" s="752"/>
      <c r="BW99" s="752"/>
      <c r="BX99" s="752"/>
      <c r="BY99" s="752"/>
      <c r="BZ99" s="752"/>
      <c r="CA99" s="752"/>
      <c r="CB99" s="752"/>
      <c r="CC99" s="752"/>
      <c r="CD99" s="752"/>
      <c r="CE99" s="752"/>
      <c r="CF99" s="752"/>
      <c r="CG99" s="752"/>
      <c r="CH99" s="752"/>
      <c r="CI99" s="752"/>
      <c r="CJ99" s="752"/>
      <c r="CK99" s="752"/>
      <c r="CL99" s="752"/>
      <c r="CM99" s="752"/>
      <c r="CN99" s="752"/>
      <c r="CO99" s="752"/>
      <c r="CP99" s="752"/>
      <c r="CQ99" s="752"/>
      <c r="CR99" s="752"/>
      <c r="CS99" s="752"/>
      <c r="CT99" s="752"/>
      <c r="CU99" s="752"/>
      <c r="CV99" s="752"/>
      <c r="CW99" s="752"/>
      <c r="CX99" s="752"/>
      <c r="CY99" s="752"/>
      <c r="CZ99" s="752"/>
      <c r="DA99" s="752"/>
      <c r="DB99" s="752"/>
      <c r="DC99" s="752"/>
      <c r="DD99" s="752"/>
    </row>
    <row r="100" spans="1:116" ht="21" customHeight="1" thickBot="1" x14ac:dyDescent="0.3">
      <c r="AI100" s="813"/>
      <c r="AJ100" s="814"/>
      <c r="AK100" s="808"/>
      <c r="AL100" s="800">
        <f>SUM(AL98+AL96+AL86+AL81+AL72+AL43+AL30+AL25+AL14)/(9)</f>
        <v>0.7782471289960442</v>
      </c>
      <c r="AM100" s="803"/>
      <c r="BG100" s="788"/>
      <c r="BX100" s="230"/>
      <c r="BY100" s="63"/>
      <c r="BZ100" s="63"/>
      <c r="CA100" s="230"/>
      <c r="CB100" s="63"/>
      <c r="CC100" s="230">
        <f>CC98-CC99</f>
        <v>0</v>
      </c>
      <c r="CD100" s="63"/>
      <c r="CE100" s="63"/>
      <c r="CF100" s="63"/>
      <c r="CG100" s="230"/>
      <c r="CH100" s="198"/>
      <c r="CI100" s="198"/>
      <c r="CJ100" s="198"/>
      <c r="CK100" s="234"/>
      <c r="CL100" s="63"/>
      <c r="CM100" s="63"/>
      <c r="CN100" s="63"/>
      <c r="CO100" s="230"/>
      <c r="CP100" s="63"/>
      <c r="CQ100" s="63"/>
      <c r="CR100" s="63"/>
      <c r="CS100" s="230"/>
    </row>
    <row r="101" spans="1:116" ht="18" customHeight="1" x14ac:dyDescent="0.25">
      <c r="AI101" s="813"/>
      <c r="AJ101" s="814"/>
      <c r="AK101" s="808"/>
      <c r="AL101" s="801"/>
      <c r="AM101" s="804">
        <f>SUM(AM98+AM96+AM86+AM81+AM77+AM72+AM61+AM51+AM43+AM30+AM25+AM14)/(12)</f>
        <v>0.80789529907159707</v>
      </c>
      <c r="AY101" s="789" t="s">
        <v>802</v>
      </c>
      <c r="AZ101" s="790"/>
      <c r="BA101" s="790"/>
      <c r="BB101" s="791"/>
      <c r="BG101" s="797">
        <f>SUM(BG98+BG96+BG86+BG81+BG77+BG72+BG61+BG51+BG43+BG30+BG25+BG14)/(12)</f>
        <v>0.2441661155202822</v>
      </c>
      <c r="BH101" s="780" t="s">
        <v>801</v>
      </c>
      <c r="BI101" s="780"/>
      <c r="BJ101" s="781">
        <f>SUM(BJ98+BJ96+BJ86+BJ81+BJ77+BJ72+BJ61+BJ51+BJ43+BJ30+BJ25+BJ14)</f>
        <v>34702412638.039993</v>
      </c>
      <c r="BK101" s="781">
        <f>SUM(BK98+BK96+BK86+BK81+BK77+BK72+BK61+BK51+BK43+BK30+BK25+BK14)</f>
        <v>26290060206.459999</v>
      </c>
      <c r="BL101" s="782">
        <f>BK101/BJ101</f>
        <v>0.75758594886977493</v>
      </c>
      <c r="BY101" s="63"/>
      <c r="CC101" s="230">
        <f>CB98-CC100</f>
        <v>0</v>
      </c>
    </row>
    <row r="102" spans="1:116" ht="20.25" x14ac:dyDescent="0.25">
      <c r="AI102" s="813"/>
      <c r="AJ102" s="814"/>
      <c r="AK102" s="808"/>
      <c r="AL102" s="801"/>
      <c r="AM102" s="804"/>
      <c r="AY102" s="518"/>
      <c r="AZ102" s="792"/>
      <c r="BA102" s="792"/>
      <c r="BB102" s="793"/>
      <c r="BG102" s="798"/>
      <c r="BH102" s="779"/>
      <c r="BI102" s="779"/>
      <c r="BJ102" s="783"/>
      <c r="BK102" s="783"/>
      <c r="BL102" s="784"/>
    </row>
    <row r="103" spans="1:116" ht="21" thickBot="1" x14ac:dyDescent="0.3">
      <c r="AI103" s="815"/>
      <c r="AJ103" s="816"/>
      <c r="AK103" s="817"/>
      <c r="AL103" s="802"/>
      <c r="AM103" s="805"/>
      <c r="AY103" s="518"/>
      <c r="AZ103" s="792"/>
      <c r="BA103" s="792"/>
      <c r="BB103" s="793"/>
      <c r="BG103" s="798"/>
      <c r="BH103" s="785"/>
      <c r="BI103" s="785"/>
      <c r="BJ103" s="786"/>
      <c r="BK103" s="786"/>
      <c r="BL103" s="787"/>
    </row>
    <row r="104" spans="1:116" ht="18.75" thickBot="1" x14ac:dyDescent="0.3">
      <c r="AJ104" s="809"/>
      <c r="AY104" s="794"/>
      <c r="AZ104" s="795"/>
      <c r="BA104" s="795"/>
      <c r="BB104" s="796"/>
      <c r="BG104" s="799"/>
    </row>
    <row r="105" spans="1:116" x14ac:dyDescent="0.25">
      <c r="AJ105" s="809"/>
    </row>
    <row r="106" spans="1:116" x14ac:dyDescent="0.25">
      <c r="AJ106" s="809"/>
    </row>
    <row r="107" spans="1:116" x14ac:dyDescent="0.25">
      <c r="AJ107" s="809"/>
    </row>
    <row r="108" spans="1:116" x14ac:dyDescent="0.25">
      <c r="AJ108" s="809"/>
    </row>
    <row r="109" spans="1:116" x14ac:dyDescent="0.25">
      <c r="AJ109" s="809"/>
    </row>
    <row r="110" spans="1:116" x14ac:dyDescent="0.25">
      <c r="AJ110" s="809"/>
    </row>
    <row r="111" spans="1:116" x14ac:dyDescent="0.25">
      <c r="AJ111" s="809"/>
    </row>
    <row r="112" spans="1:116" x14ac:dyDescent="0.25">
      <c r="AJ112" s="809"/>
    </row>
    <row r="113" spans="36:36" x14ac:dyDescent="0.25">
      <c r="AJ113" s="809"/>
    </row>
    <row r="114" spans="36:36" x14ac:dyDescent="0.25">
      <c r="AJ114" s="809"/>
    </row>
    <row r="115" spans="36:36" x14ac:dyDescent="0.25">
      <c r="AJ115" s="809"/>
    </row>
    <row r="116" spans="36:36" x14ac:dyDescent="0.25">
      <c r="AJ116" s="809"/>
    </row>
    <row r="117" spans="36:36" x14ac:dyDescent="0.25">
      <c r="AJ117" s="809"/>
    </row>
    <row r="118" spans="36:36" x14ac:dyDescent="0.25">
      <c r="AJ118" s="809"/>
    </row>
    <row r="119" spans="36:36" x14ac:dyDescent="0.25">
      <c r="AJ119" s="809"/>
    </row>
    <row r="120" spans="36:36" x14ac:dyDescent="0.25">
      <c r="AJ120" s="809"/>
    </row>
    <row r="121" spans="36:36" x14ac:dyDescent="0.25">
      <c r="AJ121" s="809"/>
    </row>
    <row r="122" spans="36:36" x14ac:dyDescent="0.25">
      <c r="AJ122" s="809"/>
    </row>
    <row r="123" spans="36:36" x14ac:dyDescent="0.25">
      <c r="AJ123" s="809"/>
    </row>
    <row r="124" spans="36:36" x14ac:dyDescent="0.25">
      <c r="AJ124" s="809"/>
    </row>
    <row r="125" spans="36:36" x14ac:dyDescent="0.25">
      <c r="AJ125" s="809"/>
    </row>
    <row r="126" spans="36:36" x14ac:dyDescent="0.25">
      <c r="AJ126" s="809"/>
    </row>
    <row r="127" spans="36:36" x14ac:dyDescent="0.25">
      <c r="AJ127" s="809"/>
    </row>
    <row r="128" spans="36:36" x14ac:dyDescent="0.25">
      <c r="AJ128" s="809"/>
    </row>
    <row r="129" spans="36:36" x14ac:dyDescent="0.25">
      <c r="AJ129" s="809"/>
    </row>
    <row r="130" spans="36:36" x14ac:dyDescent="0.25">
      <c r="AJ130" s="809"/>
    </row>
    <row r="131" spans="36:36" x14ac:dyDescent="0.25">
      <c r="AJ131" s="809"/>
    </row>
    <row r="132" spans="36:36" x14ac:dyDescent="0.25">
      <c r="AJ132" s="809"/>
    </row>
    <row r="133" spans="36:36" x14ac:dyDescent="0.25">
      <c r="AJ133" s="809"/>
    </row>
    <row r="134" spans="36:36" x14ac:dyDescent="0.25">
      <c r="AJ134" s="809"/>
    </row>
    <row r="135" spans="36:36" x14ac:dyDescent="0.25">
      <c r="AJ135" s="809"/>
    </row>
    <row r="136" spans="36:36" x14ac:dyDescent="0.25">
      <c r="AJ136" s="809"/>
    </row>
    <row r="137" spans="36:36" x14ac:dyDescent="0.25">
      <c r="AJ137" s="809"/>
    </row>
    <row r="138" spans="36:36" x14ac:dyDescent="0.25">
      <c r="AJ138" s="809"/>
    </row>
    <row r="139" spans="36:36" x14ac:dyDescent="0.25">
      <c r="AJ139" s="809"/>
    </row>
    <row r="140" spans="36:36" x14ac:dyDescent="0.25">
      <c r="AJ140" s="809"/>
    </row>
    <row r="141" spans="36:36" x14ac:dyDescent="0.25">
      <c r="AJ141" s="809"/>
    </row>
    <row r="142" spans="36:36" x14ac:dyDescent="0.25">
      <c r="AJ142" s="809"/>
    </row>
    <row r="143" spans="36:36" x14ac:dyDescent="0.25">
      <c r="AJ143" s="809"/>
    </row>
    <row r="144" spans="36:36" x14ac:dyDescent="0.25">
      <c r="AJ144" s="809"/>
    </row>
    <row r="145" spans="36:36" x14ac:dyDescent="0.25">
      <c r="AJ145" s="809"/>
    </row>
    <row r="146" spans="36:36" x14ac:dyDescent="0.25">
      <c r="AJ146" s="809"/>
    </row>
    <row r="147" spans="36:36" x14ac:dyDescent="0.25">
      <c r="AJ147" s="809"/>
    </row>
    <row r="148" spans="36:36" x14ac:dyDescent="0.25">
      <c r="AJ148" s="809"/>
    </row>
    <row r="149" spans="36:36" x14ac:dyDescent="0.25">
      <c r="AJ149" s="809"/>
    </row>
    <row r="150" spans="36:36" x14ac:dyDescent="0.25">
      <c r="AJ150" s="809"/>
    </row>
    <row r="151" spans="36:36" x14ac:dyDescent="0.25">
      <c r="AJ151" s="809"/>
    </row>
    <row r="152" spans="36:36" x14ac:dyDescent="0.25">
      <c r="AJ152" s="809"/>
    </row>
    <row r="153" spans="36:36" x14ac:dyDescent="0.25">
      <c r="AJ153" s="809"/>
    </row>
    <row r="154" spans="36:36" x14ac:dyDescent="0.25">
      <c r="AJ154" s="809"/>
    </row>
    <row r="155" spans="36:36" x14ac:dyDescent="0.25">
      <c r="AJ155" s="809"/>
    </row>
    <row r="156" spans="36:36" x14ac:dyDescent="0.25">
      <c r="AJ156" s="809"/>
    </row>
    <row r="157" spans="36:36" x14ac:dyDescent="0.25">
      <c r="AJ157" s="809"/>
    </row>
    <row r="158" spans="36:36" x14ac:dyDescent="0.25">
      <c r="AJ158" s="809"/>
    </row>
    <row r="159" spans="36:36" x14ac:dyDescent="0.25">
      <c r="AJ159" s="809"/>
    </row>
    <row r="160" spans="36:36" x14ac:dyDescent="0.25">
      <c r="AJ160" s="809"/>
    </row>
    <row r="161" spans="36:36" x14ac:dyDescent="0.25">
      <c r="AJ161" s="809"/>
    </row>
    <row r="162" spans="36:36" x14ac:dyDescent="0.25">
      <c r="AJ162" s="809"/>
    </row>
    <row r="163" spans="36:36" x14ac:dyDescent="0.25">
      <c r="AJ163" s="809"/>
    </row>
    <row r="164" spans="36:36" x14ac:dyDescent="0.25">
      <c r="AJ164" s="809"/>
    </row>
    <row r="165" spans="36:36" x14ac:dyDescent="0.25">
      <c r="AJ165" s="809"/>
    </row>
    <row r="166" spans="36:36" x14ac:dyDescent="0.25">
      <c r="AJ166" s="809"/>
    </row>
    <row r="167" spans="36:36" x14ac:dyDescent="0.25">
      <c r="AJ167" s="809"/>
    </row>
    <row r="168" spans="36:36" x14ac:dyDescent="0.25">
      <c r="AJ168" s="809"/>
    </row>
    <row r="169" spans="36:36" x14ac:dyDescent="0.25">
      <c r="AJ169" s="809"/>
    </row>
    <row r="170" spans="36:36" x14ac:dyDescent="0.25">
      <c r="AJ170" s="809"/>
    </row>
    <row r="171" spans="36:36" x14ac:dyDescent="0.25">
      <c r="AJ171" s="809"/>
    </row>
    <row r="172" spans="36:36" x14ac:dyDescent="0.25">
      <c r="AJ172" s="809"/>
    </row>
    <row r="173" spans="36:36" x14ac:dyDescent="0.25">
      <c r="AJ173" s="809"/>
    </row>
    <row r="174" spans="36:36" x14ac:dyDescent="0.25">
      <c r="AJ174" s="809"/>
    </row>
    <row r="175" spans="36:36" x14ac:dyDescent="0.25">
      <c r="AJ175" s="809"/>
    </row>
    <row r="176" spans="36:36" x14ac:dyDescent="0.25">
      <c r="AJ176" s="809"/>
    </row>
    <row r="177" spans="36:36" x14ac:dyDescent="0.25">
      <c r="AJ177" s="809"/>
    </row>
    <row r="178" spans="36:36" x14ac:dyDescent="0.25">
      <c r="AJ178" s="809"/>
    </row>
    <row r="179" spans="36:36" x14ac:dyDescent="0.25">
      <c r="AJ179" s="809"/>
    </row>
    <row r="180" spans="36:36" x14ac:dyDescent="0.25">
      <c r="AJ180" s="809"/>
    </row>
    <row r="181" spans="36:36" x14ac:dyDescent="0.25">
      <c r="AJ181" s="809"/>
    </row>
    <row r="182" spans="36:36" x14ac:dyDescent="0.25">
      <c r="AJ182" s="809"/>
    </row>
    <row r="183" spans="36:36" x14ac:dyDescent="0.25">
      <c r="AJ183" s="809"/>
    </row>
    <row r="184" spans="36:36" x14ac:dyDescent="0.25">
      <c r="AJ184" s="809"/>
    </row>
    <row r="185" spans="36:36" x14ac:dyDescent="0.25">
      <c r="AJ185" s="809"/>
    </row>
    <row r="186" spans="36:36" x14ac:dyDescent="0.25">
      <c r="AJ186" s="809"/>
    </row>
    <row r="187" spans="36:36" x14ac:dyDescent="0.25">
      <c r="AJ187" s="809"/>
    </row>
    <row r="188" spans="36:36" x14ac:dyDescent="0.25">
      <c r="AJ188" s="809"/>
    </row>
    <row r="189" spans="36:36" x14ac:dyDescent="0.25">
      <c r="AJ189" s="809"/>
    </row>
    <row r="190" spans="36:36" x14ac:dyDescent="0.25">
      <c r="AJ190" s="809"/>
    </row>
    <row r="191" spans="36:36" x14ac:dyDescent="0.25">
      <c r="AJ191" s="809"/>
    </row>
    <row r="192" spans="36:36" x14ac:dyDescent="0.25">
      <c r="AJ192" s="809"/>
    </row>
    <row r="193" spans="36:36" x14ac:dyDescent="0.25">
      <c r="AJ193" s="809"/>
    </row>
    <row r="194" spans="36:36" x14ac:dyDescent="0.25">
      <c r="AJ194" s="809"/>
    </row>
    <row r="195" spans="36:36" x14ac:dyDescent="0.25">
      <c r="AJ195" s="809"/>
    </row>
    <row r="196" spans="36:36" x14ac:dyDescent="0.25">
      <c r="AJ196" s="809"/>
    </row>
    <row r="197" spans="36:36" x14ac:dyDescent="0.25">
      <c r="AJ197" s="809"/>
    </row>
    <row r="198" spans="36:36" x14ac:dyDescent="0.25">
      <c r="AJ198" s="809"/>
    </row>
    <row r="199" spans="36:36" x14ac:dyDescent="0.25">
      <c r="AJ199" s="809"/>
    </row>
    <row r="200" spans="36:36" x14ac:dyDescent="0.25">
      <c r="AJ200" s="809"/>
    </row>
    <row r="201" spans="36:36" x14ac:dyDescent="0.25">
      <c r="AJ201" s="809"/>
    </row>
    <row r="202" spans="36:36" x14ac:dyDescent="0.25">
      <c r="AJ202" s="809"/>
    </row>
    <row r="203" spans="36:36" x14ac:dyDescent="0.25">
      <c r="AJ203" s="809"/>
    </row>
    <row r="204" spans="36:36" x14ac:dyDescent="0.25">
      <c r="AJ204" s="809"/>
    </row>
    <row r="205" spans="36:36" x14ac:dyDescent="0.25">
      <c r="AJ205" s="809"/>
    </row>
    <row r="206" spans="36:36" x14ac:dyDescent="0.25">
      <c r="AJ206" s="809"/>
    </row>
    <row r="207" spans="36:36" x14ac:dyDescent="0.25">
      <c r="AJ207" s="809"/>
    </row>
    <row r="208" spans="36:36" x14ac:dyDescent="0.25">
      <c r="AJ208" s="809"/>
    </row>
    <row r="209" spans="36:36" x14ac:dyDescent="0.25">
      <c r="AJ209" s="809"/>
    </row>
    <row r="210" spans="36:36" x14ac:dyDescent="0.25">
      <c r="AJ210" s="809"/>
    </row>
    <row r="211" spans="36:36" x14ac:dyDescent="0.25">
      <c r="AJ211" s="809"/>
    </row>
    <row r="212" spans="36:36" x14ac:dyDescent="0.25">
      <c r="AJ212" s="809"/>
    </row>
    <row r="213" spans="36:36" x14ac:dyDescent="0.25">
      <c r="AJ213" s="809"/>
    </row>
    <row r="214" spans="36:36" x14ac:dyDescent="0.25">
      <c r="AJ214" s="809"/>
    </row>
    <row r="215" spans="36:36" x14ac:dyDescent="0.25">
      <c r="AJ215" s="809"/>
    </row>
    <row r="216" spans="36:36" x14ac:dyDescent="0.25">
      <c r="AJ216" s="809"/>
    </row>
    <row r="217" spans="36:36" x14ac:dyDescent="0.25">
      <c r="AJ217" s="809"/>
    </row>
    <row r="218" spans="36:36" x14ac:dyDescent="0.25">
      <c r="AJ218" s="809"/>
    </row>
    <row r="219" spans="36:36" x14ac:dyDescent="0.25">
      <c r="AJ219" s="809"/>
    </row>
    <row r="220" spans="36:36" x14ac:dyDescent="0.25">
      <c r="AJ220" s="809"/>
    </row>
    <row r="221" spans="36:36" x14ac:dyDescent="0.25">
      <c r="AJ221" s="809"/>
    </row>
    <row r="222" spans="36:36" x14ac:dyDescent="0.25">
      <c r="AJ222" s="809"/>
    </row>
    <row r="223" spans="36:36" x14ac:dyDescent="0.25">
      <c r="AJ223" s="809"/>
    </row>
    <row r="224" spans="36:36" x14ac:dyDescent="0.25">
      <c r="AJ224" s="809"/>
    </row>
    <row r="225" spans="36:36" x14ac:dyDescent="0.25">
      <c r="AJ225" s="809"/>
    </row>
    <row r="226" spans="36:36" x14ac:dyDescent="0.25">
      <c r="AJ226" s="809"/>
    </row>
    <row r="227" spans="36:36" x14ac:dyDescent="0.25">
      <c r="AJ227" s="809"/>
    </row>
    <row r="228" spans="36:36" x14ac:dyDescent="0.25">
      <c r="AJ228" s="809"/>
    </row>
    <row r="229" spans="36:36" x14ac:dyDescent="0.25">
      <c r="AJ229" s="809"/>
    </row>
    <row r="230" spans="36:36" x14ac:dyDescent="0.25">
      <c r="AJ230" s="809"/>
    </row>
    <row r="231" spans="36:36" x14ac:dyDescent="0.25">
      <c r="AJ231" s="809"/>
    </row>
    <row r="232" spans="36:36" x14ac:dyDescent="0.25">
      <c r="AJ232" s="809"/>
    </row>
    <row r="233" spans="36:36" x14ac:dyDescent="0.25">
      <c r="AJ233" s="809"/>
    </row>
    <row r="234" spans="36:36" x14ac:dyDescent="0.25">
      <c r="AJ234" s="809"/>
    </row>
    <row r="235" spans="36:36" x14ac:dyDescent="0.25">
      <c r="AJ235" s="809"/>
    </row>
    <row r="236" spans="36:36" x14ac:dyDescent="0.25">
      <c r="AJ236" s="809"/>
    </row>
    <row r="237" spans="36:36" x14ac:dyDescent="0.25">
      <c r="AJ237" s="809"/>
    </row>
    <row r="238" spans="36:36" x14ac:dyDescent="0.25">
      <c r="AJ238" s="809"/>
    </row>
    <row r="239" spans="36:36" x14ac:dyDescent="0.25">
      <c r="AJ239" s="809"/>
    </row>
    <row r="240" spans="36:36" x14ac:dyDescent="0.25">
      <c r="AJ240" s="809"/>
    </row>
    <row r="241" spans="36:36" x14ac:dyDescent="0.25">
      <c r="AJ241" s="809"/>
    </row>
    <row r="242" spans="36:36" x14ac:dyDescent="0.25">
      <c r="AJ242" s="809"/>
    </row>
    <row r="243" spans="36:36" x14ac:dyDescent="0.25">
      <c r="AJ243" s="809"/>
    </row>
    <row r="244" spans="36:36" x14ac:dyDescent="0.25">
      <c r="AJ244" s="809"/>
    </row>
    <row r="245" spans="36:36" x14ac:dyDescent="0.25">
      <c r="AJ245" s="809"/>
    </row>
    <row r="246" spans="36:36" x14ac:dyDescent="0.25">
      <c r="AJ246" s="809"/>
    </row>
    <row r="247" spans="36:36" x14ac:dyDescent="0.25">
      <c r="AJ247" s="809"/>
    </row>
    <row r="248" spans="36:36" x14ac:dyDescent="0.25">
      <c r="AJ248" s="809"/>
    </row>
    <row r="249" spans="36:36" x14ac:dyDescent="0.25">
      <c r="AJ249" s="809"/>
    </row>
    <row r="250" spans="36:36" x14ac:dyDescent="0.25">
      <c r="AJ250" s="809"/>
    </row>
    <row r="251" spans="36:36" x14ac:dyDescent="0.25">
      <c r="AJ251" s="809"/>
    </row>
    <row r="252" spans="36:36" x14ac:dyDescent="0.25">
      <c r="AJ252" s="809"/>
    </row>
    <row r="253" spans="36:36" x14ac:dyDescent="0.25">
      <c r="AJ253" s="809"/>
    </row>
    <row r="254" spans="36:36" x14ac:dyDescent="0.25">
      <c r="AJ254" s="809"/>
    </row>
    <row r="255" spans="36:36" x14ac:dyDescent="0.25">
      <c r="AJ255" s="809"/>
    </row>
    <row r="256" spans="36:36" x14ac:dyDescent="0.25">
      <c r="AJ256" s="809"/>
    </row>
    <row r="257" spans="36:36" x14ac:dyDescent="0.25">
      <c r="AJ257" s="809"/>
    </row>
    <row r="258" spans="36:36" x14ac:dyDescent="0.25">
      <c r="AJ258" s="809"/>
    </row>
    <row r="259" spans="36:36" x14ac:dyDescent="0.25">
      <c r="AJ259" s="809"/>
    </row>
    <row r="260" spans="36:36" x14ac:dyDescent="0.25">
      <c r="AJ260" s="809"/>
    </row>
    <row r="261" spans="36:36" x14ac:dyDescent="0.25">
      <c r="AJ261" s="809"/>
    </row>
    <row r="262" spans="36:36" x14ac:dyDescent="0.25">
      <c r="AJ262" s="809"/>
    </row>
    <row r="263" spans="36:36" x14ac:dyDescent="0.25">
      <c r="AJ263" s="809"/>
    </row>
    <row r="264" spans="36:36" x14ac:dyDescent="0.25">
      <c r="AJ264" s="809"/>
    </row>
    <row r="265" spans="36:36" x14ac:dyDescent="0.25">
      <c r="AJ265" s="809"/>
    </row>
    <row r="266" spans="36:36" x14ac:dyDescent="0.25">
      <c r="AJ266" s="809"/>
    </row>
    <row r="267" spans="36:36" x14ac:dyDescent="0.25">
      <c r="AJ267" s="809"/>
    </row>
    <row r="268" spans="36:36" x14ac:dyDescent="0.25">
      <c r="AJ268" s="809"/>
    </row>
    <row r="269" spans="36:36" x14ac:dyDescent="0.25">
      <c r="AJ269" s="809"/>
    </row>
    <row r="270" spans="36:36" x14ac:dyDescent="0.25">
      <c r="AJ270" s="809"/>
    </row>
    <row r="271" spans="36:36" x14ac:dyDescent="0.25">
      <c r="AJ271" s="809"/>
    </row>
    <row r="272" spans="36:36" x14ac:dyDescent="0.25">
      <c r="AJ272" s="809"/>
    </row>
    <row r="273" spans="36:36" x14ac:dyDescent="0.25">
      <c r="AJ273" s="809"/>
    </row>
    <row r="274" spans="36:36" x14ac:dyDescent="0.25">
      <c r="AJ274" s="809"/>
    </row>
    <row r="275" spans="36:36" x14ac:dyDescent="0.25">
      <c r="AJ275" s="809"/>
    </row>
    <row r="276" spans="36:36" x14ac:dyDescent="0.25">
      <c r="AJ276" s="809"/>
    </row>
    <row r="277" spans="36:36" x14ac:dyDescent="0.25">
      <c r="AJ277" s="809"/>
    </row>
    <row r="278" spans="36:36" x14ac:dyDescent="0.25">
      <c r="AJ278" s="809"/>
    </row>
    <row r="279" spans="36:36" x14ac:dyDescent="0.25">
      <c r="AJ279" s="809"/>
    </row>
    <row r="280" spans="36:36" x14ac:dyDescent="0.25">
      <c r="AJ280" s="809"/>
    </row>
    <row r="281" spans="36:36" x14ac:dyDescent="0.25">
      <c r="AJ281" s="809"/>
    </row>
    <row r="282" spans="36:36" x14ac:dyDescent="0.25">
      <c r="AJ282" s="809"/>
    </row>
    <row r="283" spans="36:36" x14ac:dyDescent="0.25">
      <c r="AJ283" s="809"/>
    </row>
    <row r="284" spans="36:36" x14ac:dyDescent="0.25">
      <c r="AJ284" s="809"/>
    </row>
    <row r="285" spans="36:36" x14ac:dyDescent="0.25">
      <c r="AJ285" s="809"/>
    </row>
    <row r="286" spans="36:36" x14ac:dyDescent="0.25">
      <c r="AJ286" s="809"/>
    </row>
    <row r="287" spans="36:36" x14ac:dyDescent="0.25">
      <c r="AJ287" s="809"/>
    </row>
    <row r="288" spans="36:36" x14ac:dyDescent="0.25">
      <c r="AJ288" s="809"/>
    </row>
    <row r="289" spans="36:36" x14ac:dyDescent="0.25">
      <c r="AJ289" s="809"/>
    </row>
    <row r="290" spans="36:36" x14ac:dyDescent="0.25">
      <c r="AJ290" s="809"/>
    </row>
    <row r="291" spans="36:36" x14ac:dyDescent="0.25">
      <c r="AJ291" s="809"/>
    </row>
    <row r="292" spans="36:36" x14ac:dyDescent="0.25">
      <c r="AJ292" s="809"/>
    </row>
    <row r="293" spans="36:36" x14ac:dyDescent="0.25">
      <c r="AJ293" s="809"/>
    </row>
    <row r="294" spans="36:36" x14ac:dyDescent="0.25">
      <c r="AJ294" s="809"/>
    </row>
    <row r="295" spans="36:36" x14ac:dyDescent="0.25">
      <c r="AJ295" s="809"/>
    </row>
    <row r="296" spans="36:36" x14ac:dyDescent="0.25">
      <c r="AJ296" s="809"/>
    </row>
    <row r="297" spans="36:36" x14ac:dyDescent="0.25">
      <c r="AJ297" s="809"/>
    </row>
    <row r="298" spans="36:36" x14ac:dyDescent="0.25">
      <c r="AJ298" s="809"/>
    </row>
    <row r="299" spans="36:36" x14ac:dyDescent="0.25">
      <c r="AJ299" s="809"/>
    </row>
    <row r="300" spans="36:36" x14ac:dyDescent="0.25">
      <c r="AJ300" s="809"/>
    </row>
    <row r="301" spans="36:36" x14ac:dyDescent="0.25">
      <c r="AJ301" s="809"/>
    </row>
    <row r="302" spans="36:36" x14ac:dyDescent="0.25">
      <c r="AJ302" s="809"/>
    </row>
    <row r="303" spans="36:36" x14ac:dyDescent="0.25">
      <c r="AJ303" s="809"/>
    </row>
    <row r="304" spans="36:36" x14ac:dyDescent="0.25">
      <c r="AJ304" s="809"/>
    </row>
    <row r="305" spans="36:36" x14ac:dyDescent="0.25">
      <c r="AJ305" s="809"/>
    </row>
    <row r="306" spans="36:36" x14ac:dyDescent="0.25">
      <c r="AJ306" s="809"/>
    </row>
    <row r="307" spans="36:36" x14ac:dyDescent="0.25">
      <c r="AJ307" s="809"/>
    </row>
    <row r="308" spans="36:36" x14ac:dyDescent="0.25">
      <c r="AJ308" s="809"/>
    </row>
    <row r="309" spans="36:36" x14ac:dyDescent="0.25">
      <c r="AJ309" s="809"/>
    </row>
    <row r="310" spans="36:36" x14ac:dyDescent="0.25">
      <c r="AJ310" s="809"/>
    </row>
    <row r="311" spans="36:36" x14ac:dyDescent="0.25">
      <c r="AJ311" s="809"/>
    </row>
    <row r="312" spans="36:36" x14ac:dyDescent="0.25">
      <c r="AJ312" s="809"/>
    </row>
    <row r="313" spans="36:36" x14ac:dyDescent="0.25">
      <c r="AJ313" s="809"/>
    </row>
    <row r="314" spans="36:36" x14ac:dyDescent="0.25">
      <c r="AJ314" s="809"/>
    </row>
    <row r="315" spans="36:36" x14ac:dyDescent="0.25">
      <c r="AJ315" s="809"/>
    </row>
    <row r="316" spans="36:36" x14ac:dyDescent="0.25">
      <c r="AJ316" s="809"/>
    </row>
    <row r="317" spans="36:36" x14ac:dyDescent="0.25">
      <c r="AJ317" s="809"/>
    </row>
    <row r="318" spans="36:36" x14ac:dyDescent="0.25">
      <c r="AJ318" s="809"/>
    </row>
    <row r="319" spans="36:36" x14ac:dyDescent="0.25">
      <c r="AJ319" s="809"/>
    </row>
    <row r="320" spans="36:36" x14ac:dyDescent="0.25">
      <c r="AJ320" s="809"/>
    </row>
    <row r="321" spans="36:36" x14ac:dyDescent="0.25">
      <c r="AJ321" s="809"/>
    </row>
    <row r="322" spans="36:36" x14ac:dyDescent="0.25">
      <c r="AJ322" s="809"/>
    </row>
    <row r="323" spans="36:36" x14ac:dyDescent="0.25">
      <c r="AJ323" s="809"/>
    </row>
    <row r="324" spans="36:36" x14ac:dyDescent="0.25">
      <c r="AJ324" s="809"/>
    </row>
    <row r="325" spans="36:36" x14ac:dyDescent="0.25">
      <c r="AJ325" s="809"/>
    </row>
    <row r="326" spans="36:36" x14ac:dyDescent="0.25">
      <c r="AJ326" s="809"/>
    </row>
    <row r="327" spans="36:36" x14ac:dyDescent="0.25">
      <c r="AJ327" s="809"/>
    </row>
    <row r="328" spans="36:36" x14ac:dyDescent="0.25">
      <c r="AJ328" s="809"/>
    </row>
    <row r="329" spans="36:36" x14ac:dyDescent="0.25">
      <c r="AJ329" s="809"/>
    </row>
    <row r="330" spans="36:36" x14ac:dyDescent="0.25">
      <c r="AJ330" s="809"/>
    </row>
    <row r="331" spans="36:36" x14ac:dyDescent="0.25">
      <c r="AJ331" s="809"/>
    </row>
    <row r="332" spans="36:36" x14ac:dyDescent="0.25">
      <c r="AJ332" s="809"/>
    </row>
    <row r="333" spans="36:36" x14ac:dyDescent="0.25">
      <c r="AJ333" s="809"/>
    </row>
    <row r="334" spans="36:36" x14ac:dyDescent="0.25">
      <c r="AJ334" s="809"/>
    </row>
    <row r="335" spans="36:36" x14ac:dyDescent="0.25">
      <c r="AJ335" s="809"/>
    </row>
    <row r="336" spans="36:36" x14ac:dyDescent="0.25">
      <c r="AJ336" s="809"/>
    </row>
    <row r="337" spans="36:36" x14ac:dyDescent="0.25">
      <c r="AJ337" s="809"/>
    </row>
    <row r="338" spans="36:36" x14ac:dyDescent="0.25">
      <c r="AJ338" s="809"/>
    </row>
    <row r="339" spans="36:36" x14ac:dyDescent="0.25">
      <c r="AJ339" s="809"/>
    </row>
    <row r="340" spans="36:36" x14ac:dyDescent="0.25">
      <c r="AJ340" s="809"/>
    </row>
    <row r="341" spans="36:36" x14ac:dyDescent="0.25">
      <c r="AJ341" s="809"/>
    </row>
    <row r="342" spans="36:36" x14ac:dyDescent="0.25">
      <c r="AJ342" s="809"/>
    </row>
    <row r="343" spans="36:36" x14ac:dyDescent="0.25">
      <c r="AJ343" s="809"/>
    </row>
    <row r="344" spans="36:36" x14ac:dyDescent="0.25">
      <c r="AJ344" s="809"/>
    </row>
    <row r="345" spans="36:36" x14ac:dyDescent="0.25">
      <c r="AJ345" s="809"/>
    </row>
    <row r="346" spans="36:36" x14ac:dyDescent="0.25">
      <c r="AJ346" s="809"/>
    </row>
    <row r="347" spans="36:36" x14ac:dyDescent="0.25">
      <c r="AJ347" s="809"/>
    </row>
    <row r="348" spans="36:36" x14ac:dyDescent="0.25">
      <c r="AJ348" s="809"/>
    </row>
    <row r="349" spans="36:36" x14ac:dyDescent="0.25">
      <c r="AJ349" s="809"/>
    </row>
    <row r="350" spans="36:36" x14ac:dyDescent="0.25">
      <c r="AJ350" s="809"/>
    </row>
    <row r="351" spans="36:36" x14ac:dyDescent="0.25">
      <c r="AJ351" s="809"/>
    </row>
    <row r="352" spans="36:36" x14ac:dyDescent="0.25">
      <c r="AJ352" s="809"/>
    </row>
    <row r="353" spans="36:36" x14ac:dyDescent="0.25">
      <c r="AJ353" s="809"/>
    </row>
    <row r="354" spans="36:36" x14ac:dyDescent="0.25">
      <c r="AJ354" s="809"/>
    </row>
    <row r="355" spans="36:36" x14ac:dyDescent="0.25">
      <c r="AJ355" s="809"/>
    </row>
    <row r="356" spans="36:36" x14ac:dyDescent="0.25">
      <c r="AJ356" s="809"/>
    </row>
    <row r="357" spans="36:36" x14ac:dyDescent="0.25">
      <c r="AJ357" s="809"/>
    </row>
    <row r="358" spans="36:36" x14ac:dyDescent="0.25">
      <c r="AJ358" s="809"/>
    </row>
    <row r="359" spans="36:36" x14ac:dyDescent="0.25">
      <c r="AJ359" s="809"/>
    </row>
    <row r="360" spans="36:36" x14ac:dyDescent="0.25">
      <c r="AJ360" s="809"/>
    </row>
    <row r="361" spans="36:36" x14ac:dyDescent="0.25">
      <c r="AJ361" s="809"/>
    </row>
    <row r="362" spans="36:36" x14ac:dyDescent="0.25">
      <c r="AJ362" s="809"/>
    </row>
    <row r="363" spans="36:36" x14ac:dyDescent="0.25">
      <c r="AJ363" s="809"/>
    </row>
    <row r="364" spans="36:36" x14ac:dyDescent="0.25">
      <c r="AJ364" s="809"/>
    </row>
    <row r="365" spans="36:36" x14ac:dyDescent="0.25">
      <c r="AJ365" s="809"/>
    </row>
    <row r="366" spans="36:36" x14ac:dyDescent="0.25">
      <c r="AJ366" s="809"/>
    </row>
    <row r="367" spans="36:36" x14ac:dyDescent="0.25">
      <c r="AJ367" s="809"/>
    </row>
    <row r="368" spans="36:36" x14ac:dyDescent="0.25">
      <c r="AJ368" s="809"/>
    </row>
    <row r="369" spans="36:36" x14ac:dyDescent="0.25">
      <c r="AJ369" s="809"/>
    </row>
    <row r="370" spans="36:36" x14ac:dyDescent="0.25">
      <c r="AJ370" s="809"/>
    </row>
    <row r="371" spans="36:36" x14ac:dyDescent="0.25">
      <c r="AJ371" s="809"/>
    </row>
    <row r="372" spans="36:36" x14ac:dyDescent="0.25">
      <c r="AJ372" s="809"/>
    </row>
    <row r="373" spans="36:36" x14ac:dyDescent="0.25">
      <c r="AJ373" s="809"/>
    </row>
    <row r="374" spans="36:36" x14ac:dyDescent="0.25">
      <c r="AJ374" s="809"/>
    </row>
    <row r="375" spans="36:36" x14ac:dyDescent="0.25">
      <c r="AJ375" s="809"/>
    </row>
    <row r="376" spans="36:36" x14ac:dyDescent="0.25">
      <c r="AJ376" s="809"/>
    </row>
    <row r="377" spans="36:36" x14ac:dyDescent="0.25">
      <c r="AJ377" s="809"/>
    </row>
    <row r="378" spans="36:36" x14ac:dyDescent="0.25">
      <c r="AJ378" s="809"/>
    </row>
    <row r="379" spans="36:36" x14ac:dyDescent="0.25">
      <c r="AJ379" s="809"/>
    </row>
    <row r="380" spans="36:36" x14ac:dyDescent="0.25">
      <c r="AJ380" s="809"/>
    </row>
    <row r="381" spans="36:36" x14ac:dyDescent="0.25">
      <c r="AJ381" s="809"/>
    </row>
    <row r="382" spans="36:36" x14ac:dyDescent="0.25">
      <c r="AJ382" s="809"/>
    </row>
    <row r="383" spans="36:36" x14ac:dyDescent="0.25">
      <c r="AJ383" s="809"/>
    </row>
    <row r="384" spans="36:36" x14ac:dyDescent="0.25">
      <c r="AJ384" s="809"/>
    </row>
    <row r="385" spans="36:36" x14ac:dyDescent="0.25">
      <c r="AJ385" s="809"/>
    </row>
    <row r="386" spans="36:36" x14ac:dyDescent="0.25">
      <c r="AJ386" s="809"/>
    </row>
    <row r="387" spans="36:36" x14ac:dyDescent="0.25">
      <c r="AJ387" s="809"/>
    </row>
    <row r="388" spans="36:36" x14ac:dyDescent="0.25">
      <c r="AJ388" s="809"/>
    </row>
    <row r="389" spans="36:36" x14ac:dyDescent="0.25">
      <c r="AJ389" s="809"/>
    </row>
    <row r="390" spans="36:36" x14ac:dyDescent="0.25">
      <c r="AJ390" s="809"/>
    </row>
    <row r="391" spans="36:36" x14ac:dyDescent="0.25">
      <c r="AJ391" s="809"/>
    </row>
    <row r="392" spans="36:36" x14ac:dyDescent="0.25">
      <c r="AJ392" s="809"/>
    </row>
    <row r="393" spans="36:36" x14ac:dyDescent="0.25">
      <c r="AJ393" s="809"/>
    </row>
    <row r="394" spans="36:36" x14ac:dyDescent="0.25">
      <c r="AJ394" s="809"/>
    </row>
    <row r="395" spans="36:36" x14ac:dyDescent="0.25">
      <c r="AJ395" s="809"/>
    </row>
    <row r="396" spans="36:36" x14ac:dyDescent="0.25">
      <c r="AJ396" s="809"/>
    </row>
    <row r="397" spans="36:36" x14ac:dyDescent="0.25">
      <c r="AJ397" s="809"/>
    </row>
    <row r="398" spans="36:36" x14ac:dyDescent="0.25">
      <c r="AJ398" s="809"/>
    </row>
    <row r="399" spans="36:36" x14ac:dyDescent="0.25">
      <c r="AJ399" s="809"/>
    </row>
    <row r="400" spans="36:36" x14ac:dyDescent="0.25">
      <c r="AJ400" s="809"/>
    </row>
    <row r="401" spans="36:36" x14ac:dyDescent="0.25">
      <c r="AJ401" s="809"/>
    </row>
    <row r="402" spans="36:36" x14ac:dyDescent="0.25">
      <c r="AJ402" s="809"/>
    </row>
    <row r="403" spans="36:36" x14ac:dyDescent="0.25">
      <c r="AJ403" s="809"/>
    </row>
    <row r="404" spans="36:36" x14ac:dyDescent="0.25">
      <c r="AJ404" s="809"/>
    </row>
    <row r="405" spans="36:36" x14ac:dyDescent="0.25">
      <c r="AJ405" s="809"/>
    </row>
    <row r="406" spans="36:36" x14ac:dyDescent="0.25">
      <c r="AJ406" s="809"/>
    </row>
    <row r="407" spans="36:36" x14ac:dyDescent="0.25">
      <c r="AJ407" s="809"/>
    </row>
    <row r="408" spans="36:36" x14ac:dyDescent="0.25">
      <c r="AJ408" s="809"/>
    </row>
    <row r="409" spans="36:36" x14ac:dyDescent="0.25">
      <c r="AJ409" s="809"/>
    </row>
    <row r="410" spans="36:36" x14ac:dyDescent="0.25">
      <c r="AJ410" s="809"/>
    </row>
    <row r="411" spans="36:36" x14ac:dyDescent="0.25">
      <c r="AJ411" s="809"/>
    </row>
    <row r="412" spans="36:36" x14ac:dyDescent="0.25">
      <c r="AJ412" s="809"/>
    </row>
    <row r="413" spans="36:36" x14ac:dyDescent="0.25">
      <c r="AJ413" s="809"/>
    </row>
    <row r="414" spans="36:36" x14ac:dyDescent="0.25">
      <c r="AJ414" s="809"/>
    </row>
    <row r="415" spans="36:36" x14ac:dyDescent="0.25">
      <c r="AJ415" s="809"/>
    </row>
    <row r="416" spans="36:36" x14ac:dyDescent="0.25">
      <c r="AJ416" s="809"/>
    </row>
    <row r="417" spans="36:36" x14ac:dyDescent="0.25">
      <c r="AJ417" s="809"/>
    </row>
    <row r="418" spans="36:36" x14ac:dyDescent="0.25">
      <c r="AJ418" s="809"/>
    </row>
    <row r="419" spans="36:36" x14ac:dyDescent="0.25">
      <c r="AJ419" s="809"/>
    </row>
    <row r="420" spans="36:36" x14ac:dyDescent="0.25">
      <c r="AJ420" s="809"/>
    </row>
    <row r="421" spans="36:36" x14ac:dyDescent="0.25">
      <c r="AJ421" s="809"/>
    </row>
    <row r="422" spans="36:36" x14ac:dyDescent="0.25">
      <c r="AJ422" s="809"/>
    </row>
    <row r="423" spans="36:36" x14ac:dyDescent="0.25">
      <c r="AJ423" s="809"/>
    </row>
    <row r="424" spans="36:36" x14ac:dyDescent="0.25">
      <c r="AJ424" s="809"/>
    </row>
    <row r="425" spans="36:36" x14ac:dyDescent="0.25">
      <c r="AJ425" s="809"/>
    </row>
    <row r="426" spans="36:36" x14ac:dyDescent="0.25">
      <c r="AJ426" s="809"/>
    </row>
    <row r="427" spans="36:36" x14ac:dyDescent="0.25">
      <c r="AJ427" s="809"/>
    </row>
    <row r="428" spans="36:36" x14ac:dyDescent="0.25">
      <c r="AJ428" s="809"/>
    </row>
    <row r="429" spans="36:36" x14ac:dyDescent="0.25">
      <c r="AJ429" s="809"/>
    </row>
    <row r="430" spans="36:36" x14ac:dyDescent="0.25">
      <c r="AJ430" s="809"/>
    </row>
    <row r="431" spans="36:36" x14ac:dyDescent="0.25">
      <c r="AJ431" s="809"/>
    </row>
    <row r="432" spans="36:36" x14ac:dyDescent="0.25">
      <c r="AJ432" s="809"/>
    </row>
    <row r="433" spans="36:36" x14ac:dyDescent="0.25">
      <c r="AJ433" s="809"/>
    </row>
    <row r="434" spans="36:36" x14ac:dyDescent="0.25">
      <c r="AJ434" s="809"/>
    </row>
    <row r="435" spans="36:36" x14ac:dyDescent="0.25">
      <c r="AJ435" s="809"/>
    </row>
    <row r="436" spans="36:36" x14ac:dyDescent="0.25">
      <c r="AJ436" s="809"/>
    </row>
    <row r="437" spans="36:36" x14ac:dyDescent="0.25">
      <c r="AJ437" s="809"/>
    </row>
    <row r="438" spans="36:36" x14ac:dyDescent="0.25">
      <c r="AJ438" s="809"/>
    </row>
    <row r="439" spans="36:36" x14ac:dyDescent="0.25">
      <c r="AJ439" s="809"/>
    </row>
    <row r="440" spans="36:36" x14ac:dyDescent="0.25">
      <c r="AJ440" s="809"/>
    </row>
    <row r="441" spans="36:36" x14ac:dyDescent="0.25">
      <c r="AJ441" s="809"/>
    </row>
    <row r="442" spans="36:36" x14ac:dyDescent="0.25">
      <c r="AJ442" s="809"/>
    </row>
    <row r="443" spans="36:36" x14ac:dyDescent="0.25">
      <c r="AJ443" s="809"/>
    </row>
    <row r="444" spans="36:36" x14ac:dyDescent="0.25">
      <c r="AJ444" s="809"/>
    </row>
    <row r="445" spans="36:36" x14ac:dyDescent="0.25">
      <c r="AJ445" s="809"/>
    </row>
    <row r="446" spans="36:36" x14ac:dyDescent="0.25">
      <c r="AJ446" s="809"/>
    </row>
    <row r="447" spans="36:36" x14ac:dyDescent="0.25">
      <c r="AJ447" s="809"/>
    </row>
    <row r="448" spans="36:36" x14ac:dyDescent="0.25">
      <c r="AJ448" s="809"/>
    </row>
    <row r="449" spans="36:36" x14ac:dyDescent="0.25">
      <c r="AJ449" s="809"/>
    </row>
    <row r="450" spans="36:36" x14ac:dyDescent="0.25">
      <c r="AJ450" s="809"/>
    </row>
    <row r="451" spans="36:36" x14ac:dyDescent="0.25">
      <c r="AJ451" s="809"/>
    </row>
    <row r="452" spans="36:36" x14ac:dyDescent="0.25">
      <c r="AJ452" s="809"/>
    </row>
    <row r="453" spans="36:36" x14ac:dyDescent="0.25">
      <c r="AJ453" s="809"/>
    </row>
    <row r="454" spans="36:36" x14ac:dyDescent="0.25">
      <c r="AJ454" s="809"/>
    </row>
    <row r="455" spans="36:36" x14ac:dyDescent="0.25">
      <c r="AJ455" s="809"/>
    </row>
    <row r="456" spans="36:36" x14ac:dyDescent="0.25">
      <c r="AJ456" s="809"/>
    </row>
    <row r="457" spans="36:36" x14ac:dyDescent="0.25">
      <c r="AJ457" s="809"/>
    </row>
    <row r="458" spans="36:36" x14ac:dyDescent="0.25">
      <c r="AJ458" s="809"/>
    </row>
    <row r="459" spans="36:36" x14ac:dyDescent="0.25">
      <c r="AJ459" s="809"/>
    </row>
    <row r="460" spans="36:36" x14ac:dyDescent="0.25">
      <c r="AJ460" s="809"/>
    </row>
    <row r="461" spans="36:36" x14ac:dyDescent="0.25">
      <c r="AJ461" s="809"/>
    </row>
    <row r="462" spans="36:36" x14ac:dyDescent="0.25">
      <c r="AJ462" s="809"/>
    </row>
    <row r="463" spans="36:36" x14ac:dyDescent="0.25">
      <c r="AJ463" s="809"/>
    </row>
    <row r="464" spans="36:36" x14ac:dyDescent="0.25">
      <c r="AJ464" s="809"/>
    </row>
    <row r="465" spans="36:36" x14ac:dyDescent="0.25">
      <c r="AJ465" s="809"/>
    </row>
    <row r="466" spans="36:36" x14ac:dyDescent="0.25">
      <c r="AJ466" s="809"/>
    </row>
    <row r="467" spans="36:36" x14ac:dyDescent="0.25">
      <c r="AJ467" s="809"/>
    </row>
    <row r="468" spans="36:36" x14ac:dyDescent="0.25">
      <c r="AJ468" s="809"/>
    </row>
    <row r="469" spans="36:36" x14ac:dyDescent="0.25">
      <c r="AJ469" s="809"/>
    </row>
    <row r="470" spans="36:36" x14ac:dyDescent="0.25">
      <c r="AJ470" s="809"/>
    </row>
    <row r="471" spans="36:36" x14ac:dyDescent="0.25">
      <c r="AJ471" s="809"/>
    </row>
    <row r="472" spans="36:36" x14ac:dyDescent="0.25">
      <c r="AJ472" s="809"/>
    </row>
    <row r="473" spans="36:36" x14ac:dyDescent="0.25">
      <c r="AJ473" s="809"/>
    </row>
    <row r="474" spans="36:36" x14ac:dyDescent="0.25">
      <c r="AJ474" s="809"/>
    </row>
    <row r="475" spans="36:36" x14ac:dyDescent="0.25">
      <c r="AJ475" s="809"/>
    </row>
    <row r="476" spans="36:36" x14ac:dyDescent="0.25">
      <c r="AJ476" s="809"/>
    </row>
    <row r="477" spans="36:36" x14ac:dyDescent="0.25">
      <c r="AJ477" s="809"/>
    </row>
    <row r="478" spans="36:36" x14ac:dyDescent="0.25">
      <c r="AJ478" s="809"/>
    </row>
    <row r="479" spans="36:36" x14ac:dyDescent="0.25">
      <c r="AJ479" s="809"/>
    </row>
    <row r="480" spans="36:36" x14ac:dyDescent="0.25">
      <c r="AJ480" s="809"/>
    </row>
    <row r="481" spans="36:36" x14ac:dyDescent="0.25">
      <c r="AJ481" s="809"/>
    </row>
    <row r="482" spans="36:36" x14ac:dyDescent="0.25">
      <c r="AJ482" s="809"/>
    </row>
    <row r="483" spans="36:36" x14ac:dyDescent="0.25">
      <c r="AJ483" s="809"/>
    </row>
    <row r="484" spans="36:36" x14ac:dyDescent="0.25">
      <c r="AJ484" s="809"/>
    </row>
    <row r="485" spans="36:36" x14ac:dyDescent="0.25">
      <c r="AJ485" s="809"/>
    </row>
    <row r="486" spans="36:36" x14ac:dyDescent="0.25">
      <c r="AJ486" s="809"/>
    </row>
    <row r="487" spans="36:36" x14ac:dyDescent="0.25">
      <c r="AJ487" s="809"/>
    </row>
    <row r="488" spans="36:36" x14ac:dyDescent="0.25">
      <c r="AJ488" s="809"/>
    </row>
    <row r="489" spans="36:36" x14ac:dyDescent="0.25">
      <c r="AJ489" s="809"/>
    </row>
    <row r="490" spans="36:36" x14ac:dyDescent="0.25">
      <c r="AJ490" s="809"/>
    </row>
    <row r="491" spans="36:36" x14ac:dyDescent="0.25">
      <c r="AJ491" s="809"/>
    </row>
    <row r="492" spans="36:36" x14ac:dyDescent="0.25">
      <c r="AJ492" s="809"/>
    </row>
    <row r="493" spans="36:36" x14ac:dyDescent="0.25">
      <c r="AJ493" s="809"/>
    </row>
    <row r="494" spans="36:36" x14ac:dyDescent="0.25">
      <c r="AJ494" s="809"/>
    </row>
    <row r="495" spans="36:36" x14ac:dyDescent="0.25">
      <c r="AJ495" s="809"/>
    </row>
    <row r="496" spans="36:36" x14ac:dyDescent="0.25">
      <c r="AJ496" s="809"/>
    </row>
    <row r="497" spans="36:36" x14ac:dyDescent="0.25">
      <c r="AJ497" s="809"/>
    </row>
    <row r="498" spans="36:36" x14ac:dyDescent="0.25">
      <c r="AJ498" s="809"/>
    </row>
    <row r="499" spans="36:36" x14ac:dyDescent="0.25">
      <c r="AJ499" s="809"/>
    </row>
    <row r="500" spans="36:36" x14ac:dyDescent="0.25">
      <c r="AJ500" s="809"/>
    </row>
    <row r="501" spans="36:36" x14ac:dyDescent="0.25">
      <c r="AJ501" s="809"/>
    </row>
    <row r="502" spans="36:36" x14ac:dyDescent="0.25">
      <c r="AJ502" s="809"/>
    </row>
    <row r="503" spans="36:36" x14ac:dyDescent="0.25">
      <c r="AJ503" s="809"/>
    </row>
    <row r="504" spans="36:36" x14ac:dyDescent="0.25">
      <c r="AJ504" s="809"/>
    </row>
    <row r="505" spans="36:36" x14ac:dyDescent="0.25">
      <c r="AJ505" s="809"/>
    </row>
    <row r="506" spans="36:36" x14ac:dyDescent="0.25">
      <c r="AJ506" s="809"/>
    </row>
    <row r="507" spans="36:36" x14ac:dyDescent="0.25">
      <c r="AJ507" s="809"/>
    </row>
    <row r="508" spans="36:36" x14ac:dyDescent="0.25">
      <c r="AJ508" s="809"/>
    </row>
    <row r="509" spans="36:36" x14ac:dyDescent="0.25">
      <c r="AJ509" s="809"/>
    </row>
    <row r="510" spans="36:36" x14ac:dyDescent="0.25">
      <c r="AJ510" s="809"/>
    </row>
    <row r="511" spans="36:36" x14ac:dyDescent="0.25">
      <c r="AJ511" s="809"/>
    </row>
    <row r="512" spans="36:36" x14ac:dyDescent="0.25">
      <c r="AJ512" s="809"/>
    </row>
    <row r="513" spans="36:36" x14ac:dyDescent="0.25">
      <c r="AJ513" s="809"/>
    </row>
    <row r="514" spans="36:36" x14ac:dyDescent="0.25">
      <c r="AJ514" s="809"/>
    </row>
    <row r="515" spans="36:36" x14ac:dyDescent="0.25">
      <c r="AJ515" s="809"/>
    </row>
    <row r="516" spans="36:36" x14ac:dyDescent="0.25">
      <c r="AJ516" s="809"/>
    </row>
    <row r="517" spans="36:36" x14ac:dyDescent="0.25">
      <c r="AJ517" s="809"/>
    </row>
    <row r="518" spans="36:36" x14ac:dyDescent="0.25">
      <c r="AJ518" s="809"/>
    </row>
    <row r="519" spans="36:36" x14ac:dyDescent="0.25">
      <c r="AJ519" s="809"/>
    </row>
    <row r="520" spans="36:36" x14ac:dyDescent="0.25">
      <c r="AJ520" s="809"/>
    </row>
    <row r="521" spans="36:36" x14ac:dyDescent="0.25">
      <c r="AJ521" s="809"/>
    </row>
    <row r="522" spans="36:36" x14ac:dyDescent="0.25">
      <c r="AJ522" s="809"/>
    </row>
    <row r="523" spans="36:36" x14ac:dyDescent="0.25">
      <c r="AJ523" s="809"/>
    </row>
    <row r="524" spans="36:36" x14ac:dyDescent="0.25">
      <c r="AJ524" s="809"/>
    </row>
    <row r="525" spans="36:36" x14ac:dyDescent="0.25">
      <c r="AJ525" s="809"/>
    </row>
    <row r="526" spans="36:36" x14ac:dyDescent="0.25">
      <c r="AJ526" s="809"/>
    </row>
    <row r="527" spans="36:36" x14ac:dyDescent="0.25">
      <c r="AJ527" s="809"/>
    </row>
    <row r="528" spans="36:36" x14ac:dyDescent="0.25">
      <c r="AJ528" s="809"/>
    </row>
    <row r="529" spans="36:36" x14ac:dyDescent="0.25">
      <c r="AJ529" s="809"/>
    </row>
    <row r="530" spans="36:36" x14ac:dyDescent="0.25">
      <c r="AJ530" s="809"/>
    </row>
    <row r="531" spans="36:36" x14ac:dyDescent="0.25">
      <c r="AJ531" s="809"/>
    </row>
    <row r="532" spans="36:36" x14ac:dyDescent="0.25">
      <c r="AJ532" s="809"/>
    </row>
    <row r="533" spans="36:36" x14ac:dyDescent="0.25">
      <c r="AJ533" s="809"/>
    </row>
    <row r="534" spans="36:36" x14ac:dyDescent="0.25">
      <c r="AJ534" s="809"/>
    </row>
    <row r="535" spans="36:36" x14ac:dyDescent="0.25">
      <c r="AJ535" s="809"/>
    </row>
    <row r="536" spans="36:36" x14ac:dyDescent="0.25">
      <c r="AJ536" s="809"/>
    </row>
    <row r="537" spans="36:36" x14ac:dyDescent="0.25">
      <c r="AJ537" s="809"/>
    </row>
    <row r="538" spans="36:36" x14ac:dyDescent="0.25">
      <c r="AJ538" s="809"/>
    </row>
    <row r="539" spans="36:36" x14ac:dyDescent="0.25">
      <c r="AJ539" s="809"/>
    </row>
    <row r="540" spans="36:36" x14ac:dyDescent="0.25">
      <c r="AJ540" s="809"/>
    </row>
    <row r="541" spans="36:36" x14ac:dyDescent="0.25">
      <c r="AJ541" s="809"/>
    </row>
    <row r="542" spans="36:36" x14ac:dyDescent="0.25">
      <c r="AJ542" s="809"/>
    </row>
    <row r="543" spans="36:36" x14ac:dyDescent="0.25">
      <c r="AJ543" s="809"/>
    </row>
    <row r="544" spans="36:36" x14ac:dyDescent="0.25">
      <c r="AJ544" s="809"/>
    </row>
    <row r="545" spans="36:36" x14ac:dyDescent="0.25">
      <c r="AJ545" s="809"/>
    </row>
    <row r="546" spans="36:36" x14ac:dyDescent="0.25">
      <c r="AJ546" s="809"/>
    </row>
    <row r="547" spans="36:36" x14ac:dyDescent="0.25">
      <c r="AJ547" s="809"/>
    </row>
    <row r="548" spans="36:36" x14ac:dyDescent="0.25">
      <c r="AJ548" s="809"/>
    </row>
    <row r="549" spans="36:36" x14ac:dyDescent="0.25">
      <c r="AJ549" s="809"/>
    </row>
    <row r="550" spans="36:36" x14ac:dyDescent="0.25">
      <c r="AJ550" s="809"/>
    </row>
    <row r="551" spans="36:36" x14ac:dyDescent="0.25">
      <c r="AJ551" s="809"/>
    </row>
    <row r="552" spans="36:36" x14ac:dyDescent="0.25">
      <c r="AJ552" s="809"/>
    </row>
    <row r="553" spans="36:36" x14ac:dyDescent="0.25">
      <c r="AJ553" s="809"/>
    </row>
    <row r="554" spans="36:36" x14ac:dyDescent="0.25">
      <c r="AJ554" s="809"/>
    </row>
    <row r="555" spans="36:36" x14ac:dyDescent="0.25">
      <c r="AJ555" s="809"/>
    </row>
    <row r="556" spans="36:36" x14ac:dyDescent="0.25">
      <c r="AJ556" s="809"/>
    </row>
    <row r="557" spans="36:36" x14ac:dyDescent="0.25">
      <c r="AJ557" s="809"/>
    </row>
    <row r="558" spans="36:36" x14ac:dyDescent="0.25">
      <c r="AJ558" s="809"/>
    </row>
    <row r="559" spans="36:36" x14ac:dyDescent="0.25">
      <c r="AJ559" s="809"/>
    </row>
    <row r="560" spans="36:36" x14ac:dyDescent="0.25">
      <c r="AJ560" s="809"/>
    </row>
    <row r="561" spans="36:36" x14ac:dyDescent="0.25">
      <c r="AJ561" s="809"/>
    </row>
    <row r="562" spans="36:36" x14ac:dyDescent="0.25">
      <c r="AJ562" s="809"/>
    </row>
    <row r="563" spans="36:36" x14ac:dyDescent="0.25">
      <c r="AJ563" s="809"/>
    </row>
    <row r="564" spans="36:36" x14ac:dyDescent="0.25">
      <c r="AJ564" s="809"/>
    </row>
    <row r="565" spans="36:36" x14ac:dyDescent="0.25">
      <c r="AJ565" s="809"/>
    </row>
    <row r="566" spans="36:36" x14ac:dyDescent="0.25">
      <c r="AJ566" s="809"/>
    </row>
    <row r="567" spans="36:36" x14ac:dyDescent="0.25">
      <c r="AJ567" s="809"/>
    </row>
    <row r="568" spans="36:36" x14ac:dyDescent="0.25">
      <c r="AJ568" s="809"/>
    </row>
    <row r="569" spans="36:36" x14ac:dyDescent="0.25">
      <c r="AJ569" s="809"/>
    </row>
    <row r="570" spans="36:36" x14ac:dyDescent="0.25">
      <c r="AJ570" s="809"/>
    </row>
    <row r="571" spans="36:36" x14ac:dyDescent="0.25">
      <c r="AJ571" s="809"/>
    </row>
    <row r="572" spans="36:36" x14ac:dyDescent="0.25">
      <c r="AJ572" s="809"/>
    </row>
    <row r="573" spans="36:36" x14ac:dyDescent="0.25">
      <c r="AJ573" s="809"/>
    </row>
    <row r="574" spans="36:36" x14ac:dyDescent="0.25">
      <c r="AJ574" s="809"/>
    </row>
    <row r="575" spans="36:36" x14ac:dyDescent="0.25">
      <c r="AJ575" s="809"/>
    </row>
    <row r="576" spans="36:36" x14ac:dyDescent="0.25">
      <c r="AJ576" s="809"/>
    </row>
    <row r="577" spans="36:36" x14ac:dyDescent="0.25">
      <c r="AJ577" s="809"/>
    </row>
    <row r="578" spans="36:36" x14ac:dyDescent="0.25">
      <c r="AJ578" s="809"/>
    </row>
    <row r="579" spans="36:36" x14ac:dyDescent="0.25">
      <c r="AJ579" s="809"/>
    </row>
    <row r="580" spans="36:36" x14ac:dyDescent="0.25">
      <c r="AJ580" s="809"/>
    </row>
    <row r="581" spans="36:36" x14ac:dyDescent="0.25">
      <c r="AJ581" s="809"/>
    </row>
    <row r="582" spans="36:36" x14ac:dyDescent="0.25">
      <c r="AJ582" s="809"/>
    </row>
    <row r="583" spans="36:36" x14ac:dyDescent="0.25">
      <c r="AJ583" s="809"/>
    </row>
    <row r="584" spans="36:36" x14ac:dyDescent="0.25">
      <c r="AJ584" s="809"/>
    </row>
    <row r="585" spans="36:36" x14ac:dyDescent="0.25">
      <c r="AJ585" s="809"/>
    </row>
    <row r="586" spans="36:36" x14ac:dyDescent="0.25">
      <c r="AJ586" s="809"/>
    </row>
    <row r="587" spans="36:36" x14ac:dyDescent="0.25">
      <c r="AJ587" s="809"/>
    </row>
    <row r="588" spans="36:36" x14ac:dyDescent="0.25">
      <c r="AJ588" s="809"/>
    </row>
    <row r="589" spans="36:36" x14ac:dyDescent="0.25">
      <c r="AJ589" s="809"/>
    </row>
    <row r="590" spans="36:36" x14ac:dyDescent="0.25">
      <c r="AJ590" s="809"/>
    </row>
    <row r="591" spans="36:36" x14ac:dyDescent="0.25">
      <c r="AJ591" s="809"/>
    </row>
    <row r="592" spans="36:36" x14ac:dyDescent="0.25">
      <c r="AJ592" s="809"/>
    </row>
    <row r="593" spans="36:36" x14ac:dyDescent="0.25">
      <c r="AJ593" s="809"/>
    </row>
    <row r="594" spans="36:36" x14ac:dyDescent="0.25">
      <c r="AJ594" s="809"/>
    </row>
    <row r="595" spans="36:36" x14ac:dyDescent="0.25">
      <c r="AJ595" s="809"/>
    </row>
    <row r="596" spans="36:36" x14ac:dyDescent="0.25">
      <c r="AJ596" s="809"/>
    </row>
    <row r="597" spans="36:36" x14ac:dyDescent="0.25">
      <c r="AJ597" s="809"/>
    </row>
    <row r="598" spans="36:36" x14ac:dyDescent="0.25">
      <c r="AJ598" s="809"/>
    </row>
    <row r="599" spans="36:36" x14ac:dyDescent="0.25">
      <c r="AJ599" s="809"/>
    </row>
    <row r="600" spans="36:36" x14ac:dyDescent="0.25">
      <c r="AJ600" s="809"/>
    </row>
    <row r="601" spans="36:36" x14ac:dyDescent="0.25">
      <c r="AJ601" s="809"/>
    </row>
    <row r="602" spans="36:36" x14ac:dyDescent="0.25">
      <c r="AJ602" s="809"/>
    </row>
    <row r="603" spans="36:36" x14ac:dyDescent="0.25">
      <c r="AJ603" s="809"/>
    </row>
    <row r="604" spans="36:36" x14ac:dyDescent="0.25">
      <c r="AJ604" s="809"/>
    </row>
    <row r="605" spans="36:36" x14ac:dyDescent="0.25">
      <c r="AJ605" s="809"/>
    </row>
    <row r="606" spans="36:36" x14ac:dyDescent="0.25">
      <c r="AJ606" s="809"/>
    </row>
    <row r="607" spans="36:36" x14ac:dyDescent="0.25">
      <c r="AJ607" s="809"/>
    </row>
    <row r="608" spans="36:36" x14ac:dyDescent="0.25">
      <c r="AJ608" s="809"/>
    </row>
    <row r="609" spans="36:36" x14ac:dyDescent="0.25">
      <c r="AJ609" s="809"/>
    </row>
    <row r="610" spans="36:36" x14ac:dyDescent="0.25">
      <c r="AJ610" s="809"/>
    </row>
    <row r="611" spans="36:36" x14ac:dyDescent="0.25">
      <c r="AJ611" s="809"/>
    </row>
    <row r="612" spans="36:36" x14ac:dyDescent="0.25">
      <c r="AJ612" s="809"/>
    </row>
    <row r="613" spans="36:36" x14ac:dyDescent="0.25">
      <c r="AJ613" s="809"/>
    </row>
    <row r="614" spans="36:36" x14ac:dyDescent="0.25">
      <c r="AJ614" s="809"/>
    </row>
    <row r="615" spans="36:36" x14ac:dyDescent="0.25">
      <c r="AJ615" s="809"/>
    </row>
    <row r="616" spans="36:36" x14ac:dyDescent="0.25">
      <c r="AJ616" s="809"/>
    </row>
    <row r="617" spans="36:36" x14ac:dyDescent="0.25">
      <c r="AJ617" s="809"/>
    </row>
    <row r="618" spans="36:36" x14ac:dyDescent="0.25">
      <c r="AJ618" s="809"/>
    </row>
    <row r="619" spans="36:36" x14ac:dyDescent="0.25">
      <c r="AJ619" s="809"/>
    </row>
    <row r="620" spans="36:36" x14ac:dyDescent="0.25">
      <c r="AJ620" s="809"/>
    </row>
    <row r="621" spans="36:36" x14ac:dyDescent="0.25">
      <c r="AJ621" s="809"/>
    </row>
    <row r="622" spans="36:36" x14ac:dyDescent="0.25">
      <c r="AJ622" s="809"/>
    </row>
    <row r="623" spans="36:36" x14ac:dyDescent="0.25">
      <c r="AJ623" s="809"/>
    </row>
    <row r="624" spans="36:36" x14ac:dyDescent="0.25">
      <c r="AJ624" s="809"/>
    </row>
    <row r="625" spans="36:36" x14ac:dyDescent="0.25">
      <c r="AJ625" s="809"/>
    </row>
    <row r="626" spans="36:36" x14ac:dyDescent="0.25">
      <c r="AJ626" s="809"/>
    </row>
    <row r="627" spans="36:36" x14ac:dyDescent="0.25">
      <c r="AJ627" s="809"/>
    </row>
    <row r="628" spans="36:36" x14ac:dyDescent="0.25">
      <c r="AJ628" s="809"/>
    </row>
    <row r="629" spans="36:36" x14ac:dyDescent="0.25">
      <c r="AJ629" s="809"/>
    </row>
    <row r="630" spans="36:36" x14ac:dyDescent="0.25">
      <c r="AJ630" s="809"/>
    </row>
    <row r="631" spans="36:36" x14ac:dyDescent="0.25">
      <c r="AJ631" s="809"/>
    </row>
    <row r="632" spans="36:36" x14ac:dyDescent="0.25">
      <c r="AJ632" s="809"/>
    </row>
    <row r="633" spans="36:36" x14ac:dyDescent="0.25">
      <c r="AJ633" s="809"/>
    </row>
    <row r="634" spans="36:36" x14ac:dyDescent="0.25">
      <c r="AJ634" s="809"/>
    </row>
    <row r="635" spans="36:36" x14ac:dyDescent="0.25">
      <c r="AJ635" s="809"/>
    </row>
    <row r="636" spans="36:36" x14ac:dyDescent="0.25">
      <c r="AJ636" s="809"/>
    </row>
    <row r="637" spans="36:36" x14ac:dyDescent="0.25">
      <c r="AJ637" s="809"/>
    </row>
    <row r="638" spans="36:36" x14ac:dyDescent="0.25">
      <c r="AJ638" s="809"/>
    </row>
    <row r="639" spans="36:36" x14ac:dyDescent="0.25">
      <c r="AJ639" s="809"/>
    </row>
    <row r="640" spans="36:36" x14ac:dyDescent="0.25">
      <c r="AJ640" s="809"/>
    </row>
    <row r="641" spans="36:36" x14ac:dyDescent="0.25">
      <c r="AJ641" s="809"/>
    </row>
    <row r="642" spans="36:36" x14ac:dyDescent="0.25">
      <c r="AJ642" s="809"/>
    </row>
    <row r="643" spans="36:36" x14ac:dyDescent="0.25">
      <c r="AJ643" s="809"/>
    </row>
    <row r="644" spans="36:36" x14ac:dyDescent="0.25">
      <c r="AJ644" s="809"/>
    </row>
    <row r="645" spans="36:36" x14ac:dyDescent="0.25">
      <c r="AJ645" s="809"/>
    </row>
    <row r="646" spans="36:36" x14ac:dyDescent="0.25">
      <c r="AJ646" s="809"/>
    </row>
    <row r="647" spans="36:36" x14ac:dyDescent="0.25">
      <c r="AJ647" s="809"/>
    </row>
    <row r="648" spans="36:36" x14ac:dyDescent="0.25">
      <c r="AJ648" s="809"/>
    </row>
    <row r="649" spans="36:36" x14ac:dyDescent="0.25">
      <c r="AJ649" s="809"/>
    </row>
    <row r="650" spans="36:36" x14ac:dyDescent="0.25">
      <c r="AJ650" s="809"/>
    </row>
    <row r="651" spans="36:36" x14ac:dyDescent="0.25">
      <c r="AJ651" s="809"/>
    </row>
    <row r="652" spans="36:36" x14ac:dyDescent="0.25">
      <c r="AJ652" s="809"/>
    </row>
    <row r="653" spans="36:36" x14ac:dyDescent="0.25">
      <c r="AJ653" s="809"/>
    </row>
    <row r="654" spans="36:36" x14ac:dyDescent="0.25">
      <c r="AJ654" s="809"/>
    </row>
    <row r="655" spans="36:36" x14ac:dyDescent="0.25">
      <c r="AJ655" s="809"/>
    </row>
    <row r="656" spans="36:36" x14ac:dyDescent="0.25">
      <c r="AJ656" s="809"/>
    </row>
    <row r="657" spans="36:36" x14ac:dyDescent="0.25">
      <c r="AJ657" s="809"/>
    </row>
    <row r="658" spans="36:36" x14ac:dyDescent="0.25">
      <c r="AJ658" s="809"/>
    </row>
    <row r="659" spans="36:36" x14ac:dyDescent="0.25">
      <c r="AJ659" s="809"/>
    </row>
    <row r="660" spans="36:36" x14ac:dyDescent="0.25">
      <c r="AJ660" s="809"/>
    </row>
    <row r="661" spans="36:36" x14ac:dyDescent="0.25">
      <c r="AJ661" s="809"/>
    </row>
    <row r="662" spans="36:36" x14ac:dyDescent="0.25">
      <c r="AJ662" s="809"/>
    </row>
    <row r="663" spans="36:36" x14ac:dyDescent="0.25">
      <c r="AJ663" s="809"/>
    </row>
    <row r="664" spans="36:36" x14ac:dyDescent="0.25">
      <c r="AJ664" s="809"/>
    </row>
    <row r="665" spans="36:36" x14ac:dyDescent="0.25">
      <c r="AJ665" s="809"/>
    </row>
    <row r="666" spans="36:36" x14ac:dyDescent="0.25">
      <c r="AJ666" s="809"/>
    </row>
    <row r="667" spans="36:36" x14ac:dyDescent="0.25">
      <c r="AJ667" s="809"/>
    </row>
    <row r="668" spans="36:36" x14ac:dyDescent="0.25">
      <c r="AJ668" s="809"/>
    </row>
    <row r="669" spans="36:36" x14ac:dyDescent="0.25">
      <c r="AJ669" s="809"/>
    </row>
    <row r="670" spans="36:36" x14ac:dyDescent="0.25">
      <c r="AJ670" s="809"/>
    </row>
    <row r="671" spans="36:36" x14ac:dyDescent="0.25">
      <c r="AJ671" s="809"/>
    </row>
    <row r="672" spans="36:36" x14ac:dyDescent="0.25">
      <c r="AJ672" s="809"/>
    </row>
    <row r="673" spans="36:36" x14ac:dyDescent="0.25">
      <c r="AJ673" s="809"/>
    </row>
    <row r="674" spans="36:36" x14ac:dyDescent="0.25">
      <c r="AJ674" s="809"/>
    </row>
    <row r="675" spans="36:36" x14ac:dyDescent="0.25">
      <c r="AJ675" s="809"/>
    </row>
    <row r="676" spans="36:36" x14ac:dyDescent="0.25">
      <c r="AJ676" s="809"/>
    </row>
    <row r="677" spans="36:36" x14ac:dyDescent="0.25">
      <c r="AJ677" s="809"/>
    </row>
    <row r="678" spans="36:36" x14ac:dyDescent="0.25">
      <c r="AJ678" s="809"/>
    </row>
    <row r="679" spans="36:36" x14ac:dyDescent="0.25">
      <c r="AJ679" s="809"/>
    </row>
    <row r="680" spans="36:36" x14ac:dyDescent="0.25">
      <c r="AJ680" s="809"/>
    </row>
    <row r="681" spans="36:36" x14ac:dyDescent="0.25">
      <c r="AJ681" s="809"/>
    </row>
    <row r="682" spans="36:36" x14ac:dyDescent="0.25">
      <c r="AJ682" s="809"/>
    </row>
    <row r="683" spans="36:36" x14ac:dyDescent="0.25">
      <c r="AJ683" s="809"/>
    </row>
    <row r="684" spans="36:36" x14ac:dyDescent="0.25">
      <c r="AJ684" s="809"/>
    </row>
    <row r="685" spans="36:36" x14ac:dyDescent="0.25">
      <c r="AJ685" s="809"/>
    </row>
    <row r="686" spans="36:36" x14ac:dyDescent="0.25">
      <c r="AJ686" s="809"/>
    </row>
    <row r="687" spans="36:36" x14ac:dyDescent="0.25">
      <c r="AJ687" s="809"/>
    </row>
    <row r="688" spans="36:36" x14ac:dyDescent="0.25">
      <c r="AJ688" s="809"/>
    </row>
    <row r="689" spans="36:36" x14ac:dyDescent="0.25">
      <c r="AJ689" s="809"/>
    </row>
    <row r="690" spans="36:36" x14ac:dyDescent="0.25">
      <c r="AJ690" s="809"/>
    </row>
    <row r="691" spans="36:36" x14ac:dyDescent="0.25">
      <c r="AJ691" s="809"/>
    </row>
    <row r="692" spans="36:36" x14ac:dyDescent="0.25">
      <c r="AJ692" s="809"/>
    </row>
    <row r="693" spans="36:36" x14ac:dyDescent="0.25">
      <c r="AJ693" s="809"/>
    </row>
    <row r="694" spans="36:36" x14ac:dyDescent="0.25">
      <c r="AJ694" s="809"/>
    </row>
    <row r="695" spans="36:36" x14ac:dyDescent="0.25">
      <c r="AJ695" s="809"/>
    </row>
    <row r="696" spans="36:36" x14ac:dyDescent="0.25">
      <c r="AJ696" s="809"/>
    </row>
    <row r="697" spans="36:36" x14ac:dyDescent="0.25">
      <c r="AJ697" s="809"/>
    </row>
    <row r="698" spans="36:36" x14ac:dyDescent="0.25">
      <c r="AJ698" s="809"/>
    </row>
    <row r="699" spans="36:36" x14ac:dyDescent="0.25">
      <c r="AJ699" s="809"/>
    </row>
    <row r="700" spans="36:36" x14ac:dyDescent="0.25">
      <c r="AJ700" s="809"/>
    </row>
    <row r="701" spans="36:36" x14ac:dyDescent="0.25">
      <c r="AJ701" s="809"/>
    </row>
    <row r="702" spans="36:36" x14ac:dyDescent="0.25">
      <c r="AJ702" s="809"/>
    </row>
    <row r="703" spans="36:36" x14ac:dyDescent="0.25">
      <c r="AJ703" s="809"/>
    </row>
    <row r="704" spans="36:36" x14ac:dyDescent="0.25">
      <c r="AJ704" s="809"/>
    </row>
    <row r="705" spans="36:36" x14ac:dyDescent="0.25">
      <c r="AJ705" s="809"/>
    </row>
    <row r="706" spans="36:36" x14ac:dyDescent="0.25">
      <c r="AJ706" s="809"/>
    </row>
    <row r="707" spans="36:36" x14ac:dyDescent="0.25">
      <c r="AJ707" s="809"/>
    </row>
    <row r="708" spans="36:36" x14ac:dyDescent="0.25">
      <c r="AJ708" s="809"/>
    </row>
    <row r="709" spans="36:36" x14ac:dyDescent="0.25">
      <c r="AJ709" s="809"/>
    </row>
    <row r="710" spans="36:36" x14ac:dyDescent="0.25">
      <c r="AJ710" s="809"/>
    </row>
    <row r="711" spans="36:36" x14ac:dyDescent="0.25">
      <c r="AJ711" s="809"/>
    </row>
    <row r="712" spans="36:36" x14ac:dyDescent="0.25">
      <c r="AJ712" s="809"/>
    </row>
    <row r="713" spans="36:36" x14ac:dyDescent="0.25">
      <c r="AJ713" s="809"/>
    </row>
    <row r="714" spans="36:36" x14ac:dyDescent="0.25">
      <c r="AJ714" s="809"/>
    </row>
    <row r="715" spans="36:36" x14ac:dyDescent="0.25">
      <c r="AJ715" s="809"/>
    </row>
    <row r="716" spans="36:36" x14ac:dyDescent="0.25">
      <c r="AJ716" s="809"/>
    </row>
    <row r="717" spans="36:36" x14ac:dyDescent="0.25">
      <c r="AJ717" s="809"/>
    </row>
    <row r="718" spans="36:36" x14ac:dyDescent="0.25">
      <c r="AJ718" s="809"/>
    </row>
    <row r="719" spans="36:36" x14ac:dyDescent="0.25">
      <c r="AJ719" s="809"/>
    </row>
    <row r="720" spans="36:36" x14ac:dyDescent="0.25">
      <c r="AJ720" s="809"/>
    </row>
    <row r="721" spans="36:36" x14ac:dyDescent="0.25">
      <c r="AJ721" s="809"/>
    </row>
    <row r="722" spans="36:36" x14ac:dyDescent="0.25">
      <c r="AJ722" s="809"/>
    </row>
    <row r="723" spans="36:36" x14ac:dyDescent="0.25">
      <c r="AJ723" s="809"/>
    </row>
    <row r="724" spans="36:36" x14ac:dyDescent="0.25">
      <c r="AJ724" s="809"/>
    </row>
    <row r="725" spans="36:36" x14ac:dyDescent="0.25">
      <c r="AJ725" s="809"/>
    </row>
    <row r="726" spans="36:36" x14ac:dyDescent="0.25">
      <c r="AJ726" s="809"/>
    </row>
    <row r="727" spans="36:36" x14ac:dyDescent="0.25">
      <c r="AJ727" s="809"/>
    </row>
    <row r="728" spans="36:36" x14ac:dyDescent="0.25">
      <c r="AJ728" s="809"/>
    </row>
    <row r="729" spans="36:36" x14ac:dyDescent="0.25">
      <c r="AJ729" s="809"/>
    </row>
    <row r="730" spans="36:36" x14ac:dyDescent="0.25">
      <c r="AJ730" s="809"/>
    </row>
    <row r="731" spans="36:36" x14ac:dyDescent="0.25">
      <c r="AJ731" s="809"/>
    </row>
    <row r="732" spans="36:36" x14ac:dyDescent="0.25">
      <c r="AJ732" s="809"/>
    </row>
    <row r="733" spans="36:36" x14ac:dyDescent="0.25">
      <c r="AJ733" s="809"/>
    </row>
    <row r="734" spans="36:36" x14ac:dyDescent="0.25">
      <c r="AJ734" s="809"/>
    </row>
    <row r="735" spans="36:36" x14ac:dyDescent="0.25">
      <c r="AJ735" s="809"/>
    </row>
    <row r="736" spans="36:36" x14ac:dyDescent="0.25">
      <c r="AJ736" s="809"/>
    </row>
    <row r="737" spans="36:36" x14ac:dyDescent="0.25">
      <c r="AJ737" s="809"/>
    </row>
    <row r="738" spans="36:36" x14ac:dyDescent="0.25">
      <c r="AJ738" s="809"/>
    </row>
    <row r="739" spans="36:36" x14ac:dyDescent="0.25">
      <c r="AJ739" s="809"/>
    </row>
    <row r="740" spans="36:36" x14ac:dyDescent="0.25">
      <c r="AJ740" s="809"/>
    </row>
    <row r="741" spans="36:36" x14ac:dyDescent="0.25">
      <c r="AJ741" s="809"/>
    </row>
    <row r="742" spans="36:36" x14ac:dyDescent="0.25">
      <c r="AJ742" s="809"/>
    </row>
    <row r="743" spans="36:36" x14ac:dyDescent="0.25">
      <c r="AJ743" s="809"/>
    </row>
    <row r="744" spans="36:36" x14ac:dyDescent="0.25">
      <c r="AJ744" s="809"/>
    </row>
    <row r="745" spans="36:36" x14ac:dyDescent="0.25">
      <c r="AJ745" s="809"/>
    </row>
    <row r="746" spans="36:36" x14ac:dyDescent="0.25">
      <c r="AJ746" s="809"/>
    </row>
    <row r="747" spans="36:36" x14ac:dyDescent="0.25">
      <c r="AJ747" s="809"/>
    </row>
    <row r="748" spans="36:36" x14ac:dyDescent="0.25">
      <c r="AJ748" s="809"/>
    </row>
    <row r="749" spans="36:36" x14ac:dyDescent="0.25">
      <c r="AJ749" s="809"/>
    </row>
    <row r="750" spans="36:36" x14ac:dyDescent="0.25">
      <c r="AJ750" s="809"/>
    </row>
    <row r="751" spans="36:36" x14ac:dyDescent="0.25">
      <c r="AJ751" s="809"/>
    </row>
    <row r="752" spans="36:36" x14ac:dyDescent="0.25">
      <c r="AJ752" s="809"/>
    </row>
    <row r="753" spans="36:36" x14ac:dyDescent="0.25">
      <c r="AJ753" s="809"/>
    </row>
    <row r="754" spans="36:36" x14ac:dyDescent="0.25">
      <c r="AJ754" s="809"/>
    </row>
    <row r="755" spans="36:36" x14ac:dyDescent="0.25">
      <c r="AJ755" s="809"/>
    </row>
    <row r="756" spans="36:36" x14ac:dyDescent="0.25">
      <c r="AJ756" s="809"/>
    </row>
    <row r="757" spans="36:36" x14ac:dyDescent="0.25">
      <c r="AJ757" s="809"/>
    </row>
    <row r="758" spans="36:36" x14ac:dyDescent="0.25">
      <c r="AJ758" s="809"/>
    </row>
    <row r="759" spans="36:36" x14ac:dyDescent="0.25">
      <c r="AJ759" s="809"/>
    </row>
    <row r="760" spans="36:36" x14ac:dyDescent="0.25">
      <c r="AJ760" s="809"/>
    </row>
    <row r="761" spans="36:36" x14ac:dyDescent="0.25">
      <c r="AJ761" s="809"/>
    </row>
    <row r="762" spans="36:36" x14ac:dyDescent="0.25">
      <c r="AJ762" s="809"/>
    </row>
    <row r="763" spans="36:36" x14ac:dyDescent="0.25">
      <c r="AJ763" s="809"/>
    </row>
    <row r="764" spans="36:36" x14ac:dyDescent="0.25">
      <c r="AJ764" s="809"/>
    </row>
    <row r="765" spans="36:36" x14ac:dyDescent="0.25">
      <c r="AJ765" s="809"/>
    </row>
    <row r="766" spans="36:36" x14ac:dyDescent="0.25">
      <c r="AJ766" s="809"/>
    </row>
    <row r="767" spans="36:36" x14ac:dyDescent="0.25">
      <c r="AJ767" s="809"/>
    </row>
    <row r="768" spans="36:36" x14ac:dyDescent="0.25">
      <c r="AJ768" s="809"/>
    </row>
    <row r="769" spans="36:36" x14ac:dyDescent="0.25">
      <c r="AJ769" s="809"/>
    </row>
    <row r="770" spans="36:36" x14ac:dyDescent="0.25">
      <c r="AJ770" s="809"/>
    </row>
    <row r="771" spans="36:36" x14ac:dyDescent="0.25">
      <c r="AJ771" s="809"/>
    </row>
    <row r="772" spans="36:36" x14ac:dyDescent="0.25">
      <c r="AJ772" s="809"/>
    </row>
    <row r="773" spans="36:36" x14ac:dyDescent="0.25">
      <c r="AJ773" s="809"/>
    </row>
    <row r="774" spans="36:36" x14ac:dyDescent="0.25">
      <c r="AJ774" s="809"/>
    </row>
    <row r="775" spans="36:36" x14ac:dyDescent="0.25">
      <c r="AJ775" s="809"/>
    </row>
  </sheetData>
  <mergeCells count="924">
    <mergeCell ref="AL100:AL103"/>
    <mergeCell ref="AI99:AK103"/>
    <mergeCell ref="A98:K98"/>
    <mergeCell ref="BK31:BK42"/>
    <mergeCell ref="BJ31:BJ42"/>
    <mergeCell ref="BH98:BI98"/>
    <mergeCell ref="AZ98:BA98"/>
    <mergeCell ref="BJ101:BJ103"/>
    <mergeCell ref="BK101:BK103"/>
    <mergeCell ref="BL101:BL103"/>
    <mergeCell ref="AY101:BB104"/>
    <mergeCell ref="BH101:BI103"/>
    <mergeCell ref="BG101:BG104"/>
    <mergeCell ref="AK94:AK95"/>
    <mergeCell ref="AM94:AM95"/>
    <mergeCell ref="AL87:AL89"/>
    <mergeCell ref="AM87:AM89"/>
    <mergeCell ref="AK87:AK89"/>
    <mergeCell ref="M14:Q14"/>
    <mergeCell ref="AL78:AL80"/>
    <mergeCell ref="AM78:AM80"/>
    <mergeCell ref="AK78:AK80"/>
    <mergeCell ref="K81:Q81"/>
    <mergeCell ref="BL7:BL8"/>
    <mergeCell ref="BC7:BC8"/>
    <mergeCell ref="BD7:BD8"/>
    <mergeCell ref="BJ9:BJ13"/>
    <mergeCell ref="J51:Y51"/>
    <mergeCell ref="AF51:AJ51"/>
    <mergeCell ref="AX51:BF51"/>
    <mergeCell ref="BH51:BI51"/>
    <mergeCell ref="J61:U61"/>
    <mergeCell ref="AX61:BF61"/>
    <mergeCell ref="BH61:BI61"/>
    <mergeCell ref="J25:AA25"/>
    <mergeCell ref="AF25:AK25"/>
    <mergeCell ref="AW25:BF25"/>
    <mergeCell ref="BH25:BI25"/>
    <mergeCell ref="AJ57:AJ60"/>
    <mergeCell ref="AP52:AP60"/>
    <mergeCell ref="AQ52:AQ60"/>
    <mergeCell ref="AR52:AR60"/>
    <mergeCell ref="AS52:AS60"/>
    <mergeCell ref="AT52:AT60"/>
    <mergeCell ref="S52:S54"/>
    <mergeCell ref="T52:T54"/>
    <mergeCell ref="U52:U54"/>
    <mergeCell ref="BH30:BI30"/>
    <mergeCell ref="J43:AK43"/>
    <mergeCell ref="AX43:BF43"/>
    <mergeCell ref="BH43:BI43"/>
    <mergeCell ref="BB7:BB8"/>
    <mergeCell ref="BG7:BG8"/>
    <mergeCell ref="BH7:BH8"/>
    <mergeCell ref="BI7:BI8"/>
    <mergeCell ref="BK9:BK12"/>
    <mergeCell ref="BF7:BF8"/>
    <mergeCell ref="AZ14:BF14"/>
    <mergeCell ref="BH14:BI14"/>
    <mergeCell ref="BE7:BE8"/>
    <mergeCell ref="BJ7:BJ8"/>
    <mergeCell ref="BK7:BK8"/>
    <mergeCell ref="BL44:BL50"/>
    <mergeCell ref="BJ52:BJ60"/>
    <mergeCell ref="BK52:BK60"/>
    <mergeCell ref="BL52:BL60"/>
    <mergeCell ref="BJ62:BJ71"/>
    <mergeCell ref="BK62:BK71"/>
    <mergeCell ref="BL62:BL71"/>
    <mergeCell ref="BJ73:BJ76"/>
    <mergeCell ref="BK73:BK76"/>
    <mergeCell ref="BL73:BL76"/>
    <mergeCell ref="AK7:AK8"/>
    <mergeCell ref="AL7:AL8"/>
    <mergeCell ref="AM7:AM8"/>
    <mergeCell ref="AK9:AK13"/>
    <mergeCell ref="AL9:AL13"/>
    <mergeCell ref="AM9:AM13"/>
    <mergeCell ref="AK18:AK20"/>
    <mergeCell ref="AL18:AL20"/>
    <mergeCell ref="AM18:AM20"/>
    <mergeCell ref="CV15:CV24"/>
    <mergeCell ref="DC15:DC24"/>
    <mergeCell ref="DD15:DD24"/>
    <mergeCell ref="K16:K17"/>
    <mergeCell ref="L16:L17"/>
    <mergeCell ref="M16:M17"/>
    <mergeCell ref="N16:N17"/>
    <mergeCell ref="O16:O17"/>
    <mergeCell ref="AJ16:AJ17"/>
    <mergeCell ref="DB16:DB17"/>
    <mergeCell ref="AN15:AN24"/>
    <mergeCell ref="AO15:AO24"/>
    <mergeCell ref="AP15:AP24"/>
    <mergeCell ref="AQ15:AQ24"/>
    <mergeCell ref="AR15:AR24"/>
    <mergeCell ref="AS15:AS24"/>
    <mergeCell ref="AT15:AT24"/>
    <mergeCell ref="AB16:AB17"/>
    <mergeCell ref="AC16:AC17"/>
    <mergeCell ref="AD16:AD17"/>
    <mergeCell ref="AE16:AE17"/>
    <mergeCell ref="AF16:AF17"/>
    <mergeCell ref="AG16:AG17"/>
    <mergeCell ref="BD15:BD24"/>
    <mergeCell ref="J15:J24"/>
    <mergeCell ref="AB18:AB20"/>
    <mergeCell ref="AC18:AC20"/>
    <mergeCell ref="AD18:AD20"/>
    <mergeCell ref="AE18:AE20"/>
    <mergeCell ref="AB21:AB24"/>
    <mergeCell ref="AC21:AC24"/>
    <mergeCell ref="AD21:AD24"/>
    <mergeCell ref="AE21:AE24"/>
    <mergeCell ref="W16:W17"/>
    <mergeCell ref="Y18:Y20"/>
    <mergeCell ref="Z18:Z20"/>
    <mergeCell ref="AA18:AA20"/>
    <mergeCell ref="K21:K24"/>
    <mergeCell ref="L21:L24"/>
    <mergeCell ref="M21:M24"/>
    <mergeCell ref="N21:N24"/>
    <mergeCell ref="O21:O24"/>
    <mergeCell ref="P21:P24"/>
    <mergeCell ref="S18:S20"/>
    <mergeCell ref="T18:T20"/>
    <mergeCell ref="U18:U20"/>
    <mergeCell ref="V18:V20"/>
    <mergeCell ref="W18:W20"/>
    <mergeCell ref="Q21:Q24"/>
    <mergeCell ref="R21:R24"/>
    <mergeCell ref="S21:S24"/>
    <mergeCell ref="T21:T24"/>
    <mergeCell ref="U21:U24"/>
    <mergeCell ref="V21:V24"/>
    <mergeCell ref="CT15:CT24"/>
    <mergeCell ref="CU15:CU24"/>
    <mergeCell ref="AJ18:AJ20"/>
    <mergeCell ref="X18:X20"/>
    <mergeCell ref="W21:W24"/>
    <mergeCell ref="X21:X24"/>
    <mergeCell ref="Y21:Y24"/>
    <mergeCell ref="Z21:Z24"/>
    <mergeCell ref="AA21:AA24"/>
    <mergeCell ref="AJ21:AJ24"/>
    <mergeCell ref="X16:X17"/>
    <mergeCell ref="Y16:Y17"/>
    <mergeCell ref="Z16:Z17"/>
    <mergeCell ref="BJ15:BJ24"/>
    <mergeCell ref="BK15:BK24"/>
    <mergeCell ref="BL15:BL23"/>
    <mergeCell ref="S82:S85"/>
    <mergeCell ref="T82:T85"/>
    <mergeCell ref="U82:U85"/>
    <mergeCell ref="V82:V85"/>
    <mergeCell ref="U78:U80"/>
    <mergeCell ref="V78:V80"/>
    <mergeCell ref="W78:W80"/>
    <mergeCell ref="DD82:DD85"/>
    <mergeCell ref="CY83:CY85"/>
    <mergeCell ref="CZ83:CZ85"/>
    <mergeCell ref="CZ78:CZ80"/>
    <mergeCell ref="DD78:DD80"/>
    <mergeCell ref="AW81:BE81"/>
    <mergeCell ref="BH81:BI81"/>
    <mergeCell ref="J82:J85"/>
    <mergeCell ref="K82:K85"/>
    <mergeCell ref="L82:L85"/>
    <mergeCell ref="M82:M85"/>
    <mergeCell ref="N82:N85"/>
    <mergeCell ref="O82:O85"/>
    <mergeCell ref="P82:P85"/>
    <mergeCell ref="Q82:Q85"/>
    <mergeCell ref="R82:R85"/>
    <mergeCell ref="CU78:CU80"/>
    <mergeCell ref="CV78:CV80"/>
    <mergeCell ref="AJ82:AJ85"/>
    <mergeCell ref="BL82:BL85"/>
    <mergeCell ref="AB78:AB80"/>
    <mergeCell ref="AC78:AC80"/>
    <mergeCell ref="BK78:BK80"/>
    <mergeCell ref="BL78:BL80"/>
    <mergeCell ref="BJ82:BJ85"/>
    <mergeCell ref="BK82:BK85"/>
    <mergeCell ref="AH82:AH85"/>
    <mergeCell ref="AI82:AI85"/>
    <mergeCell ref="X82:X85"/>
    <mergeCell ref="Y82:Y85"/>
    <mergeCell ref="Z82:Z85"/>
    <mergeCell ref="AA82:AA85"/>
    <mergeCell ref="CY78:CY80"/>
    <mergeCell ref="AR82:AR85"/>
    <mergeCell ref="AS82:AS85"/>
    <mergeCell ref="AT82:AT85"/>
    <mergeCell ref="CU82:CU85"/>
    <mergeCell ref="CV82:CV85"/>
    <mergeCell ref="AD78:AD80"/>
    <mergeCell ref="AE78:AE80"/>
    <mergeCell ref="AF78:AF80"/>
    <mergeCell ref="AG78:AG80"/>
    <mergeCell ref="AH78:AH80"/>
    <mergeCell ref="AI78:AI80"/>
    <mergeCell ref="AJ78:AJ80"/>
    <mergeCell ref="AN78:AN85"/>
    <mergeCell ref="AO78:AO85"/>
    <mergeCell ref="AD82:AD85"/>
    <mergeCell ref="AE82:AE85"/>
    <mergeCell ref="AF82:AF85"/>
    <mergeCell ref="AG82:AG85"/>
    <mergeCell ref="BJ78:BJ80"/>
    <mergeCell ref="CT78:CT80"/>
    <mergeCell ref="AB82:AB85"/>
    <mergeCell ref="AC82:AC85"/>
    <mergeCell ref="AP78:AP85"/>
    <mergeCell ref="AQ78:AQ85"/>
    <mergeCell ref="AR78:AR80"/>
    <mergeCell ref="AS78:AS80"/>
    <mergeCell ref="AT78:AT80"/>
    <mergeCell ref="J78:J80"/>
    <mergeCell ref="K78:K80"/>
    <mergeCell ref="L78:L80"/>
    <mergeCell ref="M78:M80"/>
    <mergeCell ref="N78:N80"/>
    <mergeCell ref="O78:O80"/>
    <mergeCell ref="P78:P80"/>
    <mergeCell ref="Q78:Q80"/>
    <mergeCell ref="R78:R80"/>
    <mergeCell ref="S78:S80"/>
    <mergeCell ref="T78:T80"/>
    <mergeCell ref="X78:X80"/>
    <mergeCell ref="Y78:Y80"/>
    <mergeCell ref="Z78:Z80"/>
    <mergeCell ref="AA78:AA80"/>
    <mergeCell ref="W82:W85"/>
    <mergeCell ref="CZ73:CZ74"/>
    <mergeCell ref="DD73:DD76"/>
    <mergeCell ref="K75:K76"/>
    <mergeCell ref="L75:L76"/>
    <mergeCell ref="M75:M76"/>
    <mergeCell ref="N75:N76"/>
    <mergeCell ref="O75:O76"/>
    <mergeCell ref="P75:P76"/>
    <mergeCell ref="Q75:Q76"/>
    <mergeCell ref="R75:R76"/>
    <mergeCell ref="S75:S76"/>
    <mergeCell ref="T75:T76"/>
    <mergeCell ref="U75:U76"/>
    <mergeCell ref="V75:V76"/>
    <mergeCell ref="W75:W76"/>
    <mergeCell ref="X75:X76"/>
    <mergeCell ref="Y75:Y76"/>
    <mergeCell ref="Z75:Z76"/>
    <mergeCell ref="CX75:CX76"/>
    <mergeCell ref="CY75:CY76"/>
    <mergeCell ref="CZ75:CZ76"/>
    <mergeCell ref="CV73:CV76"/>
    <mergeCell ref="CX73:CX74"/>
    <mergeCell ref="CY73:CY74"/>
    <mergeCell ref="CU73:CU76"/>
    <mergeCell ref="AA75:AA76"/>
    <mergeCell ref="AB75:AB76"/>
    <mergeCell ref="AC75:AC76"/>
    <mergeCell ref="AD75:AD76"/>
    <mergeCell ref="AE75:AE76"/>
    <mergeCell ref="AJ75:AJ76"/>
    <mergeCell ref="AF75:AF76"/>
    <mergeCell ref="AG75:AG76"/>
    <mergeCell ref="AH75:AH76"/>
    <mergeCell ref="AI75:AI76"/>
    <mergeCell ref="S70:S71"/>
    <mergeCell ref="J73:J76"/>
    <mergeCell ref="AN73:AN76"/>
    <mergeCell ref="AO73:AO76"/>
    <mergeCell ref="AP73:AP76"/>
    <mergeCell ref="AQ73:AQ76"/>
    <mergeCell ref="AR73:AR76"/>
    <mergeCell ref="AS73:AS76"/>
    <mergeCell ref="AT73:AT76"/>
    <mergeCell ref="T70:T71"/>
    <mergeCell ref="U70:U71"/>
    <mergeCell ref="V70:V71"/>
    <mergeCell ref="W70:W71"/>
    <mergeCell ref="X70:X71"/>
    <mergeCell ref="Y70:Y71"/>
    <mergeCell ref="Z70:Z71"/>
    <mergeCell ref="AA70:AA71"/>
    <mergeCell ref="AB70:AB71"/>
    <mergeCell ref="AE70:AE71"/>
    <mergeCell ref="AF70:AF71"/>
    <mergeCell ref="AG70:AG71"/>
    <mergeCell ref="AA65:AA68"/>
    <mergeCell ref="AB65:AB68"/>
    <mergeCell ref="AC65:AC68"/>
    <mergeCell ref="AD65:AD68"/>
    <mergeCell ref="AE65:AE68"/>
    <mergeCell ref="AF65:AF68"/>
    <mergeCell ref="AG65:AG68"/>
    <mergeCell ref="CV62:CV71"/>
    <mergeCell ref="CY62:CY68"/>
    <mergeCell ref="CZ62:CZ68"/>
    <mergeCell ref="DD62:DD71"/>
    <mergeCell ref="K65:K68"/>
    <mergeCell ref="L65:L68"/>
    <mergeCell ref="M65:M68"/>
    <mergeCell ref="N65:N68"/>
    <mergeCell ref="O65:O68"/>
    <mergeCell ref="P65:P68"/>
    <mergeCell ref="Q65:Q68"/>
    <mergeCell ref="R65:R68"/>
    <mergeCell ref="S65:S68"/>
    <mergeCell ref="T65:T68"/>
    <mergeCell ref="U65:U68"/>
    <mergeCell ref="V65:V68"/>
    <mergeCell ref="W65:W68"/>
    <mergeCell ref="X65:X68"/>
    <mergeCell ref="Y65:Y68"/>
    <mergeCell ref="Z65:Z68"/>
    <mergeCell ref="AJ62:AJ64"/>
    <mergeCell ref="AN62:AN71"/>
    <mergeCell ref="AC70:AC71"/>
    <mergeCell ref="AD70:AD71"/>
    <mergeCell ref="J62:J71"/>
    <mergeCell ref="K62:K64"/>
    <mergeCell ref="L62:L64"/>
    <mergeCell ref="M62:M64"/>
    <mergeCell ref="N62:N64"/>
    <mergeCell ref="O62:O64"/>
    <mergeCell ref="P62:P64"/>
    <mergeCell ref="Q62:Q64"/>
    <mergeCell ref="R62:R64"/>
    <mergeCell ref="K70:K71"/>
    <mergeCell ref="L70:L71"/>
    <mergeCell ref="M70:M71"/>
    <mergeCell ref="N70:N71"/>
    <mergeCell ref="O70:O71"/>
    <mergeCell ref="P70:P71"/>
    <mergeCell ref="Q70:Q71"/>
    <mergeCell ref="R70:R71"/>
    <mergeCell ref="AB62:AB64"/>
    <mergeCell ref="AC62:AC64"/>
    <mergeCell ref="AD62:AD64"/>
    <mergeCell ref="AE62:AE64"/>
    <mergeCell ref="AG62:AG64"/>
    <mergeCell ref="S57:S60"/>
    <mergeCell ref="T57:T60"/>
    <mergeCell ref="U57:U60"/>
    <mergeCell ref="V57:V60"/>
    <mergeCell ref="W57:W60"/>
    <mergeCell ref="X57:X60"/>
    <mergeCell ref="Y57:Y60"/>
    <mergeCell ref="Z57:Z60"/>
    <mergeCell ref="AA57:AA60"/>
    <mergeCell ref="S62:S64"/>
    <mergeCell ref="T62:T64"/>
    <mergeCell ref="U62:U64"/>
    <mergeCell ref="V62:V64"/>
    <mergeCell ref="W62:W64"/>
    <mergeCell ref="X62:X64"/>
    <mergeCell ref="Y62:Y64"/>
    <mergeCell ref="Z62:Z64"/>
    <mergeCell ref="AA62:AA64"/>
    <mergeCell ref="AF62:AF64"/>
    <mergeCell ref="DD52:DD60"/>
    <mergeCell ref="K55:K56"/>
    <mergeCell ref="L55:L56"/>
    <mergeCell ref="M55:M56"/>
    <mergeCell ref="N55:N56"/>
    <mergeCell ref="O55:O56"/>
    <mergeCell ref="P55:P56"/>
    <mergeCell ref="Q55:Q60"/>
    <mergeCell ref="R55:R56"/>
    <mergeCell ref="S55:S56"/>
    <mergeCell ref="T55:T56"/>
    <mergeCell ref="U55:U56"/>
    <mergeCell ref="V55:V56"/>
    <mergeCell ref="W55:W56"/>
    <mergeCell ref="X55:X56"/>
    <mergeCell ref="Y55:Y56"/>
    <mergeCell ref="Z55:Z56"/>
    <mergeCell ref="AA55:AA56"/>
    <mergeCell ref="AB55:AB56"/>
    <mergeCell ref="AC55:AC56"/>
    <mergeCell ref="AD55:AD56"/>
    <mergeCell ref="AE55:AE56"/>
    <mergeCell ref="AN52:AN60"/>
    <mergeCell ref="AO52:AO60"/>
    <mergeCell ref="CU52:CU60"/>
    <mergeCell ref="CV52:CV60"/>
    <mergeCell ref="AB52:AB54"/>
    <mergeCell ref="AC52:AC54"/>
    <mergeCell ref="AD52:AD54"/>
    <mergeCell ref="AE52:AE54"/>
    <mergeCell ref="AF52:AF54"/>
    <mergeCell ref="AG52:AG54"/>
    <mergeCell ref="AH52:AH54"/>
    <mergeCell ref="AI52:AI54"/>
    <mergeCell ref="AJ52:AJ54"/>
    <mergeCell ref="AJ55:AJ56"/>
    <mergeCell ref="AB57:AB60"/>
    <mergeCell ref="AC57:AC60"/>
    <mergeCell ref="AD57:AD60"/>
    <mergeCell ref="AE57:AE60"/>
    <mergeCell ref="AF57:AF60"/>
    <mergeCell ref="AG57:AG60"/>
    <mergeCell ref="AH57:AH60"/>
    <mergeCell ref="Z52:Z54"/>
    <mergeCell ref="AA52:AA54"/>
    <mergeCell ref="J52:J60"/>
    <mergeCell ref="K52:K54"/>
    <mergeCell ref="L52:L54"/>
    <mergeCell ref="M52:M54"/>
    <mergeCell ref="N52:N54"/>
    <mergeCell ref="O52:O54"/>
    <mergeCell ref="P52:P54"/>
    <mergeCell ref="Q52:Q54"/>
    <mergeCell ref="R52:R54"/>
    <mergeCell ref="K57:K60"/>
    <mergeCell ref="L57:L60"/>
    <mergeCell ref="M57:M60"/>
    <mergeCell ref="N57:N60"/>
    <mergeCell ref="O57:O60"/>
    <mergeCell ref="P57:P60"/>
    <mergeCell ref="R57:R60"/>
    <mergeCell ref="V52:V54"/>
    <mergeCell ref="W52:W54"/>
    <mergeCell ref="X52:X54"/>
    <mergeCell ref="Y52:Y54"/>
    <mergeCell ref="DD44:DD50"/>
    <mergeCell ref="Q46:Q47"/>
    <mergeCell ref="K48:K50"/>
    <mergeCell ref="L48:L50"/>
    <mergeCell ref="M48:M50"/>
    <mergeCell ref="N48:N50"/>
    <mergeCell ref="O48:O50"/>
    <mergeCell ref="P48:P50"/>
    <mergeCell ref="Q48:Q50"/>
    <mergeCell ref="R48:R50"/>
    <mergeCell ref="S48:S50"/>
    <mergeCell ref="T48:T50"/>
    <mergeCell ref="U48:U50"/>
    <mergeCell ref="V48:V50"/>
    <mergeCell ref="W48:W50"/>
    <mergeCell ref="X48:X50"/>
    <mergeCell ref="Y48:Y50"/>
    <mergeCell ref="Z48:Z50"/>
    <mergeCell ref="AA48:AA50"/>
    <mergeCell ref="AB48:AB50"/>
    <mergeCell ref="AC48:AC50"/>
    <mergeCell ref="AD48:AD50"/>
    <mergeCell ref="AN44:AN50"/>
    <mergeCell ref="AO44:AO50"/>
    <mergeCell ref="AP44:AP50"/>
    <mergeCell ref="AQ44:AQ50"/>
    <mergeCell ref="AR44:AR50"/>
    <mergeCell ref="AS44:AS50"/>
    <mergeCell ref="AT44:AT50"/>
    <mergeCell ref="CU44:CU50"/>
    <mergeCell ref="CV44:CV50"/>
    <mergeCell ref="AB44:AB47"/>
    <mergeCell ref="AC44:AC47"/>
    <mergeCell ref="AD44:AD47"/>
    <mergeCell ref="AE44:AE47"/>
    <mergeCell ref="AF44:AF47"/>
    <mergeCell ref="AG44:AG47"/>
    <mergeCell ref="AH44:AH47"/>
    <mergeCell ref="AI44:AI47"/>
    <mergeCell ref="AJ44:AJ47"/>
    <mergeCell ref="AE48:AE50"/>
    <mergeCell ref="AF48:AF50"/>
    <mergeCell ref="AG48:AG50"/>
    <mergeCell ref="AH48:AH50"/>
    <mergeCell ref="AI48:AI50"/>
    <mergeCell ref="AJ48:AJ50"/>
    <mergeCell ref="BJ44:BJ50"/>
    <mergeCell ref="BK44:BK50"/>
    <mergeCell ref="S44:S47"/>
    <mergeCell ref="T44:T47"/>
    <mergeCell ref="U44:U47"/>
    <mergeCell ref="V44:V47"/>
    <mergeCell ref="W44:W47"/>
    <mergeCell ref="X44:X47"/>
    <mergeCell ref="Y44:Y47"/>
    <mergeCell ref="Z44:Z47"/>
    <mergeCell ref="AA44:AA47"/>
    <mergeCell ref="J44:J50"/>
    <mergeCell ref="K44:K47"/>
    <mergeCell ref="L44:L47"/>
    <mergeCell ref="M44:M47"/>
    <mergeCell ref="N44:N47"/>
    <mergeCell ref="O44:O47"/>
    <mergeCell ref="P44:P47"/>
    <mergeCell ref="Q44:Q45"/>
    <mergeCell ref="R44:R47"/>
    <mergeCell ref="DE6:DL6"/>
    <mergeCell ref="AF87:AF89"/>
    <mergeCell ref="AG87:AG89"/>
    <mergeCell ref="AH87:AH89"/>
    <mergeCell ref="AI87:AI89"/>
    <mergeCell ref="AI57:AI60"/>
    <mergeCell ref="AH62:AH64"/>
    <mergeCell ref="AI62:AI64"/>
    <mergeCell ref="AH70:AH71"/>
    <mergeCell ref="AI70:AI71"/>
    <mergeCell ref="AF55:AF56"/>
    <mergeCell ref="AG55:AG56"/>
    <mergeCell ref="AH55:AH56"/>
    <mergeCell ref="AI55:AI56"/>
    <mergeCell ref="AH32:AH38"/>
    <mergeCell ref="AI32:AI38"/>
    <mergeCell ref="AF39:AF41"/>
    <mergeCell ref="AG39:AG41"/>
    <mergeCell ref="AH39:AH41"/>
    <mergeCell ref="AI39:AI41"/>
    <mergeCell ref="AF28:AF29"/>
    <mergeCell ref="AG28:AG29"/>
    <mergeCell ref="AH28:AH29"/>
    <mergeCell ref="AH7:AH8"/>
    <mergeCell ref="AI7:AI8"/>
    <mergeCell ref="AF9:AF13"/>
    <mergeCell ref="AG9:AG13"/>
    <mergeCell ref="AH9:AH13"/>
    <mergeCell ref="AI9:AI13"/>
    <mergeCell ref="AI16:AI17"/>
    <mergeCell ref="AI28:AI29"/>
    <mergeCell ref="AF18:AF20"/>
    <mergeCell ref="AG18:AG20"/>
    <mergeCell ref="AH18:AH20"/>
    <mergeCell ref="AI18:AI20"/>
    <mergeCell ref="AF21:AF24"/>
    <mergeCell ref="AG21:AG24"/>
    <mergeCell ref="AH21:AH24"/>
    <mergeCell ref="AI21:AI24"/>
    <mergeCell ref="AH16:AH17"/>
    <mergeCell ref="AC7:AC8"/>
    <mergeCell ref="AD7:AD8"/>
    <mergeCell ref="AE7:AE8"/>
    <mergeCell ref="AB9:AB13"/>
    <mergeCell ref="AC9:AC13"/>
    <mergeCell ref="AD9:AD13"/>
    <mergeCell ref="AE9:AE13"/>
    <mergeCell ref="AF7:AF8"/>
    <mergeCell ref="AG7:AG8"/>
    <mergeCell ref="B1:C4"/>
    <mergeCell ref="D1:CW1"/>
    <mergeCell ref="D2:CW2"/>
    <mergeCell ref="D3:CW3"/>
    <mergeCell ref="D4:CW4"/>
    <mergeCell ref="B5:C5"/>
    <mergeCell ref="D5:CX5"/>
    <mergeCell ref="AN6:AQ6"/>
    <mergeCell ref="AR6:BP6"/>
    <mergeCell ref="BQ6:BU6"/>
    <mergeCell ref="BV6:DB6"/>
    <mergeCell ref="DC6:DD6"/>
    <mergeCell ref="AN7:AN8"/>
    <mergeCell ref="AO7:AO8"/>
    <mergeCell ref="AP7:AP8"/>
    <mergeCell ref="AQ7:AQ8"/>
    <mergeCell ref="AR7:AR8"/>
    <mergeCell ref="X7:X8"/>
    <mergeCell ref="Y7:Y8"/>
    <mergeCell ref="Z7:Z8"/>
    <mergeCell ref="AA7:AA8"/>
    <mergeCell ref="CV7:CV8"/>
    <mergeCell ref="CU7:CU8"/>
    <mergeCell ref="BN7:BN8"/>
    <mergeCell ref="BO7:BO8"/>
    <mergeCell ref="BP7:BP8"/>
    <mergeCell ref="BQ7:BQ8"/>
    <mergeCell ref="BR7:BR8"/>
    <mergeCell ref="BS7:BS8"/>
    <mergeCell ref="AS7:AS8"/>
    <mergeCell ref="AT7:AT8"/>
    <mergeCell ref="AU7:AU8"/>
    <mergeCell ref="AV7:AV8"/>
    <mergeCell ref="AW7:AW8"/>
    <mergeCell ref="AX7:AX8"/>
    <mergeCell ref="B7:B8"/>
    <mergeCell ref="C7:C8"/>
    <mergeCell ref="D7:D8"/>
    <mergeCell ref="E7:E8"/>
    <mergeCell ref="F7:F8"/>
    <mergeCell ref="G7:G8"/>
    <mergeCell ref="H7:H8"/>
    <mergeCell ref="A6:AJ6"/>
    <mergeCell ref="O7:P7"/>
    <mergeCell ref="Q7:Q8"/>
    <mergeCell ref="R7:R8"/>
    <mergeCell ref="S7:S8"/>
    <mergeCell ref="T7:T8"/>
    <mergeCell ref="U7:U8"/>
    <mergeCell ref="I7:I8"/>
    <mergeCell ref="J7:J8"/>
    <mergeCell ref="K7:K8"/>
    <mergeCell ref="L7:L8"/>
    <mergeCell ref="M7:M8"/>
    <mergeCell ref="N7:N8"/>
    <mergeCell ref="AJ7:AJ8"/>
    <mergeCell ref="V7:V8"/>
    <mergeCell ref="W7:W8"/>
    <mergeCell ref="AB7:AB8"/>
    <mergeCell ref="DC7:DC8"/>
    <mergeCell ref="DD7:DD8"/>
    <mergeCell ref="A9:A60"/>
    <mergeCell ref="B9:B76"/>
    <mergeCell ref="C9:C60"/>
    <mergeCell ref="D9:D60"/>
    <mergeCell ref="E9:E60"/>
    <mergeCell ref="F9:F60"/>
    <mergeCell ref="G9:G60"/>
    <mergeCell ref="H9:H60"/>
    <mergeCell ref="CW7:CW8"/>
    <mergeCell ref="CX7:CX8"/>
    <mergeCell ref="CY7:CY8"/>
    <mergeCell ref="CZ7:CZ8"/>
    <mergeCell ref="DA7:DA8"/>
    <mergeCell ref="DB7:DB8"/>
    <mergeCell ref="BT7:BT8"/>
    <mergeCell ref="BU7:BU8"/>
    <mergeCell ref="BV7:BV8"/>
    <mergeCell ref="CT7:CT8"/>
    <mergeCell ref="AA9:AA13"/>
    <mergeCell ref="AJ9:AJ13"/>
    <mergeCell ref="AN9:AN13"/>
    <mergeCell ref="A7:A8"/>
    <mergeCell ref="DC9:DC13"/>
    <mergeCell ref="DD9:DD13"/>
    <mergeCell ref="CT9:CT13"/>
    <mergeCell ref="CU9:CU13"/>
    <mergeCell ref="CV9:CV13"/>
    <mergeCell ref="P9:P13"/>
    <mergeCell ref="Q9:Q13"/>
    <mergeCell ref="R9:R13"/>
    <mergeCell ref="S9:S13"/>
    <mergeCell ref="T9:T13"/>
    <mergeCell ref="AO9:AO13"/>
    <mergeCell ref="AP9:AP13"/>
    <mergeCell ref="AQ9:AQ13"/>
    <mergeCell ref="U9:U13"/>
    <mergeCell ref="V9:V13"/>
    <mergeCell ref="W9:W13"/>
    <mergeCell ref="X9:X13"/>
    <mergeCell ref="Y9:Y13"/>
    <mergeCell ref="Z9:Z13"/>
    <mergeCell ref="AR9:AR13"/>
    <mergeCell ref="AS9:AS13"/>
    <mergeCell ref="AT9:AT13"/>
    <mergeCell ref="BL9:BL12"/>
    <mergeCell ref="K9:K13"/>
    <mergeCell ref="L9:L13"/>
    <mergeCell ref="M9:M13"/>
    <mergeCell ref="N9:N13"/>
    <mergeCell ref="P16:P17"/>
    <mergeCell ref="Q16:Q17"/>
    <mergeCell ref="R16:R17"/>
    <mergeCell ref="S16:S17"/>
    <mergeCell ref="T16:T17"/>
    <mergeCell ref="O9:O13"/>
    <mergeCell ref="U16:U17"/>
    <mergeCell ref="K18:K20"/>
    <mergeCell ref="L18:L20"/>
    <mergeCell ref="M18:M20"/>
    <mergeCell ref="N18:N20"/>
    <mergeCell ref="O18:O20"/>
    <mergeCell ref="P18:P20"/>
    <mergeCell ref="Q18:Q20"/>
    <mergeCell ref="R18:R20"/>
    <mergeCell ref="V16:V17"/>
    <mergeCell ref="AA16:AA17"/>
    <mergeCell ref="DE27:DE28"/>
    <mergeCell ref="DF27:DF28"/>
    <mergeCell ref="K28:K29"/>
    <mergeCell ref="L28:L29"/>
    <mergeCell ref="M28:M29"/>
    <mergeCell ref="N28:N29"/>
    <mergeCell ref="O28:O29"/>
    <mergeCell ref="P28:P29"/>
    <mergeCell ref="Q28:Q29"/>
    <mergeCell ref="R28:R29"/>
    <mergeCell ref="AT26:AT29"/>
    <mergeCell ref="CT26:CT29"/>
    <mergeCell ref="CU26:CU29"/>
    <mergeCell ref="CV26:CV29"/>
    <mergeCell ref="DC26:DC29"/>
    <mergeCell ref="DD26:DD29"/>
    <mergeCell ref="AN26:AN29"/>
    <mergeCell ref="AO26:AO29"/>
    <mergeCell ref="AB28:AB29"/>
    <mergeCell ref="AC28:AC29"/>
    <mergeCell ref="AD28:AD29"/>
    <mergeCell ref="AE28:AE29"/>
    <mergeCell ref="V28:V29"/>
    <mergeCell ref="W28:W29"/>
    <mergeCell ref="J26:J29"/>
    <mergeCell ref="AJ32:AJ38"/>
    <mergeCell ref="Z39:Z41"/>
    <mergeCell ref="AA39:AA41"/>
    <mergeCell ref="AB32:AB38"/>
    <mergeCell ref="AC32:AC38"/>
    <mergeCell ref="J31:J42"/>
    <mergeCell ref="Q31:Q42"/>
    <mergeCell ref="S28:S29"/>
    <mergeCell ref="T28:T29"/>
    <mergeCell ref="U28:U29"/>
    <mergeCell ref="X28:X29"/>
    <mergeCell ref="K39:K41"/>
    <mergeCell ref="L39:L41"/>
    <mergeCell ref="M39:M41"/>
    <mergeCell ref="N39:N41"/>
    <mergeCell ref="O39:O41"/>
    <mergeCell ref="P39:P41"/>
    <mergeCell ref="R39:R41"/>
    <mergeCell ref="V32:V38"/>
    <mergeCell ref="W32:W38"/>
    <mergeCell ref="O32:O38"/>
    <mergeCell ref="CT31:CT42"/>
    <mergeCell ref="Y39:Y41"/>
    <mergeCell ref="AJ39:AJ41"/>
    <mergeCell ref="AP26:AP29"/>
    <mergeCell ref="AQ26:AQ29"/>
    <mergeCell ref="AR26:AR29"/>
    <mergeCell ref="AS26:AS29"/>
    <mergeCell ref="Y28:Y29"/>
    <mergeCell ref="Z28:Z29"/>
    <mergeCell ref="AA28:AA29"/>
    <mergeCell ref="AJ28:AJ29"/>
    <mergeCell ref="AD32:AD38"/>
    <mergeCell ref="AE32:AE38"/>
    <mergeCell ref="AB39:AB41"/>
    <mergeCell ref="AC39:AC41"/>
    <mergeCell ref="AD39:AD41"/>
    <mergeCell ref="AE39:AE41"/>
    <mergeCell ref="AF32:AF38"/>
    <mergeCell ref="AG32:AG38"/>
    <mergeCell ref="BE31:BE32"/>
    <mergeCell ref="BJ26:BJ29"/>
    <mergeCell ref="BK26:BK29"/>
    <mergeCell ref="J30:AB30"/>
    <mergeCell ref="BA30:BF30"/>
    <mergeCell ref="R32:R38"/>
    <mergeCell ref="S32:S38"/>
    <mergeCell ref="T32:T38"/>
    <mergeCell ref="U32:U38"/>
    <mergeCell ref="K32:K38"/>
    <mergeCell ref="L32:L38"/>
    <mergeCell ref="M32:M38"/>
    <mergeCell ref="N32:N38"/>
    <mergeCell ref="AT31:AT42"/>
    <mergeCell ref="DE39:DE42"/>
    <mergeCell ref="DF39:DF42"/>
    <mergeCell ref="S39:S41"/>
    <mergeCell ref="T39:T41"/>
    <mergeCell ref="U39:U41"/>
    <mergeCell ref="V39:V41"/>
    <mergeCell ref="W39:W41"/>
    <mergeCell ref="X39:X41"/>
    <mergeCell ref="CU31:CU42"/>
    <mergeCell ref="CV31:CV42"/>
    <mergeCell ref="DC31:DC42"/>
    <mergeCell ref="DD31:DD42"/>
    <mergeCell ref="AN31:AN42"/>
    <mergeCell ref="AO31:AO42"/>
    <mergeCell ref="AP31:AP42"/>
    <mergeCell ref="AQ31:AQ42"/>
    <mergeCell ref="AR31:AR42"/>
    <mergeCell ref="AS31:AS42"/>
    <mergeCell ref="DE35:DE38"/>
    <mergeCell ref="DF35:DF38"/>
    <mergeCell ref="X32:X38"/>
    <mergeCell ref="Y32:Y38"/>
    <mergeCell ref="Z32:Z38"/>
    <mergeCell ref="AA32:AA38"/>
    <mergeCell ref="DC44:DC50"/>
    <mergeCell ref="CT44:CT50"/>
    <mergeCell ref="CT52:CT60"/>
    <mergeCell ref="DC52:DC60"/>
    <mergeCell ref="A62:A76"/>
    <mergeCell ref="C62:C76"/>
    <mergeCell ref="D62:D76"/>
    <mergeCell ref="E62:E71"/>
    <mergeCell ref="F62:F64"/>
    <mergeCell ref="G62:G64"/>
    <mergeCell ref="I9:I60"/>
    <mergeCell ref="J9:J13"/>
    <mergeCell ref="H62:H64"/>
    <mergeCell ref="I62:I64"/>
    <mergeCell ref="E73:E76"/>
    <mergeCell ref="F75:F76"/>
    <mergeCell ref="G75:G76"/>
    <mergeCell ref="H75:H76"/>
    <mergeCell ref="I75:I76"/>
    <mergeCell ref="DC73:DC76"/>
    <mergeCell ref="CW75:CW76"/>
    <mergeCell ref="CT73:CT76"/>
    <mergeCell ref="CW73:CW74"/>
    <mergeCell ref="P32:P38"/>
    <mergeCell ref="DF62:DF64"/>
    <mergeCell ref="F65:F68"/>
    <mergeCell ref="G65:G68"/>
    <mergeCell ref="H65:H68"/>
    <mergeCell ref="I65:I68"/>
    <mergeCell ref="CX62:CX68"/>
    <mergeCell ref="DC62:DC71"/>
    <mergeCell ref="CT62:CT71"/>
    <mergeCell ref="DF65:DF68"/>
    <mergeCell ref="F70:F71"/>
    <mergeCell ref="G70:G71"/>
    <mergeCell ref="H70:H71"/>
    <mergeCell ref="I70:I71"/>
    <mergeCell ref="AO62:AO71"/>
    <mergeCell ref="AP62:AP71"/>
    <mergeCell ref="AQ62:AQ71"/>
    <mergeCell ref="AR62:AR71"/>
    <mergeCell ref="AS62:AS71"/>
    <mergeCell ref="AT62:AT71"/>
    <mergeCell ref="CU62:CU71"/>
    <mergeCell ref="AJ65:AJ68"/>
    <mergeCell ref="AJ70:AJ71"/>
    <mergeCell ref="AH65:AH68"/>
    <mergeCell ref="AI65:AI68"/>
    <mergeCell ref="G78:G85"/>
    <mergeCell ref="H78:H85"/>
    <mergeCell ref="I78:I85"/>
    <mergeCell ref="A78:A85"/>
    <mergeCell ref="B78:B85"/>
    <mergeCell ref="C78:C85"/>
    <mergeCell ref="D78:D85"/>
    <mergeCell ref="E78:E85"/>
    <mergeCell ref="F78:F85"/>
    <mergeCell ref="DC82:DC85"/>
    <mergeCell ref="CX78:CX80"/>
    <mergeCell ref="DC78:DC80"/>
    <mergeCell ref="CX83:CX85"/>
    <mergeCell ref="CT82:CT85"/>
    <mergeCell ref="G87:G88"/>
    <mergeCell ref="H87:H88"/>
    <mergeCell ref="I87:I88"/>
    <mergeCell ref="J87:J95"/>
    <mergeCell ref="K87:K89"/>
    <mergeCell ref="L87:L89"/>
    <mergeCell ref="Z87:Z89"/>
    <mergeCell ref="AA87:AA89"/>
    <mergeCell ref="CV87:CV95"/>
    <mergeCell ref="G93:G95"/>
    <mergeCell ref="H93:H95"/>
    <mergeCell ref="I93:I95"/>
    <mergeCell ref="K94:K95"/>
    <mergeCell ref="L94:L95"/>
    <mergeCell ref="M94:M95"/>
    <mergeCell ref="AJ87:AJ89"/>
    <mergeCell ref="AR87:AR95"/>
    <mergeCell ref="AS87:AS95"/>
    <mergeCell ref="AT87:AT95"/>
    <mergeCell ref="A87:A97"/>
    <mergeCell ref="B87:B97"/>
    <mergeCell ref="C87:C97"/>
    <mergeCell ref="D87:D88"/>
    <mergeCell ref="E87:E88"/>
    <mergeCell ref="F87:F88"/>
    <mergeCell ref="W87:W89"/>
    <mergeCell ref="X87:X89"/>
    <mergeCell ref="Y87:Y89"/>
    <mergeCell ref="M87:M89"/>
    <mergeCell ref="N87:N89"/>
    <mergeCell ref="R87:R89"/>
    <mergeCell ref="S87:S89"/>
    <mergeCell ref="T87:T89"/>
    <mergeCell ref="U87:U89"/>
    <mergeCell ref="N94:N95"/>
    <mergeCell ref="O94:O95"/>
    <mergeCell ref="P94:P95"/>
    <mergeCell ref="Q94:Q95"/>
    <mergeCell ref="R94:R95"/>
    <mergeCell ref="S94:S95"/>
    <mergeCell ref="D93:D95"/>
    <mergeCell ref="E93:E95"/>
    <mergeCell ref="F93:F95"/>
    <mergeCell ref="AD94:AD95"/>
    <mergeCell ref="CT87:CT95"/>
    <mergeCell ref="CU87:CU95"/>
    <mergeCell ref="AQ94:AQ95"/>
    <mergeCell ref="V87:V89"/>
    <mergeCell ref="Z94:Z95"/>
    <mergeCell ref="AA94:AA95"/>
    <mergeCell ref="AJ94:AJ95"/>
    <mergeCell ref="AN94:AN95"/>
    <mergeCell ref="AO94:AO95"/>
    <mergeCell ref="AP94:AP95"/>
    <mergeCell ref="AE94:AE95"/>
    <mergeCell ref="AF94:AF95"/>
    <mergeCell ref="AG94:AG95"/>
    <mergeCell ref="AH94:AH95"/>
    <mergeCell ref="AI94:AI95"/>
    <mergeCell ref="AB87:AB89"/>
    <mergeCell ref="AC87:AC89"/>
    <mergeCell ref="AD87:AD89"/>
    <mergeCell ref="AE87:AE89"/>
    <mergeCell ref="BJ87:BJ95"/>
    <mergeCell ref="BK87:BK95"/>
    <mergeCell ref="BL87:BL95"/>
    <mergeCell ref="AL94:AL95"/>
    <mergeCell ref="J96:Y96"/>
    <mergeCell ref="AA96:AK96"/>
    <mergeCell ref="AX96:BF96"/>
    <mergeCell ref="BH96:BI96"/>
    <mergeCell ref="J72:AB72"/>
    <mergeCell ref="AD72:AK72"/>
    <mergeCell ref="AX72:BF72"/>
    <mergeCell ref="BH72:BI72"/>
    <mergeCell ref="J77:AD77"/>
    <mergeCell ref="AF77:AK77"/>
    <mergeCell ref="AX77:BF77"/>
    <mergeCell ref="BH77:BI77"/>
    <mergeCell ref="J86:AJ86"/>
    <mergeCell ref="AX86:BF86"/>
    <mergeCell ref="BH86:BI86"/>
    <mergeCell ref="T94:T95"/>
    <mergeCell ref="U94:U95"/>
    <mergeCell ref="V94:V95"/>
    <mergeCell ref="W94:W95"/>
    <mergeCell ref="X94:X95"/>
    <mergeCell ref="Y94:Y95"/>
    <mergeCell ref="AB94:AB95"/>
    <mergeCell ref="AC94:AC95"/>
  </mergeCells>
  <pageMargins left="0.7" right="0.7" top="0.75" bottom="0.75" header="0.3" footer="0.3"/>
  <pageSetup paperSize="9" scale="2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27"/>
  <sheetViews>
    <sheetView topLeftCell="A8" zoomScale="60" zoomScaleNormal="60" workbookViewId="0">
      <selection activeCell="N27" sqref="B18:N27"/>
    </sheetView>
  </sheetViews>
  <sheetFormatPr baseColWidth="10" defaultRowHeight="15" x14ac:dyDescent="0.25"/>
  <cols>
    <col min="2" max="2" width="25" customWidth="1"/>
    <col min="3" max="3" width="33.5703125" customWidth="1"/>
    <col min="5" max="5" width="21.28515625" customWidth="1"/>
    <col min="6" max="6" width="31" customWidth="1"/>
    <col min="7" max="14" width="29.28515625" customWidth="1"/>
  </cols>
  <sheetData>
    <row r="2" spans="2:14" x14ac:dyDescent="0.25">
      <c r="G2" s="737" t="s">
        <v>554</v>
      </c>
      <c r="H2" s="526" t="s">
        <v>34</v>
      </c>
      <c r="I2" s="530" t="s">
        <v>526</v>
      </c>
      <c r="J2" s="530" t="s">
        <v>524</v>
      </c>
      <c r="K2" s="530" t="s">
        <v>525</v>
      </c>
      <c r="L2" s="530" t="s">
        <v>523</v>
      </c>
      <c r="M2" s="530" t="s">
        <v>555</v>
      </c>
      <c r="N2" s="526" t="s">
        <v>35</v>
      </c>
    </row>
    <row r="3" spans="2:14" ht="54.75" customHeight="1" x14ac:dyDescent="0.25">
      <c r="G3" s="737"/>
      <c r="H3" s="526"/>
      <c r="I3" s="530"/>
      <c r="J3" s="530"/>
      <c r="K3" s="530"/>
      <c r="L3" s="530"/>
      <c r="M3" s="530"/>
      <c r="N3" s="526"/>
    </row>
    <row r="4" spans="2:14" x14ac:dyDescent="0.25">
      <c r="B4" s="741" t="s">
        <v>440</v>
      </c>
      <c r="C4" s="435" t="s">
        <v>441</v>
      </c>
      <c r="D4" s="435" t="s">
        <v>442</v>
      </c>
      <c r="E4" s="452">
        <v>931838490672</v>
      </c>
      <c r="F4" s="435" t="s">
        <v>443</v>
      </c>
      <c r="G4" s="738">
        <v>1047261338899</v>
      </c>
      <c r="H4" s="738">
        <v>357537406369</v>
      </c>
      <c r="I4" s="738">
        <v>41148912513</v>
      </c>
      <c r="J4" s="738">
        <v>84284651075</v>
      </c>
      <c r="K4" s="738">
        <v>125449357977</v>
      </c>
      <c r="L4" s="739">
        <f>SUM(I4:K6)</f>
        <v>250882921565</v>
      </c>
      <c r="M4" s="736"/>
      <c r="N4" s="740">
        <f>I4+J4+K4+M4</f>
        <v>250882921565</v>
      </c>
    </row>
    <row r="5" spans="2:14" x14ac:dyDescent="0.25">
      <c r="B5" s="741"/>
      <c r="C5" s="435"/>
      <c r="D5" s="435"/>
      <c r="E5" s="452"/>
      <c r="F5" s="435"/>
      <c r="G5" s="738"/>
      <c r="H5" s="738"/>
      <c r="I5" s="738"/>
      <c r="J5" s="738"/>
      <c r="K5" s="738"/>
      <c r="L5" s="500"/>
      <c r="M5" s="736"/>
      <c r="N5" s="740"/>
    </row>
    <row r="6" spans="2:14" x14ac:dyDescent="0.25">
      <c r="B6" s="741"/>
      <c r="C6" s="435"/>
      <c r="D6" s="435"/>
      <c r="E6" s="452"/>
      <c r="F6" s="435"/>
      <c r="G6" s="738"/>
      <c r="H6" s="738"/>
      <c r="I6" s="738"/>
      <c r="J6" s="738"/>
      <c r="K6" s="738"/>
      <c r="L6" s="500"/>
      <c r="M6" s="736"/>
      <c r="N6" s="740"/>
    </row>
    <row r="7" spans="2:14" ht="45" x14ac:dyDescent="0.25">
      <c r="B7" s="741"/>
      <c r="C7" s="31" t="s">
        <v>472</v>
      </c>
      <c r="D7" s="31" t="s">
        <v>442</v>
      </c>
      <c r="E7" s="32">
        <v>1052980949605</v>
      </c>
      <c r="F7" s="31" t="s">
        <v>473</v>
      </c>
      <c r="G7" s="126">
        <v>1189376917533</v>
      </c>
      <c r="H7" s="126">
        <v>443909637139</v>
      </c>
      <c r="I7" s="126">
        <v>79015372651</v>
      </c>
      <c r="J7" s="126">
        <v>8884325143</v>
      </c>
      <c r="K7" s="126">
        <v>109782656394</v>
      </c>
      <c r="L7" s="128">
        <f>SUM(I7:K7)</f>
        <v>197682354188</v>
      </c>
      <c r="M7" s="129"/>
      <c r="N7" s="127">
        <f>I7++J7+K7</f>
        <v>197682354188</v>
      </c>
    </row>
    <row r="8" spans="2:14" ht="45" x14ac:dyDescent="0.25">
      <c r="B8" s="741"/>
      <c r="C8" s="31" t="s">
        <v>480</v>
      </c>
      <c r="D8" s="31" t="s">
        <v>442</v>
      </c>
      <c r="E8" s="32">
        <v>33340137211</v>
      </c>
      <c r="F8" s="31" t="s">
        <v>481</v>
      </c>
      <c r="G8" s="126">
        <v>14454734972</v>
      </c>
      <c r="H8" s="126">
        <v>6875590435</v>
      </c>
      <c r="I8" s="126">
        <v>209729000</v>
      </c>
      <c r="J8" s="126">
        <v>1204551000</v>
      </c>
      <c r="K8" s="129"/>
      <c r="L8" s="130">
        <f t="shared" ref="L8:L10" si="0">SUM(I8:K8)</f>
        <v>1414280000</v>
      </c>
      <c r="M8" s="129"/>
      <c r="N8" s="127">
        <f>I8+J8+K8+M8</f>
        <v>1414280000</v>
      </c>
    </row>
    <row r="9" spans="2:14" ht="45" x14ac:dyDescent="0.25">
      <c r="B9" s="741"/>
      <c r="C9" s="31" t="s">
        <v>487</v>
      </c>
      <c r="D9" s="31" t="s">
        <v>442</v>
      </c>
      <c r="E9" s="32">
        <v>141298575616</v>
      </c>
      <c r="F9" s="31" t="s">
        <v>488</v>
      </c>
      <c r="G9" s="126">
        <v>176659841306</v>
      </c>
      <c r="H9" s="126">
        <v>47769293020</v>
      </c>
      <c r="I9" s="126">
        <v>4813167000</v>
      </c>
      <c r="J9" s="126">
        <v>4543363000</v>
      </c>
      <c r="K9" s="129"/>
      <c r="L9" s="130">
        <f t="shared" si="0"/>
        <v>9356530000</v>
      </c>
      <c r="M9" s="129"/>
      <c r="N9" s="127">
        <f>I9+J9+K9+M9</f>
        <v>9356530000</v>
      </c>
    </row>
    <row r="10" spans="2:14" ht="45" x14ac:dyDescent="0.25">
      <c r="B10" s="741"/>
      <c r="C10" s="31" t="s">
        <v>495</v>
      </c>
      <c r="D10" s="31" t="s">
        <v>76</v>
      </c>
      <c r="E10" s="31">
        <v>0</v>
      </c>
      <c r="F10" s="31" t="s">
        <v>496</v>
      </c>
      <c r="G10" s="131">
        <v>1</v>
      </c>
      <c r="H10" s="131">
        <v>0.5</v>
      </c>
      <c r="I10" s="131">
        <v>0</v>
      </c>
      <c r="J10" s="131">
        <v>0</v>
      </c>
      <c r="K10" s="131">
        <v>0</v>
      </c>
      <c r="L10" s="132">
        <f t="shared" si="0"/>
        <v>0</v>
      </c>
      <c r="M10" s="133"/>
      <c r="N10" s="131">
        <f>I10+J10+K10+M10</f>
        <v>0</v>
      </c>
    </row>
    <row r="11" spans="2:14" ht="75" x14ac:dyDescent="0.25">
      <c r="B11" s="741"/>
      <c r="C11" s="31" t="s">
        <v>503</v>
      </c>
      <c r="D11" s="31" t="s">
        <v>76</v>
      </c>
      <c r="E11" s="31">
        <v>0</v>
      </c>
      <c r="F11" s="31" t="s">
        <v>504</v>
      </c>
      <c r="G11" s="131">
        <v>3</v>
      </c>
      <c r="H11" s="131">
        <v>1</v>
      </c>
      <c r="I11" s="131">
        <v>3</v>
      </c>
      <c r="J11" s="131">
        <v>3</v>
      </c>
      <c r="K11" s="131">
        <v>3</v>
      </c>
      <c r="L11" s="132">
        <v>3</v>
      </c>
      <c r="M11" s="133"/>
      <c r="N11" s="131">
        <f>I11+J11+K11+M11</f>
        <v>9</v>
      </c>
    </row>
    <row r="16" spans="2:14" x14ac:dyDescent="0.25">
      <c r="B16" s="140" t="s">
        <v>556</v>
      </c>
    </row>
    <row r="18" spans="2:14" x14ac:dyDescent="0.25">
      <c r="G18" s="737" t="s">
        <v>554</v>
      </c>
      <c r="H18" s="526" t="s">
        <v>34</v>
      </c>
      <c r="I18" s="530" t="s">
        <v>526</v>
      </c>
      <c r="J18" s="530" t="s">
        <v>524</v>
      </c>
      <c r="K18" s="530" t="s">
        <v>525</v>
      </c>
      <c r="L18" s="530" t="s">
        <v>523</v>
      </c>
      <c r="M18" s="530" t="s">
        <v>555</v>
      </c>
      <c r="N18" s="526" t="s">
        <v>35</v>
      </c>
    </row>
    <row r="19" spans="2:14" x14ac:dyDescent="0.25">
      <c r="G19" s="737"/>
      <c r="H19" s="526"/>
      <c r="I19" s="530"/>
      <c r="J19" s="530"/>
      <c r="K19" s="530"/>
      <c r="L19" s="530"/>
      <c r="M19" s="530"/>
      <c r="N19" s="526"/>
    </row>
    <row r="20" spans="2:14" x14ac:dyDescent="0.25">
      <c r="B20" s="741" t="s">
        <v>440</v>
      </c>
      <c r="C20" s="435" t="s">
        <v>441</v>
      </c>
      <c r="D20" s="435" t="s">
        <v>442</v>
      </c>
      <c r="E20" s="452">
        <v>931838490672</v>
      </c>
      <c r="F20" s="435" t="s">
        <v>443</v>
      </c>
      <c r="G20" s="448">
        <v>1047261338899</v>
      </c>
      <c r="H20" s="448">
        <v>357537406369</v>
      </c>
      <c r="I20" s="448">
        <v>41148912513</v>
      </c>
      <c r="J20" s="448">
        <v>84284651075</v>
      </c>
      <c r="K20" s="455">
        <v>125449357977</v>
      </c>
      <c r="L20" s="742">
        <f>SUM(I20:K22)</f>
        <v>250882921565</v>
      </c>
      <c r="M20" s="569">
        <v>27688013778</v>
      </c>
      <c r="N20" s="740">
        <f>I20+J20+K20+M20</f>
        <v>278570935343</v>
      </c>
    </row>
    <row r="21" spans="2:14" x14ac:dyDescent="0.25">
      <c r="B21" s="741"/>
      <c r="C21" s="435"/>
      <c r="D21" s="435"/>
      <c r="E21" s="452"/>
      <c r="F21" s="435"/>
      <c r="G21" s="448"/>
      <c r="H21" s="448"/>
      <c r="I21" s="448"/>
      <c r="J21" s="448"/>
      <c r="K21" s="455"/>
      <c r="L21" s="742"/>
      <c r="M21" s="569"/>
      <c r="N21" s="740"/>
    </row>
    <row r="22" spans="2:14" x14ac:dyDescent="0.25">
      <c r="B22" s="741"/>
      <c r="C22" s="435"/>
      <c r="D22" s="435"/>
      <c r="E22" s="452"/>
      <c r="F22" s="435"/>
      <c r="G22" s="448"/>
      <c r="H22" s="448"/>
      <c r="I22" s="448"/>
      <c r="J22" s="448"/>
      <c r="K22" s="455"/>
      <c r="L22" s="742"/>
      <c r="M22" s="569"/>
      <c r="N22" s="740"/>
    </row>
    <row r="23" spans="2:14" ht="45" x14ac:dyDescent="0.25">
      <c r="B23" s="741"/>
      <c r="C23" s="31" t="s">
        <v>472</v>
      </c>
      <c r="D23" s="31" t="s">
        <v>442</v>
      </c>
      <c r="E23" s="32">
        <v>1052980949605</v>
      </c>
      <c r="F23" s="31" t="s">
        <v>473</v>
      </c>
      <c r="G23" s="134">
        <v>1189376917533</v>
      </c>
      <c r="H23" s="134">
        <v>443909637139</v>
      </c>
      <c r="I23" s="134">
        <v>79015372651</v>
      </c>
      <c r="J23" s="134">
        <v>8884325143</v>
      </c>
      <c r="K23" s="135">
        <v>109782656394</v>
      </c>
      <c r="L23" s="137">
        <f>SUM(I23:K23)</f>
        <v>197682354188</v>
      </c>
      <c r="M23" s="136">
        <f>544495214+44776469024</f>
        <v>45320964238</v>
      </c>
      <c r="N23" s="127">
        <f>I23++J23+K23</f>
        <v>197682354188</v>
      </c>
    </row>
    <row r="24" spans="2:14" ht="45" x14ac:dyDescent="0.25">
      <c r="B24" s="741"/>
      <c r="C24" s="31" t="s">
        <v>480</v>
      </c>
      <c r="D24" s="31" t="s">
        <v>442</v>
      </c>
      <c r="E24" s="32">
        <v>33340137211</v>
      </c>
      <c r="F24" s="31" t="s">
        <v>481</v>
      </c>
      <c r="G24" s="134">
        <v>14454734972</v>
      </c>
      <c r="H24" s="134">
        <v>6875590435</v>
      </c>
      <c r="I24" s="134">
        <v>209729000</v>
      </c>
      <c r="J24" s="134">
        <v>1204551000</v>
      </c>
      <c r="K24" s="138">
        <v>438365000</v>
      </c>
      <c r="L24" s="137">
        <f t="shared" ref="L24:L26" si="1">SUM(I24:K24)</f>
        <v>1852645000</v>
      </c>
      <c r="M24" s="136">
        <v>1001191000</v>
      </c>
      <c r="N24" s="127">
        <f>+I24+J24+K24</f>
        <v>1852645000</v>
      </c>
    </row>
    <row r="25" spans="2:14" ht="45" x14ac:dyDescent="0.25">
      <c r="B25" s="741"/>
      <c r="C25" s="31" t="s">
        <v>487</v>
      </c>
      <c r="D25" s="31" t="s">
        <v>442</v>
      </c>
      <c r="E25" s="32">
        <v>141298575616</v>
      </c>
      <c r="F25" s="31" t="s">
        <v>488</v>
      </c>
      <c r="G25" s="134">
        <v>176659841306</v>
      </c>
      <c r="H25" s="134">
        <v>47769293020</v>
      </c>
      <c r="I25" s="134">
        <v>4813167000</v>
      </c>
      <c r="J25" s="134">
        <v>4543363000</v>
      </c>
      <c r="K25" s="138">
        <v>4862819000</v>
      </c>
      <c r="L25" s="137">
        <f t="shared" si="1"/>
        <v>14219349000</v>
      </c>
      <c r="M25" s="136"/>
      <c r="N25" s="127">
        <f>I25+J25+K25+M25</f>
        <v>14219349000</v>
      </c>
    </row>
    <row r="26" spans="2:14" ht="45" x14ac:dyDescent="0.25">
      <c r="B26" s="741"/>
      <c r="C26" s="31" t="s">
        <v>495</v>
      </c>
      <c r="D26" s="31" t="s">
        <v>76</v>
      </c>
      <c r="E26" s="31">
        <v>0</v>
      </c>
      <c r="F26" s="31" t="s">
        <v>496</v>
      </c>
      <c r="G26" s="131">
        <v>1</v>
      </c>
      <c r="H26" s="131">
        <v>0.5</v>
      </c>
      <c r="I26" s="131">
        <v>0</v>
      </c>
      <c r="J26" s="131">
        <v>0</v>
      </c>
      <c r="K26" s="131">
        <v>0</v>
      </c>
      <c r="L26" s="132">
        <f t="shared" si="1"/>
        <v>0</v>
      </c>
      <c r="M26" s="139">
        <v>0</v>
      </c>
      <c r="N26" s="131">
        <f>I26+J26+K26+M26</f>
        <v>0</v>
      </c>
    </row>
    <row r="27" spans="2:14" ht="75" x14ac:dyDescent="0.25">
      <c r="B27" s="741"/>
      <c r="C27" s="31" t="s">
        <v>503</v>
      </c>
      <c r="D27" s="31" t="s">
        <v>76</v>
      </c>
      <c r="E27" s="31">
        <v>0</v>
      </c>
      <c r="F27" s="31" t="s">
        <v>504</v>
      </c>
      <c r="G27" s="131">
        <v>3</v>
      </c>
      <c r="H27" s="131">
        <v>1</v>
      </c>
      <c r="I27" s="131">
        <v>3</v>
      </c>
      <c r="J27" s="131">
        <v>3</v>
      </c>
      <c r="K27" s="131">
        <v>3</v>
      </c>
      <c r="L27" s="132">
        <v>3</v>
      </c>
      <c r="M27" s="131">
        <v>3</v>
      </c>
      <c r="N27" s="131">
        <f>I27+J27+K27+M27</f>
        <v>12</v>
      </c>
    </row>
  </sheetData>
  <mergeCells count="42">
    <mergeCell ref="L18:L19"/>
    <mergeCell ref="M18:M19"/>
    <mergeCell ref="N18:N19"/>
    <mergeCell ref="B20:B27"/>
    <mergeCell ref="C20:C22"/>
    <mergeCell ref="D20:D22"/>
    <mergeCell ref="E20:E22"/>
    <mergeCell ref="F20:F22"/>
    <mergeCell ref="G20:G22"/>
    <mergeCell ref="H20:H22"/>
    <mergeCell ref="I20:I22"/>
    <mergeCell ref="J20:J22"/>
    <mergeCell ref="K20:K22"/>
    <mergeCell ref="L20:L22"/>
    <mergeCell ref="M20:M22"/>
    <mergeCell ref="N20:N22"/>
    <mergeCell ref="G18:G19"/>
    <mergeCell ref="H18:H19"/>
    <mergeCell ref="I18:I19"/>
    <mergeCell ref="J18:J19"/>
    <mergeCell ref="K18:K19"/>
    <mergeCell ref="B4:B11"/>
    <mergeCell ref="C4:C6"/>
    <mergeCell ref="D4:D6"/>
    <mergeCell ref="E4:E6"/>
    <mergeCell ref="F4:F6"/>
    <mergeCell ref="N2:N3"/>
    <mergeCell ref="M2:M3"/>
    <mergeCell ref="M4:M6"/>
    <mergeCell ref="G2:G3"/>
    <mergeCell ref="H2:H3"/>
    <mergeCell ref="I2:I3"/>
    <mergeCell ref="J2:J3"/>
    <mergeCell ref="K2:K3"/>
    <mergeCell ref="L2:L3"/>
    <mergeCell ref="H4:H6"/>
    <mergeCell ref="I4:I6"/>
    <mergeCell ref="J4:J6"/>
    <mergeCell ref="K4:K6"/>
    <mergeCell ref="L4:L6"/>
    <mergeCell ref="N4:N6"/>
    <mergeCell ref="G4:G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O14"/>
  <sheetViews>
    <sheetView topLeftCell="E1" zoomScale="60" zoomScaleNormal="60" workbookViewId="0">
      <selection activeCell="N7" sqref="N7:N14"/>
    </sheetView>
  </sheetViews>
  <sheetFormatPr baseColWidth="10" defaultRowHeight="15" x14ac:dyDescent="0.25"/>
  <cols>
    <col min="3" max="3" width="29.5703125" customWidth="1"/>
    <col min="5" max="15" width="27.7109375" customWidth="1"/>
  </cols>
  <sheetData>
    <row r="5" spans="2:15" ht="60.6" customHeight="1" x14ac:dyDescent="0.25">
      <c r="G5" s="737" t="s">
        <v>554</v>
      </c>
      <c r="H5" s="526" t="s">
        <v>34</v>
      </c>
      <c r="I5" s="530" t="s">
        <v>526</v>
      </c>
      <c r="J5" s="530" t="s">
        <v>524</v>
      </c>
      <c r="K5" s="530" t="s">
        <v>525</v>
      </c>
      <c r="L5" s="530" t="s">
        <v>523</v>
      </c>
      <c r="M5" s="530" t="s">
        <v>555</v>
      </c>
      <c r="N5" s="530" t="s">
        <v>557</v>
      </c>
      <c r="O5" s="526" t="s">
        <v>35</v>
      </c>
    </row>
    <row r="6" spans="2:15" x14ac:dyDescent="0.25">
      <c r="G6" s="737"/>
      <c r="H6" s="526"/>
      <c r="I6" s="530"/>
      <c r="J6" s="530"/>
      <c r="K6" s="530"/>
      <c r="L6" s="530"/>
      <c r="M6" s="530"/>
      <c r="N6" s="530"/>
      <c r="O6" s="526"/>
    </row>
    <row r="7" spans="2:15" x14ac:dyDescent="0.25">
      <c r="B7" s="741" t="s">
        <v>440</v>
      </c>
      <c r="C7" s="435" t="s">
        <v>441</v>
      </c>
      <c r="D7" s="435" t="s">
        <v>442</v>
      </c>
      <c r="E7" s="452">
        <v>931838490672</v>
      </c>
      <c r="F7" s="435" t="s">
        <v>443</v>
      </c>
      <c r="G7" s="448">
        <v>1047261338899</v>
      </c>
      <c r="H7" s="448">
        <v>357537406369</v>
      </c>
      <c r="I7" s="448">
        <v>41148912513</v>
      </c>
      <c r="J7" s="448">
        <v>84284651075</v>
      </c>
      <c r="K7" s="455">
        <v>125449357977</v>
      </c>
      <c r="L7" s="742">
        <f>SUM(I7:K9)</f>
        <v>250882921565</v>
      </c>
      <c r="M7" s="569">
        <v>27688013778</v>
      </c>
      <c r="N7" s="570"/>
      <c r="O7" s="740">
        <f>I7+J7+K7+M7+N7</f>
        <v>278570935343</v>
      </c>
    </row>
    <row r="8" spans="2:15" x14ac:dyDescent="0.25">
      <c r="B8" s="741"/>
      <c r="C8" s="435"/>
      <c r="D8" s="435"/>
      <c r="E8" s="452"/>
      <c r="F8" s="435"/>
      <c r="G8" s="448"/>
      <c r="H8" s="448"/>
      <c r="I8" s="448"/>
      <c r="J8" s="448"/>
      <c r="K8" s="455"/>
      <c r="L8" s="742"/>
      <c r="M8" s="569"/>
      <c r="N8" s="570"/>
      <c r="O8" s="740"/>
    </row>
    <row r="9" spans="2:15" x14ac:dyDescent="0.25">
      <c r="B9" s="741"/>
      <c r="C9" s="435"/>
      <c r="D9" s="435"/>
      <c r="E9" s="452"/>
      <c r="F9" s="435"/>
      <c r="G9" s="448"/>
      <c r="H9" s="448"/>
      <c r="I9" s="448"/>
      <c r="J9" s="448"/>
      <c r="K9" s="455"/>
      <c r="L9" s="742"/>
      <c r="M9" s="569"/>
      <c r="N9" s="570"/>
      <c r="O9" s="740"/>
    </row>
    <row r="10" spans="2:15" ht="45" x14ac:dyDescent="0.25">
      <c r="B10" s="741"/>
      <c r="C10" s="31" t="s">
        <v>472</v>
      </c>
      <c r="D10" s="31" t="s">
        <v>442</v>
      </c>
      <c r="E10" s="32">
        <v>1052980949605</v>
      </c>
      <c r="F10" s="31" t="s">
        <v>473</v>
      </c>
      <c r="G10" s="134">
        <v>1189376917533</v>
      </c>
      <c r="H10" s="134">
        <v>443909637139</v>
      </c>
      <c r="I10" s="134">
        <v>79015372651</v>
      </c>
      <c r="J10" s="134">
        <v>8884325143</v>
      </c>
      <c r="K10" s="135">
        <v>109782656394</v>
      </c>
      <c r="L10" s="137">
        <f>SUM(I10:K10)</f>
        <v>197682354188</v>
      </c>
      <c r="M10" s="136">
        <f>544495214+44776469024</f>
        <v>45320964238</v>
      </c>
      <c r="N10" s="141"/>
      <c r="O10" s="127">
        <f>I10++J10+K10+M10+N10</f>
        <v>243003318426</v>
      </c>
    </row>
    <row r="11" spans="2:15" ht="45" x14ac:dyDescent="0.25">
      <c r="B11" s="741"/>
      <c r="C11" s="31" t="s">
        <v>480</v>
      </c>
      <c r="D11" s="31" t="s">
        <v>442</v>
      </c>
      <c r="E11" s="32">
        <v>33340137211</v>
      </c>
      <c r="F11" s="31" t="s">
        <v>481</v>
      </c>
      <c r="G11" s="134">
        <v>14454734972</v>
      </c>
      <c r="H11" s="134">
        <v>6875590435</v>
      </c>
      <c r="I11" s="134">
        <v>209729000</v>
      </c>
      <c r="J11" s="134">
        <v>1204551000</v>
      </c>
      <c r="K11" s="138">
        <v>438365000</v>
      </c>
      <c r="L11" s="137">
        <f t="shared" ref="L11:L13" si="0">SUM(I11:K11)</f>
        <v>1852645000</v>
      </c>
      <c r="M11" s="136">
        <v>1001191000</v>
      </c>
      <c r="N11" s="141"/>
      <c r="O11" s="127">
        <f>+I11+J11+K11+M11+N11</f>
        <v>2853836000</v>
      </c>
    </row>
    <row r="12" spans="2:15" ht="45" x14ac:dyDescent="0.25">
      <c r="B12" s="741"/>
      <c r="C12" s="31" t="s">
        <v>487</v>
      </c>
      <c r="D12" s="31" t="s">
        <v>442</v>
      </c>
      <c r="E12" s="32">
        <v>141298575616</v>
      </c>
      <c r="F12" s="31" t="s">
        <v>488</v>
      </c>
      <c r="G12" s="134">
        <v>176659841306</v>
      </c>
      <c r="H12" s="134">
        <v>47769293020</v>
      </c>
      <c r="I12" s="134">
        <v>4813167000</v>
      </c>
      <c r="J12" s="134">
        <v>4543363000</v>
      </c>
      <c r="K12" s="138">
        <v>4862819000</v>
      </c>
      <c r="L12" s="137">
        <f t="shared" si="0"/>
        <v>14219349000</v>
      </c>
      <c r="M12" s="136"/>
      <c r="N12" s="141"/>
      <c r="O12" s="127">
        <f>I12+J12+K12+M12+N12</f>
        <v>14219349000</v>
      </c>
    </row>
    <row r="13" spans="2:15" ht="60" x14ac:dyDescent="0.25">
      <c r="B13" s="741"/>
      <c r="C13" s="31" t="s">
        <v>495</v>
      </c>
      <c r="D13" s="31" t="s">
        <v>76</v>
      </c>
      <c r="E13" s="31">
        <v>0</v>
      </c>
      <c r="F13" s="31" t="s">
        <v>496</v>
      </c>
      <c r="G13" s="131">
        <v>1</v>
      </c>
      <c r="H13" s="131">
        <v>0.5</v>
      </c>
      <c r="I13" s="131">
        <v>0</v>
      </c>
      <c r="J13" s="131">
        <v>0</v>
      </c>
      <c r="K13" s="131">
        <v>0</v>
      </c>
      <c r="L13" s="132">
        <f t="shared" si="0"/>
        <v>0</v>
      </c>
      <c r="M13" s="139">
        <v>0</v>
      </c>
      <c r="N13" s="142"/>
      <c r="O13" s="131">
        <f>I13+J13+K13+M13+N13</f>
        <v>0</v>
      </c>
    </row>
    <row r="14" spans="2:15" ht="75" x14ac:dyDescent="0.25">
      <c r="B14" s="741"/>
      <c r="C14" s="31" t="s">
        <v>503</v>
      </c>
      <c r="D14" s="31" t="s">
        <v>76</v>
      </c>
      <c r="E14" s="31">
        <v>0</v>
      </c>
      <c r="F14" s="31" t="s">
        <v>504</v>
      </c>
      <c r="G14" s="131">
        <v>3</v>
      </c>
      <c r="H14" s="131">
        <v>1</v>
      </c>
      <c r="I14" s="131">
        <v>3</v>
      </c>
      <c r="J14" s="131">
        <v>3</v>
      </c>
      <c r="K14" s="131">
        <v>3</v>
      </c>
      <c r="L14" s="132">
        <v>3</v>
      </c>
      <c r="M14" s="131">
        <v>3</v>
      </c>
      <c r="N14" s="142"/>
      <c r="O14" s="131">
        <f>I14+J14+K14+M14+N14</f>
        <v>12</v>
      </c>
    </row>
  </sheetData>
  <mergeCells count="23">
    <mergeCell ref="O7:O9"/>
    <mergeCell ref="O5:O6"/>
    <mergeCell ref="B7:B14"/>
    <mergeCell ref="C7:C9"/>
    <mergeCell ref="D7:D9"/>
    <mergeCell ref="E7:E9"/>
    <mergeCell ref="F7:F9"/>
    <mergeCell ref="G7:G9"/>
    <mergeCell ref="H7:H9"/>
    <mergeCell ref="I7:I9"/>
    <mergeCell ref="G5:G6"/>
    <mergeCell ref="H5:H6"/>
    <mergeCell ref="I5:I6"/>
    <mergeCell ref="J5:J6"/>
    <mergeCell ref="J7:J9"/>
    <mergeCell ref="K7:K9"/>
    <mergeCell ref="L7:L9"/>
    <mergeCell ref="K5:K6"/>
    <mergeCell ref="L5:L6"/>
    <mergeCell ref="N5:N6"/>
    <mergeCell ref="N7:N9"/>
    <mergeCell ref="M5:M6"/>
    <mergeCell ref="M7:M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20230212 PA mod FINANZAS</vt:lpstr>
      <vt:lpstr>20230212 PA mod FINANZAS (2)</vt:lpstr>
      <vt:lpstr>Hoja1</vt:lpstr>
      <vt:lpstr>Hoja2</vt:lpstr>
      <vt:lpstr>'20230212 PA mod FINANZAS'!Área_de_impresión</vt:lpstr>
      <vt:lpstr>'20230212 PA mod FINANZAS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Sindy Reales Flórez</dc:creator>
  <cp:lastModifiedBy>Mayerly Edith Ferreira Caro</cp:lastModifiedBy>
  <cp:lastPrinted>2023-07-21T19:07:55Z</cp:lastPrinted>
  <dcterms:created xsi:type="dcterms:W3CDTF">2023-02-13T17:19:18Z</dcterms:created>
  <dcterms:modified xsi:type="dcterms:W3CDTF">2024-01-29T16:22:09Z</dcterms:modified>
</cp:coreProperties>
</file>