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Luz Marlene\OneDrive\EDUCACIÓN\PLAN DE ACCION 2023\SECRETARIA DEL INTERIOR\DICIEMBRE 31 DE 2023\"/>
    </mc:Choice>
  </mc:AlternateContent>
  <xr:revisionPtr revIDLastSave="0" documentId="13_ncr:1_{184C39BC-5764-4CDC-ACF2-B24B9EBFFDB1}" xr6:coauthVersionLast="47" xr6:coauthVersionMax="47" xr10:uidLastSave="{00000000-0000-0000-0000-000000000000}"/>
  <bookViews>
    <workbookView xWindow="-120" yWindow="-120" windowWidth="20730" windowHeight="11160" xr2:uid="{00000000-000D-0000-FFFF-FFFF00000000}"/>
  </bookViews>
  <sheets>
    <sheet name="SICC" sheetId="1" r:id="rId1"/>
    <sheet name="PISCC" sheetId="4" r:id="rId2"/>
    <sheet name="INSTRUCTIVO" sheetId="3" r:id="rId3"/>
    <sheet name="CONTROL DE CAMBIOS " sheetId="2" r:id="rId4"/>
    <sheet name="Hoja1"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3" i="1" l="1"/>
  <c r="Z73" i="1"/>
  <c r="Z70" i="1"/>
  <c r="AB68" i="1"/>
  <c r="Z68" i="1"/>
  <c r="Z63" i="1"/>
  <c r="Z61" i="1"/>
  <c r="Z59" i="1"/>
  <c r="Z57" i="1"/>
  <c r="Z56" i="1"/>
  <c r="Z54" i="1"/>
  <c r="AB52" i="1"/>
  <c r="Z52" i="1"/>
  <c r="Z51" i="1"/>
  <c r="Z50" i="1"/>
  <c r="AB40" i="1"/>
  <c r="Z40" i="1"/>
  <c r="Z39" i="1"/>
  <c r="Z37" i="1"/>
  <c r="Z35" i="1"/>
  <c r="Z34" i="1"/>
  <c r="Z31" i="1"/>
  <c r="Z30" i="1"/>
  <c r="Z29" i="1"/>
  <c r="Z28" i="1"/>
  <c r="Z26" i="1"/>
  <c r="Z22" i="1"/>
  <c r="Z21" i="1"/>
  <c r="Z17" i="1"/>
  <c r="Z16" i="1"/>
  <c r="BH12" i="4" l="1"/>
  <c r="AN34" i="4" l="1"/>
  <c r="AN32" i="4"/>
  <c r="AN31" i="4"/>
  <c r="AN29" i="4"/>
  <c r="AN28" i="4"/>
  <c r="AN27" i="4"/>
  <c r="AN26" i="4"/>
  <c r="AN24" i="4"/>
  <c r="AN23" i="4"/>
  <c r="AN21" i="4"/>
  <c r="AN20" i="4"/>
  <c r="AN19" i="4"/>
  <c r="AN18" i="4"/>
  <c r="AN16" i="4"/>
  <c r="AN15" i="4"/>
  <c r="AN14" i="4"/>
  <c r="AN13" i="4"/>
  <c r="AN12" i="4"/>
  <c r="AN10" i="4"/>
  <c r="AN9" i="4"/>
  <c r="BB59" i="1" l="1"/>
  <c r="BB54" i="1"/>
  <c r="BB51" i="1"/>
  <c r="BB20" i="1"/>
  <c r="BK37" i="1" l="1"/>
  <c r="BH20" i="1"/>
  <c r="BH16" i="1"/>
  <c r="BK16" i="1" s="1"/>
  <c r="BH15" i="1"/>
  <c r="BI15" i="1"/>
  <c r="BJ15" i="1"/>
  <c r="BK9" i="1"/>
  <c r="AQ75" i="1" l="1"/>
  <c r="AQ74" i="1"/>
  <c r="AQ73" i="1"/>
  <c r="AQ72" i="1"/>
  <c r="AQ70" i="1"/>
  <c r="AQ69" i="1"/>
  <c r="AQ68" i="1"/>
  <c r="AQ62" i="1"/>
  <c r="AQ61" i="1"/>
  <c r="AQ59" i="1"/>
  <c r="AQ58" i="1"/>
  <c r="AQ57" i="1"/>
  <c r="AQ56" i="1"/>
  <c r="AQ55" i="1"/>
  <c r="AQ54" i="1"/>
  <c r="AQ52" i="1"/>
  <c r="AQ51" i="1"/>
  <c r="AQ50" i="1"/>
  <c r="AQ49" i="1"/>
  <c r="AQ48" i="1"/>
  <c r="AQ47" i="1"/>
  <c r="AQ42" i="1"/>
  <c r="AQ41" i="1"/>
  <c r="AQ40" i="1"/>
  <c r="AQ39" i="1"/>
  <c r="AQ37" i="1"/>
  <c r="AQ35" i="1"/>
  <c r="AQ33" i="1"/>
  <c r="AQ31" i="1"/>
  <c r="AQ30" i="1"/>
  <c r="AQ29" i="1"/>
  <c r="AQ28" i="1"/>
  <c r="AQ26" i="1"/>
  <c r="AQ24" i="1"/>
  <c r="AQ23" i="1"/>
  <c r="AQ22" i="1"/>
  <c r="AQ21" i="1"/>
  <c r="AQ20" i="1"/>
  <c r="AR21" i="1"/>
  <c r="AQ18" i="1"/>
  <c r="AQ16" i="1"/>
  <c r="AQ14" i="1"/>
  <c r="AQ13" i="1"/>
  <c r="AQ12" i="1"/>
  <c r="AQ11" i="1"/>
  <c r="AQ9" i="1"/>
  <c r="AB36" i="1" l="1"/>
  <c r="AB32" i="1"/>
  <c r="AB27" i="1"/>
  <c r="AB19" i="1"/>
  <c r="Y75" i="1"/>
  <c r="Y51" i="1"/>
  <c r="Y35" i="1"/>
  <c r="AA34" i="1"/>
  <c r="Y30" i="1"/>
  <c r="AA30" i="1" s="1"/>
  <c r="Y73" i="1"/>
  <c r="Y72" i="1"/>
  <c r="Y68" i="1"/>
  <c r="Y61" i="1"/>
  <c r="Y59" i="1"/>
  <c r="Y56" i="1"/>
  <c r="Y54" i="1"/>
  <c r="Y52" i="1"/>
  <c r="Y40" i="1"/>
  <c r="Y39" i="1"/>
  <c r="Y37" i="1"/>
  <c r="Y34" i="1"/>
  <c r="Y28" i="1"/>
  <c r="Y26" i="1"/>
  <c r="Y22" i="1"/>
  <c r="Y21" i="1"/>
  <c r="Y20" i="1"/>
  <c r="Y17" i="1"/>
  <c r="Y16" i="1"/>
  <c r="Y11" i="1"/>
  <c r="AB11" i="1" s="1"/>
  <c r="Y9" i="1"/>
  <c r="AB9" i="1" s="1"/>
  <c r="AB15" i="1" s="1"/>
  <c r="Y57" i="1" l="1"/>
  <c r="Y50" i="1"/>
  <c r="AA9" i="1"/>
  <c r="BI76" i="1"/>
  <c r="BJ76" i="1"/>
  <c r="BH76" i="1"/>
  <c r="BK72" i="1"/>
  <c r="BK76" i="1" s="1"/>
  <c r="BI71" i="1"/>
  <c r="BJ71" i="1"/>
  <c r="BH71" i="1"/>
  <c r="BK68" i="1"/>
  <c r="BK71" i="1" s="1"/>
  <c r="BI64" i="1"/>
  <c r="BJ64" i="1"/>
  <c r="BH64" i="1"/>
  <c r="BK61" i="1"/>
  <c r="BK64" i="1" s="1"/>
  <c r="BI60" i="1"/>
  <c r="BJ60" i="1"/>
  <c r="BH60" i="1"/>
  <c r="BK54" i="1"/>
  <c r="BK60" i="1" s="1"/>
  <c r="BI53" i="1"/>
  <c r="BJ53" i="1"/>
  <c r="BH53" i="1"/>
  <c r="BK47" i="1"/>
  <c r="BK53" i="1" s="1"/>
  <c r="BI46" i="1"/>
  <c r="BJ46" i="1"/>
  <c r="BH46" i="1"/>
  <c r="BK39" i="1"/>
  <c r="BK46" i="1" s="1"/>
  <c r="BI38" i="1"/>
  <c r="BJ38" i="1"/>
  <c r="BH38" i="1"/>
  <c r="BK38" i="1"/>
  <c r="BI36" i="1"/>
  <c r="BJ36" i="1"/>
  <c r="BH36" i="1"/>
  <c r="BK33" i="1"/>
  <c r="BK36" i="1" s="1"/>
  <c r="BI32" i="1"/>
  <c r="BJ32" i="1"/>
  <c r="BH32" i="1"/>
  <c r="BK28" i="1"/>
  <c r="BK32" i="1" s="1"/>
  <c r="BI27" i="1"/>
  <c r="BJ27" i="1"/>
  <c r="BH27" i="1"/>
  <c r="BK26" i="1"/>
  <c r="BK27" i="1" s="1"/>
  <c r="BI25" i="1"/>
  <c r="BJ25" i="1"/>
  <c r="BH25" i="1"/>
  <c r="BK20" i="1"/>
  <c r="BK25" i="1" s="1"/>
  <c r="BI19" i="1"/>
  <c r="BJ19" i="1"/>
  <c r="BH19" i="1"/>
  <c r="BK19" i="1"/>
  <c r="BF22" i="4"/>
  <c r="BG22" i="4"/>
  <c r="BE17" i="4"/>
  <c r="BF35" i="4"/>
  <c r="BG35" i="4"/>
  <c r="BE35" i="4"/>
  <c r="BH35" i="4"/>
  <c r="BH34" i="4"/>
  <c r="BF33" i="4"/>
  <c r="BG33" i="4"/>
  <c r="BE33" i="4"/>
  <c r="BH31" i="4"/>
  <c r="BH33" i="4" s="1"/>
  <c r="BF30" i="4"/>
  <c r="BG30" i="4"/>
  <c r="BE30" i="4"/>
  <c r="BH26" i="4"/>
  <c r="BH30" i="4" s="1"/>
  <c r="BF25" i="4"/>
  <c r="BG25" i="4"/>
  <c r="BE25" i="4"/>
  <c r="BH23" i="4"/>
  <c r="BH25" i="4" s="1"/>
  <c r="BH18" i="4"/>
  <c r="BH22" i="4" s="1"/>
  <c r="BE22" i="4"/>
  <c r="BF17" i="4"/>
  <c r="BG17" i="4"/>
  <c r="BH17" i="4"/>
  <c r="BF11" i="4"/>
  <c r="BG11" i="4"/>
  <c r="BH11" i="4"/>
  <c r="BE11" i="4"/>
  <c r="BK15" i="1"/>
  <c r="BE39" i="4" l="1"/>
  <c r="BF39" i="4"/>
  <c r="BE41" i="4" s="1"/>
  <c r="BH82" i="1"/>
  <c r="BG39" i="4"/>
  <c r="BE42" i="4" s="1"/>
  <c r="AB78" i="1"/>
  <c r="AA78" i="1"/>
  <c r="AR36" i="1"/>
  <c r="AA27" i="1"/>
  <c r="AO34" i="4"/>
  <c r="AO35" i="4" s="1"/>
  <c r="AO32" i="4"/>
  <c r="AO31" i="4"/>
  <c r="AO29" i="4"/>
  <c r="AO28" i="4"/>
  <c r="AO27" i="4"/>
  <c r="AO26" i="4"/>
  <c r="AO24" i="4"/>
  <c r="AO23" i="4"/>
  <c r="AO21" i="4"/>
  <c r="AO20" i="4"/>
  <c r="AO18" i="4"/>
  <c r="AO16" i="4"/>
  <c r="AO14" i="4"/>
  <c r="AO13" i="4"/>
  <c r="AO12" i="4"/>
  <c r="AO10" i="4"/>
  <c r="AO9" i="4"/>
  <c r="Y9" i="4"/>
  <c r="Y39" i="4" s="1"/>
  <c r="X9" i="4"/>
  <c r="X39" i="4" s="1"/>
  <c r="E12" i="5"/>
  <c r="AR45" i="1"/>
  <c r="AR44" i="1"/>
  <c r="AR43" i="1"/>
  <c r="AR34" i="1"/>
  <c r="AR17" i="1"/>
  <c r="AR74" i="1"/>
  <c r="AR75" i="1"/>
  <c r="AR73" i="1"/>
  <c r="AR72" i="1"/>
  <c r="AR70" i="1"/>
  <c r="AR69" i="1"/>
  <c r="AR68" i="1"/>
  <c r="AR61" i="1"/>
  <c r="AR64" i="1" s="1"/>
  <c r="AR58" i="1"/>
  <c r="AR57" i="1"/>
  <c r="AR56" i="1"/>
  <c r="AR52" i="1"/>
  <c r="AR54" i="1"/>
  <c r="AR48" i="1"/>
  <c r="AR49" i="1"/>
  <c r="AR47" i="1"/>
  <c r="AR42" i="1"/>
  <c r="AR40" i="1"/>
  <c r="AR39" i="1"/>
  <c r="AR46" i="1" s="1"/>
  <c r="AR37" i="1"/>
  <c r="AR38" i="1" s="1"/>
  <c r="AR29" i="1"/>
  <c r="AR30" i="1"/>
  <c r="AR28" i="1"/>
  <c r="AR23" i="1"/>
  <c r="AR24" i="1"/>
  <c r="AR26" i="1"/>
  <c r="AR27" i="1" s="1"/>
  <c r="AR20" i="1"/>
  <c r="AR18" i="1"/>
  <c r="AR13" i="1"/>
  <c r="AR14" i="1"/>
  <c r="AR12" i="1"/>
  <c r="AR9" i="1"/>
  <c r="AA28" i="1"/>
  <c r="AA50" i="1"/>
  <c r="AB20" i="1"/>
  <c r="AA72" i="1"/>
  <c r="AA44" i="1"/>
  <c r="AA41" i="1"/>
  <c r="E15" i="5"/>
  <c r="AA22" i="1"/>
  <c r="O14" i="5"/>
  <c r="B12" i="5"/>
  <c r="C12" i="5"/>
  <c r="D12" i="5" s="1"/>
  <c r="K12" i="5"/>
  <c r="M12" i="5"/>
  <c r="C13" i="5"/>
  <c r="D13" i="5"/>
  <c r="E13" i="5"/>
  <c r="B14" i="5"/>
  <c r="C14" i="5"/>
  <c r="D14" i="5" s="1"/>
  <c r="E14" i="5" s="1"/>
  <c r="K14" i="5"/>
  <c r="M14" i="5"/>
  <c r="H15" i="5"/>
  <c r="J15" i="5" s="1"/>
  <c r="L16" i="5"/>
  <c r="N16" i="5" s="1"/>
  <c r="J17" i="5"/>
  <c r="B17" i="5" s="1"/>
  <c r="C17" i="5" s="1"/>
  <c r="D17" i="5" s="1"/>
  <c r="E17" i="5" s="1"/>
  <c r="M17" i="5"/>
  <c r="AA11" i="1"/>
  <c r="AA15" i="1" s="1"/>
  <c r="AA17" i="1"/>
  <c r="AA19" i="1" s="1"/>
  <c r="AA20" i="1"/>
  <c r="AA36" i="1"/>
  <c r="AB37" i="1"/>
  <c r="AB38" i="1" s="1"/>
  <c r="AB39" i="1"/>
  <c r="AA52" i="1"/>
  <c r="AB54" i="1"/>
  <c r="AB56" i="1"/>
  <c r="AB57" i="1"/>
  <c r="AB59" i="1"/>
  <c r="AB61" i="1"/>
  <c r="AB64" i="1" s="1"/>
  <c r="AB71" i="1"/>
  <c r="AB76" i="1"/>
  <c r="AA75" i="1"/>
  <c r="AR76" i="1" l="1"/>
  <c r="BJ82" i="1"/>
  <c r="BH86" i="1" s="1"/>
  <c r="BI82" i="1"/>
  <c r="BH85" i="1" s="1"/>
  <c r="AO25" i="4"/>
  <c r="AB60" i="1"/>
  <c r="AR15" i="1"/>
  <c r="AR19" i="1"/>
  <c r="AR25" i="1"/>
  <c r="AR32" i="1"/>
  <c r="AR53" i="1"/>
  <c r="AR60" i="1"/>
  <c r="AR71" i="1"/>
  <c r="AB46" i="1"/>
  <c r="AO33" i="4"/>
  <c r="AO11" i="4"/>
  <c r="AO22" i="4"/>
  <c r="AO30" i="4"/>
  <c r="AA53" i="1"/>
  <c r="AA32" i="1"/>
  <c r="AA25" i="1"/>
  <c r="AO17" i="4"/>
  <c r="AA39" i="1"/>
  <c r="AA54" i="1"/>
  <c r="AA59" i="1"/>
  <c r="AB53" i="1"/>
  <c r="AA56" i="1"/>
  <c r="AA37" i="1"/>
  <c r="AA38" i="1" s="1"/>
  <c r="AA57" i="1"/>
  <c r="AA40" i="1"/>
  <c r="AA61" i="1"/>
  <c r="AA64" i="1" s="1"/>
  <c r="AB22" i="1"/>
  <c r="AB25" i="1" s="1"/>
  <c r="AA68" i="1"/>
  <c r="AA71" i="1" s="1"/>
  <c r="AA73" i="1"/>
  <c r="AA76" i="1" s="1"/>
  <c r="B15" i="5"/>
  <c r="C15" i="5" s="1"/>
  <c r="D15" i="5" s="1"/>
  <c r="B16" i="5"/>
  <c r="C16" i="5" s="1"/>
  <c r="D16" i="5" s="1"/>
  <c r="E16" i="5" s="1"/>
  <c r="AO39" i="4" l="1"/>
  <c r="AR82" i="1" s="1"/>
  <c r="AA60" i="1"/>
  <c r="AA46" i="1"/>
  <c r="AB82" i="1"/>
  <c r="AA82" i="1" l="1"/>
  <c r="BF69" i="1"/>
  <c r="BF50" i="1"/>
  <c r="BF29" i="1"/>
  <c r="BF74" i="1" l="1"/>
  <c r="BF30" i="1"/>
  <c r="E15" i="2" l="1"/>
  <c r="AS12" i="1" l="1"/>
  <c r="AS13" i="1"/>
  <c r="AS14" i="1"/>
  <c r="AS11" i="1"/>
  <c r="AS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K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S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C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N7" authorId="2" shapeId="0" xr:uid="{00000000-0006-0000-0100-000005000000}">
      <text>
        <r>
          <rPr>
            <sz val="9"/>
            <color indexed="81"/>
            <rFont val="Tahoma"/>
            <family val="2"/>
          </rPr>
          <t xml:space="preserve">VER ANEXO 1
</t>
        </r>
      </text>
    </comment>
    <comment ref="BO7" authorId="2" shapeId="0" xr:uid="{00000000-0006-0000-0100-00000600000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A96A6BDE-A81B-480A-8CBC-C1B51BA22A98}">
      <text>
        <r>
          <rPr>
            <b/>
            <sz val="9"/>
            <color indexed="81"/>
            <rFont val="Tahoma"/>
            <family val="2"/>
          </rPr>
          <t>USUARIO:
1. BIEN
2. SERVICIO</t>
        </r>
        <r>
          <rPr>
            <sz val="9"/>
            <color indexed="81"/>
            <rFont val="Tahoma"/>
            <family val="2"/>
          </rPr>
          <t xml:space="preserve">
</t>
        </r>
      </text>
    </comment>
    <comment ref="AH7" authorId="0" shapeId="0" xr:uid="{AF81E8BF-DCE0-4BDC-82F9-68C7D5A93970}">
      <text>
        <r>
          <rPr>
            <b/>
            <sz val="9"/>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P7" authorId="0" shapeId="0" xr:uid="{5D400737-C389-46E7-9760-78B8141C7D39}">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Z7" authorId="1" shapeId="0" xr:uid="{F6C95A24-AAE7-43B0-9F59-CA919F7C1A2C}">
      <text>
        <r>
          <rPr>
            <b/>
            <sz val="9"/>
            <color indexed="81"/>
            <rFont val="Tahoma"/>
            <family val="2"/>
          </rPr>
          <t>Luz Marlene Andrade:</t>
        </r>
        <r>
          <rPr>
            <sz val="9"/>
            <color indexed="81"/>
            <rFont val="Tahoma"/>
            <family val="2"/>
          </rPr>
          <t xml:space="preserve">
1. Recursos Propios - ICLD
2. SGP
3. Donaciones
</t>
        </r>
      </text>
    </comment>
    <comment ref="BK7" authorId="2" shapeId="0" xr:uid="{FD60FD25-5B91-4918-89D8-2E7DDD869B99}">
      <text>
        <r>
          <rPr>
            <sz val="9"/>
            <color indexed="81"/>
            <rFont val="Tahoma"/>
            <family val="2"/>
          </rPr>
          <t xml:space="preserve">VER ANEXO 1
</t>
        </r>
      </text>
    </comment>
    <comment ref="BL7" authorId="2" shapeId="0" xr:uid="{3F6168C0-5B41-41F1-9373-17AB8C697FED}">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<sst xmlns="http://schemas.openxmlformats.org/spreadsheetml/2006/main" count="2415" uniqueCount="1072">
  <si>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</si>
  <si>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</si>
  <si>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</si>
  <si>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</si>
  <si>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</si>
  <si>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</si>
  <si>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</si>
  <si>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FORMATO PLAN DE ACCIÓN 2023</t>
  </si>
  <si>
    <t>Página: 1 de 1</t>
  </si>
  <si>
    <t xml:space="preserve">DEPENDENCIA : </t>
  </si>
  <si>
    <t>SECRETARIA DEL INTERIOR Y CONVIVENCIA CIUDADANA</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</si>
  <si>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</si>
  <si>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</si>
  <si>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</si>
  <si>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</si>
  <si>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</si>
  <si>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</si>
  <si>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</si>
  <si>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</si>
  <si>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</si>
  <si>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</si>
  <si>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</si>
  <si>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</si>
  <si>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</si>
  <si>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</si>
  <si>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</si>
  <si>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</si>
  <si>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</si>
  <si>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</si>
  <si>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</si>
  <si>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</si>
  <si>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</si>
  <si>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</si>
  <si>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</si>
  <si>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</si>
  <si>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</si>
  <si>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META PRODUCTO MARZO 31 DE 2023</t>
  </si>
  <si>
    <t>REPORTE META PRODUCTO JUNIO 30 DE 2023</t>
  </si>
  <si>
    <t>REPORTE META PRODUCTO SEPTIEMBRE 30 DE 2023</t>
  </si>
  <si>
    <t>AVANCE META PRODUCTO ACUMULADO AL CUATRIENIO</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</si>
  <si>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</si>
  <si>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</si>
  <si>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</si>
  <si>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</si>
  <si>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</si>
  <si>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</si>
  <si>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</si>
  <si>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</si>
  <si>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</si>
  <si>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</si>
  <si>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AVANCE ACTIVIDAD PROYECTO MARZO 31 DE 2023</t>
  </si>
  <si>
    <t>AVANCE ACTIVIDAD PROYECTO JUNIO 30 DE 2023</t>
  </si>
  <si>
    <t>AVANCE ACTIVIDAD PROYECTO SEPTIEMBRE 30 DE 2023</t>
  </si>
  <si>
    <t>PONDERACION DE LAS ACTIVIDADES (HITOS) DE PROYECTO</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</si>
  <si>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</si>
  <si>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</si>
  <si>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</si>
  <si>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</si>
  <si>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</si>
  <si>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</si>
  <si>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</si>
  <si>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</si>
  <si>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</si>
  <si>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</si>
  <si>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</si>
  <si>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</si>
  <si>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</si>
  <si>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</si>
  <si>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</si>
  <si>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</si>
  <si>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</si>
  <si>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OBSERVACIÓN O RELACIÓN DE EVIDENCIA A 31 MARZO</t>
  </si>
  <si>
    <t>OBSERVACIÓN O RELACIÓN DE EVIDENCIA A 30 JUNIO</t>
  </si>
  <si>
    <t>OBSERVACIÓN O RELACIÓN DE EVIDENCIA A 30 SEPTIEMBRE</t>
  </si>
  <si>
    <t xml:space="preserve">RIESGOS ASOCIADOS AL PROCESO </t>
  </si>
  <si>
    <t>CONTROLES ESTABLECIDOS PARA LOS RIESGOS</t>
  </si>
  <si>
    <t>1. BIEN</t>
  </si>
  <si>
    <t>2- SERVICIO</t>
  </si>
  <si>
    <t>16. PAZ, JUSTICIA E INSTITUCIONES SÓLIDAS</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</si>
  <si>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</si>
  <si>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</si>
  <si>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</si>
  <si>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</si>
  <si>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</si>
  <si>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Porcentaje</t>
  </si>
  <si>
    <t>FORTALECIMIENTO CUERPO DE BOMBEROS</t>
  </si>
  <si>
    <t>Estación de Bomberos de Bocagrande adecuada para que brinde respuesta terrestre y acuática.</t>
  </si>
  <si>
    <t>Número</t>
  </si>
  <si>
    <t>A 2019 estación de Cuerpo de Bomberos de Bocagrande con respuesta solo de emergencias  terrestres.</t>
  </si>
  <si>
    <t>Adecuar la estación de Bomberos de Bocagrande para que brinde respuestas terrestres y acuáticas.</t>
  </si>
  <si>
    <t>Estaciones de bomberos adecuadas (4503014)</t>
  </si>
  <si>
    <t>N/A</t>
  </si>
  <si>
    <t>GESTION INTEGRAL DEL RIESGO CONTRAINCENDIO</t>
  </si>
  <si>
    <t>Liderar e implementar la gestión Integral de riesgo contra incendio y materiales peligrosos, los preparativos y atención de rescate acuático y en todas sus modalidades a través de una respuesta operativa oportuna, eficiente y eficaz , con el fin de savalguardar la vida y el patrimonio de la ciudadanía y todo el Distrito de Cartagena.</t>
  </si>
  <si>
    <t>DOTACIÓN DEL CUERPO DE BOMBEROS PARA OPTIMIZAR SU NIVEL DE ANTICIPACIÓN Y MITIGACIÓN DE INCENDIOS Y OTRAS CALAMIDADES CONEXAS EN EL DISTRITO DE CARTAGENA DE INDIAS</t>
  </si>
  <si>
    <t>2021-13001-0142</t>
  </si>
  <si>
    <t>Mejorar cobertura y respuesta a emergencias ante incendios, incidentes con materiales peligrosos y casos que requieran operaciones de rescate con la adecuación de la estación de Bomberos de Bocagrande para que brinde respuestas terrestres y acuáticas</t>
  </si>
  <si>
    <t>Adecuar y dotar la estación de Bomberos de Bocagrande para que preste atención a emergencias acuáticas y terrestres.</t>
  </si>
  <si>
    <t xml:space="preserve">Link expediente contractual.
</t>
  </si>
  <si>
    <t>No estaba programada en primer trimestre</t>
  </si>
  <si>
    <t>1 de abril de 2023</t>
  </si>
  <si>
    <t>31 de diciembre de 2023</t>
  </si>
  <si>
    <t>275 dias</t>
  </si>
  <si>
    <t>estacion de bomberos de Bocagrande.
 habitantes y visitantes del area de influencua de la estación de Bocagrande  de  Distrito de Cartagena</t>
  </si>
  <si>
    <t>estacion de bomberos de Bocagrande.</t>
  </si>
  <si>
    <t>DIRECTOR DEL CUERPO DE BOMBEROS DE CARTAGENA</t>
  </si>
  <si>
    <t>LUIS ERNESTO SIERRA FONTECHA</t>
  </si>
  <si>
    <t>1- Recursos propios</t>
  </si>
  <si>
    <t>FORTALECIMIENTO DEL CUERPO DE BOMBEROS DEL DISTRITO DE CARTAGENA DE INDIAS</t>
  </si>
  <si>
    <t>2.3.4503.1000.2021130010142</t>
  </si>
  <si>
    <t xml:space="preserve">SI </t>
  </si>
  <si>
    <t>CONTRATAR LA CONSULTORÍA PARA REALIZAR LOS ESTUDIOS Y DISEÑOS PARA LA CONSTRUCCIÓN Y DEMÁS TRÁMITES, INCLUIDO LA OBTENCIÓN DE LA LICENCIA DE CONSTRUCCIÓN DE LA ESTACIÓN DE BOMBEROS DE BOCAGRANDE, ADECUADA PARA BRINDAR RESPUESTAS TERRESTRES Y ACUÁTICAS DEL DISTRITO DE CARTAGENA</t>
  </si>
  <si>
    <t>Concurso de Méritos Abiertos</t>
  </si>
  <si>
    <t>Contratada consultoría para realizar los estudios y diseños para la construcción y demás trámites, incluido la obtención de la licencia de construcción de la estación de bombero de bocagrande, adecuada para brindar respuestas terrestres y acuáticas. link: https://community.secop.gov.co/Public/Tendering/OpportunityDetail/Index?noticeUID=CO1.NTC.3649507&amp;isFromPublicArea=True&amp;isModal=False
Se adjuntan los RP 270 Y 271, acta de inicio del contrato y primer informe de ejecuión del mismo.</t>
  </si>
  <si>
    <t xml:space="preserve">En construcción </t>
  </si>
  <si>
    <t>Tiempo de respuesta del cuerpo de Bomberos.</t>
  </si>
  <si>
    <t xml:space="preserve">Tiempo de respuesta  promedio  de 20
minutos
</t>
  </si>
  <si>
    <t>Reducir tiempo de respuesta  a emergencias por parte del Cuerpo de Bomberos a 10 minutos</t>
  </si>
  <si>
    <t>10 minutos</t>
  </si>
  <si>
    <t>minutos</t>
  </si>
  <si>
    <t>Nueva estación de Bomberos terrestre en el Distrito de Cartagena construida.</t>
  </si>
  <si>
    <t>A 2019 tres estaciones de Bomberos en el Distrito.</t>
  </si>
  <si>
    <t>Construir una nueva estación de Bomberos terrestre en el Distrito de Cartagena</t>
  </si>
  <si>
    <t>Estaciones de bomberos construidas (4503015)</t>
  </si>
  <si>
    <t>NO SE PROGRAMA PARA 2023</t>
  </si>
  <si>
    <t>NA</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</si>
  <si>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</si>
  <si>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</si>
  <si>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</si>
  <si>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3 estaciones de bomberos del Distrito de Cartagena dotadas (No es PDT, la escrita aquí corresponde al producto en el proyecto de inversión)</t>
  </si>
  <si>
    <t>3 estaciones de bomberos del Distrito de Cartagena.</t>
  </si>
  <si>
    <t>Dotar con equipos operativos de rescate técnico, contra incendios y materiales peligrosos las 3 estaciones de bomberos del Distrito de Cartagena.
(No es PDT, la escrita aquí corresponde al producto en el proyecto de inversión)</t>
  </si>
  <si>
    <t>Servicio de fortalecimiento a Cuerpos de Bomberos  (4503013)</t>
  </si>
  <si>
    <t>Fortalecer la capacidad de gestión y desarrollo institucional e interinstitucional, para consolidar la modernización de las estaciones, maquinaria y demás dotaciones del Cuerpo de Bomberos.</t>
  </si>
  <si>
    <t>Contratar por prestación de servicios el equipo humano administrativo, técnico y jurídico que soporte la gestión y desarrollo institucional del cuerpo de Bomberos.</t>
  </si>
  <si>
    <t>Link expediente contractual.
Informes de actividades</t>
  </si>
  <si>
    <t>2 de enero de 2023</t>
  </si>
  <si>
    <t>364 dias</t>
  </si>
  <si>
    <t>3 estaciones bomberiles
Todos los habitantes y visitantes del Distrito de Cartagena</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</si>
  <si>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</si>
  <si>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Contratación directa.</t>
  </si>
  <si>
    <t xml:space="preserve"> Se adjunta excel con el link  secop  de cada una de las  las 6 OPS suscritas en el periodo, correspondiente a los RP N°  73-97-98-101-120-171   donde se puede evidenciar la ejecución contractual.
E informe del director de Bomberos sobre el estado actual de la adecuación de estación de bomberos de Bocagrande.</t>
  </si>
  <si>
    <t>Se adjunta RP 234 de la OPS suscrita en el periodo.</t>
  </si>
  <si>
    <t>Adquirir herramientas, equipos y accesorios adecuados para la prestación de servicios bomberiles</t>
  </si>
  <si>
    <t xml:space="preserve">Link expediente contractual.
Soportes de ingreso de los bienes adquiridos al almacén de la Alcaldía
Distrital
</t>
  </si>
  <si>
    <t>26 de mayo de 2023</t>
  </si>
  <si>
    <t>212 dias</t>
  </si>
  <si>
    <t>ADQUISICION DE EQUIPOS DE EXTRICACION PARA
RESCATE VEHICULAR
ADQUISICION DE ARMARIO PARA ALMACENAMIENTO
DE EQUIPOS DE PROTECCION PERSONAL
ACERCAMIENTO</t>
  </si>
  <si>
    <t>Menor cuantia. Selección abreviada</t>
  </si>
  <si>
    <t>Adquisición de motocicletas tipo enduro para
inspecciones técnicas de seguridad humana
contra incendios en los establecimientos de
comercios.</t>
  </si>
  <si>
    <t>Link expediente contractual. 
Soportes de ingreso de los bienes adquiridos al almacén de la Alcaldía
Distrital</t>
  </si>
  <si>
    <t xml:space="preserve">personal bomberil Inspector (25) </t>
  </si>
  <si>
    <t>25 inspectores bomberiles</t>
  </si>
  <si>
    <t>ADQUISICIÓN DE MOTOCICLETAS DOBLE PROPÓSITO TIPO ENDURO Y ACCESORIOS PARA LOS INSPECTORES DEL CUERPO OFICIAL DE BOMBEROS DE LA ALCALDÍA MAYOR DE CARTAGENA DE INDIAS D. T. Y C.DE ACUERDO CON LAS ESPECIFICACIONES TÉCNICAS REQUERIDAS</t>
  </si>
  <si>
    <t>Mínima cuantía.
Seléccion abreviada - acuerdo marco</t>
  </si>
  <si>
    <t>Adquiridas 16 motocicletas mediante orden de compra   N° 111915  Se adjunta RP 355</t>
  </si>
  <si>
    <t>Adquisición de  carrotanques con
sistema de bomba para la extinción de
incendios</t>
  </si>
  <si>
    <t>Adquisición de  carrotanques con sistema de bomba para la extinción de incendios</t>
  </si>
  <si>
    <t>Se adjunta CDP 94 de 26 de julio de 2023.</t>
  </si>
  <si>
    <t>AVANCE PROGRAMA FORTALECIMIENTO CUERPO DE BOMBEROS</t>
  </si>
  <si>
    <t>AVANCE PROYECTO DOTACIÓN DEL CUERPO DE BOMBEROS PARA OPTIMIZAR SU NIVEL DE ANTICIPACIÓN Y MITIGACIÓN DE INCENDIOS Y OTRAS CALAMIDADES CONEXAS EN EL DISTRITO DE CARTAGENA DE INDIAS</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</si>
  <si>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</si>
  <si>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</si>
  <si>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</si>
  <si>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</si>
  <si>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</si>
  <si>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tasa por cien mil habitantes</t>
  </si>
  <si>
    <t>FORTALECIMIENTO DE LA CONVIVENCIA Y LA SEGURIDAD CIUDADANA</t>
  </si>
  <si>
    <t>Numero Operativos para la seguridad y la convivencia realizados</t>
  </si>
  <si>
    <t>ND</t>
  </si>
  <si>
    <t xml:space="preserve"> Operativos para la seguridad y la convivencia realizados</t>
  </si>
  <si>
    <t>Servicio de promoción de convivencia y no repetición (4501004)</t>
  </si>
  <si>
    <t>GESTION DE LA SEGURIDAD Y CONVIVENCIA</t>
  </si>
  <si>
    <t xml:space="preserve">Promover la capacidad de articulación e implementación de estrategias y acciones con los organismos de seguridad, fuerza pública y entidades público-privadas, mediante el uso eficiente de los recursos, que mejoren las condiciones de seguridad y convivencia e impacten en la disminución de la violencia y criminalidad en el Distrito de Cartagena Indias.  </t>
  </si>
  <si>
    <t>Fortalecimiento de los mecanismos comunitarios e institucionales  de prevención y reacción a situaciones de riesgo por conductas delictivas en el Distrito de Cartagena de Indias</t>
  </si>
  <si>
    <t>2020-13001-0037</t>
  </si>
  <si>
    <t>Promover la participación ciudadana en la prevención de la delincuencia y la  disminución de miedo</t>
  </si>
  <si>
    <t>Contratar el equipo de profesionales y de apoyo a la gestión requerido para la ejecución de las metas asociadas al proyecto</t>
  </si>
  <si>
    <t>Informe de operativos y consejos comunitarios realizados.
Link expediente contractual.
Informes de actividades</t>
  </si>
  <si>
    <t>Todos los habitantes y visitantes  del Distrito de Cartagena</t>
  </si>
  <si>
    <t>Habitantes y visitantes de: Centro Historico, Getsemaní,  chambacú,Crespo-aeropuerto, Bocagrande,  Caracoles, Bosque, Alto Bosque-San Francisco, Esperanza, Siete de Agosto, Bayunca, Pozón, Flor del campo,  Playa Blanca, Boquilla, Marbella, Bahia de Cartagena, Manga, La maria,  Cholón,Playa Blanca,  Santa Lucía, Bazurto, San Francisco,  Cerro de la Popa, Pie de la Popa, Pasacaballos, Castellana,  Almirante  Colón, la Concepción, Parque heredia, Santa Monica, las Palmeras, Recreo, san fernando y San Jose de los campanos.</t>
  </si>
  <si>
    <t>ANA MARIA GONZÁLEZ FORERO</t>
  </si>
  <si>
    <t>1.2.1.0.00-001 - ICLD</t>
  </si>
  <si>
    <t>FORTALECIMIENTO DE LOS MECANISMOS COMUNITARIOS  E INSTITUCIONALES DE PREVENCIÓN Y REACCIÓN A SITUACIONES DE RIESGO POR CONDUCTAS DELICTIVAS EN EL DISTRITO DE   CARTAGENA DE INDIAS</t>
  </si>
  <si>
    <t>2.3.4501.1000.2020130010037</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</si>
  <si>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</si>
  <si>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Se adjuntan informes de los operativos y consejos comunitarios realizados en el periodo.  Se adjunta excel con el link  secop  de cada una de las  las 9 OPS suscritas correspondiente a los RP N°25-26-35-36-50-52-207-140-146-   donde se puede evidenciar la ejecución contractual.</t>
  </si>
  <si>
    <t>Se adjuntan informe de los operativos y consejos comunitarios realizados en el periodo y excel con el   link   secop de las 3 OPS suscritas en el periodo,   donde se puede evidenciar la ejecución contractual.</t>
  </si>
  <si>
    <t>Se adjuntan informe en excel  de los operativos  realizados en el periodo</t>
  </si>
  <si>
    <t>Tasa de hurto a residencias por cada 100 mil habitantes</t>
  </si>
  <si>
    <t>79,7
Fuente Policía Metropolitana</t>
  </si>
  <si>
    <t xml:space="preserve">Reducir a 51,7 la tasa de hurto a residencias en el Distrito de Cartagena  </t>
  </si>
  <si>
    <t xml:space="preserve">Numero de Consejos comunitarios de seguridad realizados </t>
  </si>
  <si>
    <t>13
Fuente: SICC</t>
  </si>
  <si>
    <t>Consejos comunitarios de seguridad realizados</t>
  </si>
  <si>
    <t>Articular esfuerzos interinstitucionales e inter agénciales del orden Distrital y Nacional para la adquisición de bienes y servicios logísticos que apoyen la preservación del orden público en el Distrito de Cartagena.</t>
  </si>
  <si>
    <t>Liquidación del convenio Interadministrativo de Cofinanciación No. 1183 de 2017 suscrito
entre La Nación Ministerio del Interior – Fondo Nacional de Seguridad y Convivencia
Ciudadana – FONSECON y el Distrito Turístico y Cultural de Cartagena</t>
  </si>
  <si>
    <t xml:space="preserve">Acto administrativo  de liquidación </t>
  </si>
  <si>
    <t>Alcaldia Mayor de  Cartagena y Ministerio del Interior.</t>
  </si>
  <si>
    <t>1.3.3.11.07-95-005 R.B. TRANSFERENCIAS DE CAPITAL
CONVENIO FONSECON
1.3.3.11.07-95-158 R.B. TRANSFERENCIAS DE CAPITAL
CONVENIO FONSECON
1.3.3.11.07-93-158 R.B. TRANSFERENCIAS DE CAPITAL
CONVENIO FONSECON</t>
  </si>
  <si>
    <t>NO</t>
  </si>
  <si>
    <t xml:space="preserve">Se estan adelantando los tramites administrativos que permitan la liquidación del  convenio FONSECON </t>
  </si>
  <si>
    <t>AVANCE PROGRAMA FORTALECIMIENTO DE LA CONVIVENCIA Y LA SEGURIDAD CIUDADANA</t>
  </si>
  <si>
    <t>AVANCE PROYECTO 2020-13001-0037 Fortalecimiento de los mecanismos comunitarios e institucionales  de prevención y reacción a situaciones de riesgo</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</si>
  <si>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</si>
  <si>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</si>
  <si>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</si>
  <si>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MEJORAR LA CONVIVENCIA CIUDADANA CON LA IMPLEMENTACIÓN DEL CÓDIGO NACIONAL  DE SEGURIDAD Y  CONVIVENCIA</t>
  </si>
  <si>
    <t>Numero de Centros de Traslado por Protección en funcionamiento.</t>
  </si>
  <si>
    <t>0
Fuente: SICC</t>
  </si>
  <si>
    <t>Un Centro de Traslado por Protección-CTP en funcionamiento anualmente en el Distrito de Cartagena.</t>
  </si>
  <si>
    <t>Infraestructura para la promoción a la cultura de la legalidad y a la convivencia dotada (4501041)</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</si>
  <si>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</si>
  <si>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</si>
  <si>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 y Garantizar la operación de las inspecciones de Policia del Distrito de Cartagena con dotación adecuada y fortalecidas en infraestructura.</t>
  </si>
  <si>
    <t xml:space="preserve">Contratar el equipo jurídico y técnico (arquitectos y/o ingenieros) requerido para el funcionamiento de las Inspecciones de Policía	</t>
  </si>
  <si>
    <t>33 Inspecciones de Policia</t>
  </si>
  <si>
    <t>MEJORAMIENTO DE LA CONVIVENCIA CON LA IMPLEMENTACIN DEL CODIGO NACIONAL DE SEGURIDAD Y CONVIVENCIA CIUDADANA  Y  LA MODERNIZACIN DE LAS INSPECCIONES DE POLICA EN EL DISTRITO DE  CARTAGENA DE INDIAS</t>
  </si>
  <si>
    <t>2.3.4501.1000.2020130010031</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</si>
  <si>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</si>
  <si>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Se adjunta excel con el   link   secop de las 32 OPS suscritas en el periodo,   donde se puede evidenciar la ejecución contractual.</t>
  </si>
  <si>
    <t>Se adjunta excel con el   link   secop de las 13 OPS suscritas en el periodo,   donde se puede evidenciar la ejecución contractual.</t>
  </si>
  <si>
    <t xml:space="preserve">links de las 2  OPS suscritas en el periodo:
https://community.secop.gov.co/Public/Tendering/ContractNoticePhases/View?PPI=CO1.PPI.26138082&amp;isFromPublicArea=True&amp;isModal=False 
https://community.secop.gov.co/Public/Tendering/ContractNoticePhases/View?PPI=CO1.PPI.25955877&amp;isFromPublicArea=True&amp;isModal=False 
</t>
  </si>
  <si>
    <t>Iniciativas para la promoción de la convivencia implementadas.</t>
  </si>
  <si>
    <t>2 iniciativas  realizadas en 2019.
Fuente: SICC</t>
  </si>
  <si>
    <t>Implementar Iniciativas para la promoción de la convivencia en el Distrito de Cartagena</t>
  </si>
  <si>
    <t>Servicio de educación informal (4501049)</t>
  </si>
  <si>
    <t xml:space="preserve">Contratar suministro de papelería y materiales de oficina a las 33 inspecciones de policía.	</t>
  </si>
  <si>
    <t xml:space="preserve">Link expediente contractual
</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</si>
  <si>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</si>
  <si>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Mínima cuantía</t>
  </si>
  <si>
    <t>Se adjunta CDP  N° 76 que respalda proceso contractual  de suministro de papeleria en curso.</t>
  </si>
  <si>
    <t>Proceso contractual de papeleria  lo adelanta por delegación  apoyo logistico.</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</si>
  <si>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</si>
  <si>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</si>
  <si>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</si>
  <si>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17
50% adecuacion infraestructura
50% dotacion</t>
  </si>
  <si>
    <t>17
12,5% operación</t>
  </si>
  <si>
    <t>33   inspecciones dotadas  en sus condiciones operativas.
37,5%</t>
  </si>
  <si>
    <t>33 Inspecciones de Policía  dotadas con el personal jurídico y técnico requerido.</t>
  </si>
  <si>
    <t>33 Inspecciones de Policía  dotadas con el personal jurídico y técnico requerido</t>
  </si>
  <si>
    <t>Implementar estrategias para la promoción de la convivencia en el Distrito de Cartagena.</t>
  </si>
  <si>
    <t>Iniciativas para la promoción de la convivencia en el Distrito.</t>
  </si>
  <si>
    <t>Informe de las iniciativas implementadas.
Link expediente contractual.
Informes de actividades</t>
  </si>
  <si>
    <t>300 personas</t>
  </si>
  <si>
    <t>Se adjunta informe de las 8 inicitivas ejecutadas en el período, asi como el  link   secop de las 7 OPS suscritas    donde se puede evidenciar la ejecución contractual.</t>
  </si>
  <si>
    <t>meta cumplida</t>
  </si>
  <si>
    <t>LINKS  de las tres ops suscritas en el periodo:
https://community.secop.gov.co/Public/Tendering/ContractNoticePhases/View?PPI=CO1.PPI.27243082&amp;isFromPublicArea=True&amp;isModal=False 
https://community.secop.gov.co/Public/Tendering/ContractNoticePhases/View?PPI=CO1.PPI.27277921&amp;isFromPublicArea=True&amp;isModal=False
https://community.secop.gov.co/Public/Tendering/ContractNoticePhases/View?PPI=CO1.PPI.27279308&amp;isFromPublicArea=True&amp;isModal=False</t>
  </si>
  <si>
    <t>Realizar los trámites presupuestales que garanticen trasferir mensualmente el 15% para financiar el servicio de Policía en la modalidad de vigilancia.</t>
  </si>
  <si>
    <t>Resoluciones que reconocen la trasnferencia</t>
  </si>
  <si>
    <t xml:space="preserve">no estaba programada </t>
  </si>
  <si>
    <t xml:space="preserve">22 de septiembre </t>
  </si>
  <si>
    <t>99 dias</t>
  </si>
  <si>
    <t>Policia metropolitana de Cartagena</t>
  </si>
  <si>
    <t xml:space="preserve">N/A 
PAGO POR RESOLUCION </t>
  </si>
  <si>
    <t>Se adjunta decreto  1227 de 11 de septiembre de 2023 que reglamenta  transferencia del 15% a la policia metropolitana por concepto de vigilancia.</t>
  </si>
  <si>
    <t>Realizar los trámites presupuestales que garanticen trasferir mensualmente el 15% para el funcionamiento e infraestructura del Registro Nacional de Medidas Correctivas</t>
  </si>
  <si>
    <t>Se adjunta resolución N°1720 de 9 de marzo de 2023 por medio del cual se reconoce el pago a la Policía Metropolitana de Cartagena el 15% del valor  recaudado por multas impuestas en el Distrito de Cartagena de Indias en aplicación de la ley 1801 de 2016, adicionado por la ley 2197 de 2022, decreto nacional 1284 de  2017 y decreto Distrital 1274 de noviembre 23 de 2021 para el funcionamiento e infraestructura del Registro Nacional de Medidas Correctivas, correspondiente al mes de ENERO  de 2023</t>
  </si>
  <si>
    <t>Se adjuntan las resoluciones:
Resolución 2864 y 3239 -pago policia febrero 2023
resolución 3378 -pago policia MARZO  2023
RESOLUCIÓN N°4078 -pago policia abril 2023
Resolución 4834-pago policia NOV 2022
Resolución 4835 pago Policia-DIC 2022</t>
  </si>
  <si>
    <t>Se adjuntan las resoluciones:
RESOLUCION 5777-pago policia mayo
RESOLUCION 5778-pago policia junio</t>
  </si>
  <si>
    <t>AVANCE PROGRAMA MEJORAR LA CONVIVENCIA CIUDADANA CON LA IMPLEMENTACIÓN DEL CÓDIGO NACIONAL  DE SEGURIDAD Y  CONVIVENCIA</t>
  </si>
  <si>
    <t xml:space="preserve">AVANCE PROYECTO Mejoramiento de  la convivencia  con  la implementación del código nacional de seguridad y convivencia  ciudadana y la modernización de las inspecciones de policía </t>
  </si>
  <si>
    <t xml:space="preserve">Numero de Lesiones Personales reducidas </t>
  </si>
  <si>
    <t xml:space="preserve">3184
Fuente Policía Metropolitana
</t>
  </si>
  <si>
    <t>Reducir a  2228,8 el número de lesiones Personales en el Distrito de  Cartagena</t>
  </si>
  <si>
    <t>FORTALECIMIENTO CAPACIDAD OPERATIVA DE LA SECRETARIA DEL INTERIOR Y CONVIVENCIA CIUDADANA</t>
  </si>
  <si>
    <t xml:space="preserve">Numero de Operativos de control
a espectáculos públicos realizados en el Distrito
</t>
  </si>
  <si>
    <t>256.
Fuente: SICC</t>
  </si>
  <si>
    <t>Realizar  operativos de control a espectáculos públicos en el Distrito</t>
  </si>
  <si>
    <t>Servicio de inspección, vigilancia y control (4501047)</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</si>
  <si>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</si>
  <si>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</si>
  <si>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</si>
  <si>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Contratar el equipo humano de soporte administrativo y operativo de la SICC para el ejercicio adecuado, oportuno y permanente del control sobre las conductas ciudadanas que violan normas de convivencia</t>
  </si>
  <si>
    <t>Todos los habitantes y visitantes del Distrito de Cartagena</t>
  </si>
  <si>
    <t xml:space="preserve">FORTALECIMIENTO DE LA CAPACIDAD OPERATIVA DE LA SECRETARÍA DEL INTERIOR Y CONVIVENCIA CIUDADANA. CARTAGENA DE INDIAS </t>
  </si>
  <si>
    <t>2.3.4501.1000.2020130010210</t>
  </si>
  <si>
    <t>Contratar la Prestación de Servicios Profesionales y de Apoyo a la Gestión en el marco del proyecto denominado  FORTALECIMIENTO DE LA CAPACIDAD OPERATIVA DE LA SECRETARÍA DEL INTERIOR Y CONVIVENCIA CIUDADANA. CARTAGENA DE INDIAS</t>
  </si>
  <si>
    <t>Se adjunta informe de los 20 operativos de control a espectáculos publicos realizados , asi como el  link   secop de las 5 OPS suscritas    donde se puede evidenciar la ejecución contractual.</t>
  </si>
  <si>
    <t>Se adjunta informe de los 38 operativos de control a espectáculos publicos realizados , asi como el  link   secop de la  OPS suscrita en este periodo    donde se puede evidenciar la ejecución contractual.</t>
  </si>
  <si>
    <t>AVANCE PROGRAMA FORTALECIMIENTO CAPACIDAD OPERATIVA DE LA SECRETARIA DEL INTERIOR Y CONVIVENCIA CIUDADANA</t>
  </si>
  <si>
    <t>AVANCE PROYECTO Fortalecimiento de la capacidad operativa de la Secretaría del Interior y Convivencia Ciudadana</t>
  </si>
  <si>
    <t>Número de casos de Violencia intrafamiliar reducidos</t>
  </si>
  <si>
    <t xml:space="preserve">1402
Fuente :Forensis Medicina legal
</t>
  </si>
  <si>
    <t>Reducir a 1051 el número de casos de violencia Intrafamiliar en el Distrito de Cartagena.</t>
  </si>
  <si>
    <t>PROMOCIÓN AL ACCESO A LA JUSTICIA</t>
  </si>
  <si>
    <t xml:space="preserve">Número de Casas de justicia operando con instalaciones en óptimas condiciones </t>
  </si>
  <si>
    <t>3 Casas de Justicia en el Distrito.</t>
  </si>
  <si>
    <t>Casas de Justicia operando en el Distrito con instalaciones en óptimas condiciones</t>
  </si>
  <si>
    <t>Casas de Justicia en operación (1202001)</t>
  </si>
  <si>
    <t>3
50% infraestructura
50% operación</t>
  </si>
  <si>
    <t>3
12,5%</t>
  </si>
  <si>
    <t>3
37,5%</t>
  </si>
  <si>
    <t>3 casas de justicia operando con el personal requerido.</t>
  </si>
  <si>
    <t xml:space="preserve">ACCESO A LA JUSTICIA </t>
  </si>
  <si>
    <t xml:space="preserve">Garantizar el acceso a la justicia en asuntos de violencia intrafamiliar, violencia basada en género, ejercicio ciudadano en la convivencia, ocupación indebida de espacio público, desarrollo ilegal urbanístico, comportamientos contrarios a la posesión, mera tenencia de inmuebles, servidumbre y demás que tengamos en cumplimiento con la ley, a través de las herramientas, instituciones y mecanismos legales dispuestos, que permitan de una manera completa e imparcial la protección y el reconocimiento de los derechos de todos los ciudadanos en el Distrito de Cartagena de Indias. </t>
  </si>
  <si>
    <t>Fortalecimiento y promoción al acceso a la Justicia desde las Casas de justicia y Comisarias de Familia en el Distrito de Cartagena de Indias.</t>
  </si>
  <si>
    <t>2020-13001-0030</t>
  </si>
  <si>
    <t>Garantizar que las Casas de justicia y comisarias de familia sean dotadas y fortalecidas en infraestructura con criterio de sostenibilidad ambiental, bajo un modelo de gestión e información eficaz.</t>
  </si>
  <si>
    <t>Fortalecer en infraestructura y dotar a las tres casas de justicia.</t>
  </si>
  <si>
    <t>Link expediente contractual.
Soportes de ingreso de los bienes adquiridos al almacén de la Alcaldía
Distrital</t>
  </si>
  <si>
    <t>9 ( 3 casas de justicia  y 6 comisarias)</t>
  </si>
  <si>
    <t>1.3.1.1.03-138 - DIVIDENDOS SOCIEDAD PORTUARIA</t>
  </si>
  <si>
    <t>FORTALECIMIENTO Y PROMOCIÓN AL ACCESO A LA JUSTICIA DESDE LAS CASAS DE JUSTICIA Y COMISARIAS DE FAMILIA EN EL DISTRITO DE   CARTAGENA DE INDIAS</t>
  </si>
  <si>
    <t>2.3.1202.0800.2020130010030</t>
  </si>
  <si>
    <t>CONTRATAR LA COMPRAVENTA DE PAPELERIA Y UTILES DE OFICINA EN EL MARCO DEL PROYECTO: FORTALECIMIENTO Y PROMOCIÓN AL ACCESO A LA JUSTICIA DESDE LAS CASAS DE JUSTICIA Y COMISARIAS DE FAMILIA EN EL DISTRITO DE CARTAGENA DE INDIAS</t>
  </si>
  <si>
    <t>En etapa pre-contractual</t>
  </si>
  <si>
    <t>Se adjunta CDP 79 que soporta el proceso contractual de papeleria para las casas  de justicia y comisarias</t>
  </si>
  <si>
    <t>El proceso contractual de papeleria por delegación lo  adelanta apoyo logistico
Se adjunta link del contrato de  OBRAS DE ADECUACIÓN Y MANTENIMIENTO DE LA INFRAESTRUCTURA FÍSICA DE LAS COMISARIAS DE FAMILIA Y CASAS DE JUSTICIA CARTAGENA :
https://community.secop.gov.co/Public/Tendering/OpportunityDetail/Index?noticeUID=CO1.NTC.4712025&amp;isFromPublicArea=True&amp;isModal=False
y su interventoria:
https://community.secop.gov.co/Public/Tendering/OpportunityDetail/Index?noticeUID=CO1.NTC.4873836&amp;isFromPublicArea=True&amp;isModal=False</t>
  </si>
  <si>
    <t>Tasa de Violencia contra niños, niñas y adolescentes</t>
  </si>
  <si>
    <t>Disminuir la Tasa de Violencia contra niños, niñas y adolescentes en 30%</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</si>
  <si>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</si>
  <si>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</si>
  <si>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</si>
  <si>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Servicio de promoción del acceso a la justicia (1202019)</t>
  </si>
  <si>
    <t>META CUMPLIDA</t>
  </si>
  <si>
    <t>Fortalecer en infraestructura y dotar las seis comisarías de familia.</t>
  </si>
  <si>
    <t>Link expediente contractual
Actas,
Informes parciales y final del contratista y de la supervisión y/o interventoría.</t>
  </si>
  <si>
    <t>Contratar adecuación en infraestructura de  las casas de justicia y comisarias de familia del Distrito</t>
  </si>
  <si>
    <t>Licitación pública (Obra pública)</t>
  </si>
  <si>
    <t xml:space="preserve">Se adjunta CDP 63 y 64   que soportan el proceso contractual  para las obras de adecuación y mantenimiento de la infraestructura física de las comisarias de familia y casas de justicia </t>
  </si>
  <si>
    <t>Se adjunta link del contrato de  OBRAS DE ADECUACIÓN Y MANTENIMIENTO DE LA INFRAESTRUCTURA FÍSICA DE LAS COMISARIAS DE FAMILIA Y CASAS DE JUSTICIA CARTAGENA :
https://community.secop.gov.co/Public/Tendering/OpportunityDetail/Index?noticeUID=CO1.NTC.4712025&amp;isFromPublicArea=True&amp;isModal=False
y su interventoria:
https://community.secop.gov.co/Public/Tendering/OpportunityDetail/Index?noticeUID=CO1.NTC.4873836&amp;isFromPublicArea=True&amp;isModal=False</t>
  </si>
  <si>
    <t>Número de casos de abuso sexual de menores reducidos.</t>
  </si>
  <si>
    <t xml:space="preserve">418
Fuente: COSED
</t>
  </si>
  <si>
    <t>Reducir a 313  el número de casos de abuso  sexual en menores de edad en el Distrito de Cartagena.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</si>
  <si>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</si>
  <si>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</si>
  <si>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</si>
  <si>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Comisarías de familia adecuadas (4501013)</t>
  </si>
  <si>
    <t>6
50% adecuacion
50% operación</t>
  </si>
  <si>
    <t>6
12,5% año</t>
  </si>
  <si>
    <t xml:space="preserve">Todas las 6 comisarias dotadas  en sus condiciones operativas.
</t>
  </si>
  <si>
    <t>Todas las 6 comisarias dotadas con el personal juridico y psicosocial  requerido para su funcionamiento.</t>
  </si>
  <si>
    <t>Todas las 6 comisarias dotadas con el personal juridico y psicosocial  requerido, y vehiuclos</t>
  </si>
  <si>
    <t xml:space="preserve">	Contratar arriendo de vehículo para comisarías de familias.</t>
  </si>
  <si>
    <t>Link expediente contractual</t>
  </si>
  <si>
    <t>6 comisarias de familia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</si>
  <si>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</si>
  <si>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Selección abreviada menor cuantía</t>
  </si>
  <si>
    <t>Se adjunta CDP 37 de fecha marzo 21 de 2023 que soporta el proceso contractual en curso del arriendo de vehiculos para las comisarias de familia.</t>
  </si>
  <si>
    <t>Se adjunta: Ordenes de Compra N°  109044 y  109027 y RP 302-303</t>
  </si>
  <si>
    <t>Número de casos de Feminicidio reducidos.</t>
  </si>
  <si>
    <t xml:space="preserve">875
Fuente: Forensis Medicina Legal
</t>
  </si>
  <si>
    <t>Reducir a 656 el número de casos de violencia basada en género en el Distrito de Cartagena.</t>
  </si>
  <si>
    <t>Número de Jornadas de información y  promoción de  los Métodos alternativos de solución de conflictos – MASC</t>
  </si>
  <si>
    <t>Realizar Jornadas de información y  promoción de  los Métodos alternativos de solución de conflictos- MASC- en el Distrito de Cartagena</t>
  </si>
  <si>
    <t>Contratar el equipo jurídico y psico social requerido para el funcionamiento de las Casas de justicia y comisarías de familia en el Distrito.</t>
  </si>
  <si>
    <t>9 ( 3 casas de justicia  y 6 comisarias)
Todos los habitantes y visitantes del Distrito de Cartagena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</si>
  <si>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</si>
  <si>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Se adjunta  el  link   secop de las 54 OPS suscritas en el periodo    donde se puede evidenciar la ejecución contractual.</t>
  </si>
  <si>
    <t>Se adjunta  el  link   secop de las  14 OPS suscritas en el periodo    donde se puede evidenciar la ejecución contractual.</t>
  </si>
  <si>
    <t xml:space="preserve">Links de los 4 contratos de OPS suscritos en el periodo:
https://community.secop.gov.co/Public/Tendering/ContractNoticePhases/View?PPI=CO1.PPI.25965096&amp;isFromPublicArea=True&amp;isModal=False 
https://community.secop.gov.co/Public/Tendering/ContractNoticePhases/View?PPI=CO1.PPI.26048987&amp;isFromPublicArea=True&amp;isModal=False
https://community.secop.gov.co/Public/Tendering/ContractNoticePhases/View?PPI=CO1.PPI.26809073&amp;isFromPublicArea=True&amp;isModal=False
https://community.secop.gov.co/Public/Tendering/ContractNoticePhases/View?PPI=CO1.PPI.26394305&amp;isFromPublicArea=True&amp;isModal=False 
</t>
  </si>
  <si>
    <t>AVANCE PROGRAMA PROMOCIÓN AL ACCESO A LA JUSTICIA</t>
  </si>
  <si>
    <t>AVANCE PROYECTO Fortalecimiento y promoción al acceso a la Justicia desde las Casas de justicia y Comisarias de Familia en el Distrito de Cartagena de Indias.</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</si>
  <si>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</si>
  <si>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</si>
  <si>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</si>
  <si>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ASISTENCIA Y ATENCIÓN INTEGRAL A LOS NIÑOS, NIÑAS,  ADOLESCENTES Y JÓVENES EN RIESGO DE VINCULARSE A ACTIVIDADES DELICTIVAS</t>
  </si>
  <si>
    <t xml:space="preserve">
Numero de pandillas y sus integrantes caracterizados en el Distrito de Cartagena
</t>
  </si>
  <si>
    <t>Realizar una caracterización de los  grupos de pandillas y sus integrantes en el Distrito de Cartagena</t>
  </si>
  <si>
    <t>Documentos de investigación (4102025)</t>
  </si>
  <si>
    <t>Documento de caracterización realizada en el primer semestre 2021</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</si>
  <si>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</si>
  <si>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</si>
  <si>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</si>
  <si>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Contratar el equipo de profesionales y de apoyo a la gestión requerido para la ejecución de las metas asociadas al proyecto.</t>
  </si>
  <si>
    <t>Informe de las atenciones Psicosociales  implementadas por el personal contratado.
Link expediente contractual.
Informes de actividades</t>
  </si>
  <si>
    <t xml:space="preserve">250 jóvenes </t>
  </si>
  <si>
    <t>107 Jóvenes</t>
  </si>
  <si>
    <t>Asistencia y atención integral a los niños, niñas,  jóvenes  y adolescentes en riesgo de vinculación a  actividades delictivas y  aquellos en conflicto con la ley penal en el Distrito de   Cartagena de Indias</t>
  </si>
  <si>
    <t>2.3.4103.1500.2020130010084</t>
  </si>
  <si>
    <t>SI</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</si>
  <si>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</si>
  <si>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 xml:space="preserve">Se adjunta informe de las atenciónes psicosociales realizadas en el periodo y   el  link   secop de las 3 OPS suscritas en el periodo    donde se puede evidenciar la ejecución contractual. </t>
  </si>
  <si>
    <t xml:space="preserve">Se adjunta informe de las atenciónes psicosociales realizadas en el periodo y   el  link   secop de las 2 OPS suscritas en el periodo    donde se puede evidenciar la ejecución contractual. </t>
  </si>
  <si>
    <t>Se adjunta informe de las atenciónes psicosociales realizadas en el periodo y   el  link   secop de la OPS suscrita en el periodo:
https://community.secop.gov.co/Public/Tendering/ContractNoticePhases/View?PPI=CO1.PPI.26176225&amp;isFromPublicArea=True&amp;isModal=False</t>
  </si>
  <si>
    <t xml:space="preserve">Número de Niños, niñas,  adolescentes y jóvenes en riesgo de vincularse a actividades delictivas atendidos 
Psicosocialmente
</t>
  </si>
  <si>
    <t>2.063
Fuente: SICC</t>
  </si>
  <si>
    <t>Atender  Psicosocialmente  a  Niños, niñas,  adolescentes y jóvenes en riesgo de vincularse a actividades delictivas</t>
  </si>
  <si>
    <t>Servicio de promoción de temas de dinámica relacional y desarrollo autónomo (4102043)</t>
  </si>
  <si>
    <t>Número de Iniciativas juveniles de  emprendimiento apoyadas y con seguimiento por parte del Distrito.</t>
  </si>
  <si>
    <t>118
Fuente: SICC</t>
  </si>
  <si>
    <t>Apoyar y hacer seguimiento a  Iniciativas juveniles de  emprendimiento en el Distrito de Cartagena.</t>
  </si>
  <si>
    <t>Servicio de apoyo a unidades productivas individuales para la generación de ingresos (4103057)</t>
  </si>
  <si>
    <t>Contratar el apoyo y  seguimiento de Iniciativas juveniles de emprendimiento.</t>
  </si>
  <si>
    <t>Link expediente contractual
Registros fotográficos
Actas de entrega</t>
  </si>
  <si>
    <t xml:space="preserve">40 jóvenes </t>
  </si>
  <si>
    <t>132 jovenes</t>
  </si>
  <si>
    <t>1.2.1.0.00-001 - ICLD
1.3.3.4.16-95-053 RB CONTRAPRESTACIONES PORTUARIAS</t>
  </si>
  <si>
    <t>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t>
  </si>
  <si>
    <t>Contratación régimen especial - Régimen especial</t>
  </si>
  <si>
    <t>El día 14 de junio de 2023 se realizó la entrega de 16 unidades productivas que beneficiaron a 32 jóvenes de distintos sectores de esta localidad. Esto se logró a través de la articulación de la Alcaldía local 1 y la Fundación ENCAUSA en un proyecto llamado “Proyecto para el emprendimiento y gestión de la empleabilidad” en la cual se capacitó en marketing, servicio al cliente, finanzas y formación relacionada con la actividad comercial. Se adjunta Informe</t>
  </si>
  <si>
    <r>
      <rPr>
        <sz val="20"/>
        <rFont val="Calibri"/>
        <family val="2"/>
        <scheme val="minor"/>
      </rPr>
      <t>suscrito y en ejecución el convenio de asociación No. 063 DE 2023:</t>
    </r>
    <r>
      <rPr>
        <u/>
        <sz val="20"/>
        <color theme="10"/>
        <rFont val="Calibri"/>
        <family val="2"/>
        <scheme val="minor"/>
      </rPr>
      <t xml:space="preserve">
https://community.secop.gov.co/Public/Tendering/OpportunityDetail/Index?noticeUID=CO1.NTC.4874824&amp;isFromPublicArea=True&amp;isModal=False</t>
    </r>
  </si>
  <si>
    <t>AVANCE PROGRAMA ASISTENCIA Y ATENCIÓN INTEGRAL A LOS NIÑOS, NIÑAS,  ADOLESCENTES Y JÓVENES EN RIESGO DE VINCULARSE A ACTIVIDADES DELICTIVAS</t>
  </si>
  <si>
    <t>AVANCE PROYECTO Asistencia y atención integral a los niños, niñas,  jóvenes  y adolescentes en riesgo de vinculación a  actividades delictivas y  aquellos en conflicto con la ley penal en el Distrito de Cartagena de Indias</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</si>
  <si>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</si>
  <si>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</si>
  <si>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</si>
  <si>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</si>
  <si>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Servicio de apoyo financiero para cofinanciación de proyectos territoriales de infraestructura del Sistema de Responsabilidad Penal para Adolescente (4102039</t>
  </si>
  <si>
    <t>Fortalecimiento del Sistema de Responsabilidad Penal para Adolescentes- SRPA en el Distrito de Cartagena de Indias.</t>
  </si>
  <si>
    <t xml:space="preserve">2021-13001-0275 </t>
  </si>
  <si>
    <t>Apoyar estrategias de atención integral para los jóvenes adolescentes del Distrito de Cartagena que están en el Sistema de Responsabilidad Penal para Adolescentes -SRPA.</t>
  </si>
  <si>
    <t>Financiar la estrategia anual para la atención integral de jóvenes y adolescentes del Distrito de Cartagena en el Sistema de Responsabilidad Penal para Adolescentes- SRPA</t>
  </si>
  <si>
    <t>85 jóvenes del SRPA</t>
  </si>
  <si>
    <t>82  jóvenes del SRPA</t>
  </si>
  <si>
    <t>Fortalecimiento del Sistema de Responsabilidad Penal para Adolescentes- SRPA en el Cartagena de Indias</t>
  </si>
  <si>
    <t>2.3.4102.1000.2021130010275</t>
  </si>
  <si>
    <t>Se adjunta informe de la coordinación del programa con las gestiones realizadas en el periodo.</t>
  </si>
  <si>
    <t>Se adjunta informe de la coordinación del programa con las gestiones realizadas en el periodo. Y el CDP N° 75 que soporta la suscripción de convenio en esta vigencia</t>
  </si>
  <si>
    <t>AVANCE PROGRAMA FORTALECIMIENTO SISTEMA DE RESPONSABILIDAD PENAL PARA ADOLESCENTES –SRPA</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</si>
  <si>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</si>
  <si>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</si>
  <si>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</si>
  <si>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</si>
  <si>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porcentaje</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</si>
  <si>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</si>
  <si>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</si>
  <si>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</si>
  <si>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</si>
  <si>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Servicio de apoyo financiero para la implementación de proyectos en materia de derechos humanos (4502021)</t>
  </si>
  <si>
    <t>DERECHOS HUMANOS Y CONSTRUCCCIÓN DE PAZ</t>
  </si>
  <si>
    <t>Proteger y fomentar los derechos humanos de todos los ciudadanos y ciudadanas que viven en la ciudad de Cartagena, incluida la población migrante, retornada, refugiada, víctimas del conflicto armado, personas con fines de explotación, líderes, lideresas asesinados, personas privadas de la libertad y dar cumplimiento a las directrices de los acuerdos de paz, mediante escenarios y mecanismos de participación que permitan la reconciliación, consulta, atención y decisión en condiciones de igualdad.</t>
  </si>
  <si>
    <t>GENERACIÓN DE UNA CULTURA DE PREVENCIÓN, PROMOCIÓN Y PROTECCIÓN DE LOS DERECHOS HUMANOS CON ENFOQUE DIFERENCIAL Y DE GÉNERO EN EL DISTRITO DE CARTAGENA DE INDIA</t>
  </si>
  <si>
    <t>2021-13001-0143</t>
  </si>
  <si>
    <t>Vincular a la población en proceso de reintegración y reincorporación social a iniciativas de inserción económica en el Distrito de Cartagena.</t>
  </si>
  <si>
    <t>Contratar iniciativas de inserción económica (Creación y/o fortalecimiento) para personas en proceso de reintegración y reincorporación.</t>
  </si>
  <si>
    <t>41 personas en proceso de reintegración y reincorporación.</t>
  </si>
  <si>
    <t>GENERACIÓN DE UNA CULTURA DE PREVENCIÓN, PROMOCIÓN Y PROTECCIÓN DE LOS DERECHOS HUMANOS CON ENFOQUE DIFERENCIAL Y DE GÉNERO EN EL DISTRITO DE CARTAGENA DE INDIAS</t>
  </si>
  <si>
    <t>2.3.4502.1000.2021130010143</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</si>
  <si>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</si>
  <si>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</si>
  <si>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</si>
  <si>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</si>
  <si>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</si>
  <si>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Servicio de educación informal  (4502034)</t>
  </si>
  <si>
    <t>Implementar mecanismos y estrategias que garanticen la prevención, promoción y protección de los derechos humanos en el Distrito de Cartagena.</t>
  </si>
  <si>
    <t>Realizar  acciones afirmativas de reconocimiento y legitimación de la labor de los defensores de Derechos Humanos, líderes y lideresas sociales en el Distrito de Cartagena.</t>
  </si>
  <si>
    <t>Link expediente contractual
Registros fotográfico y planillas de asistencia</t>
  </si>
  <si>
    <t>250 personas</t>
  </si>
  <si>
    <t>301 personas</t>
  </si>
  <si>
    <t>Contratar Servicios logísticos parar Realizar 5  acciones afirmativas de reconocimiento y legitimación de la labor de los defensores de Derechos Humanos, líderes y lideresas sociales en el Distrito de Cartagena.</t>
  </si>
  <si>
    <t xml:space="preserve">Se adjunta informe con  evidencias </t>
  </si>
  <si>
    <t>Se adjunta link de la logistica contratada para evento de conmemoracion contra la trata de personas:
https://community.secop.gov.co/Public/Tendering/OpportunityDetail/Index?noticeUID=CO1.NTC.4722896&amp;isFromPublicArea=True&amp;isModal=False</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</si>
  <si>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</si>
  <si>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</si>
  <si>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</si>
  <si>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</si>
  <si>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</si>
  <si>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Servicio de apoyo para la implementación de medidas en derechos humanos y derecho internacional humanitario (4502024)</t>
  </si>
  <si>
    <t>Contratar por prestación de servicios el equipo humano necesario para la ejecución de las actividades del proyecto.</t>
  </si>
  <si>
    <t>17 contratistas</t>
  </si>
  <si>
    <t>19 contratistas</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</si>
  <si>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</si>
  <si>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 xml:space="preserve">Se adjunta excel con el   link   secop de las 15 OPS suscritas en el periodo,   donde se puede evidenciar la ejecución contractual. </t>
  </si>
  <si>
    <t>Se adjunta excel con el   link   secop de las 4 OPS suscritas en el periodo,   donde se puede evidenciar la ejecución contractual.  Asi como informe del trimestre del programa y las atenciones brindadas desde el  centro integrate.</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</si>
  <si>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</si>
  <si>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</si>
  <si>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</si>
  <si>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Centro de Atención al migrante dotado y funcionando  en el Distrito</t>
  </si>
  <si>
    <t>Crear y dotar  un Centro de Atención al migrante en el Distrito de Cartagena con apoyo de la cooperación internacional.</t>
  </si>
  <si>
    <t>1 centro inaugurado en 2021, dotado y en funcionamiento</t>
  </si>
  <si>
    <t>Servicios logísticos para fortalecimiento de comité de libertad religiosa y el consejo de paz, reconciliación, convivencia y DDHH en el Distrito de Cartagena.</t>
  </si>
  <si>
    <t>32 Consejeros de Paz de
Cartagena.
7 integrantes del comité en representación de  las congregaciones religiosas  del Distrito de Cartagena</t>
  </si>
  <si>
    <t>Contratar Servicios logísticos para fortalecimiento del consejo de paz, reconciliación, convivencia y DDHH en el Distrito de Cartagena.</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</si>
  <si>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</si>
  <si>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</si>
  <si>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</si>
  <si>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Servicio de asistencia técnica (4502022)</t>
  </si>
  <si>
    <t xml:space="preserve">1 mesa  técnica de refugiados,  migrantes y retornados reglamentada mediante decreto  1621 de 24 de diciembre de 2020 </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</si>
  <si>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</si>
  <si>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</si>
  <si>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</si>
  <si>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 xml:space="preserve">1 Consejo de Paz, Reconciliación, Convivencia y DDHH operando en el Distrito de Cartagena mediante acuerdo 088 de 27 de diciembre de 2021. </t>
  </si>
  <si>
    <t>1 Consejo de Paz, Reconciliación, Convivencia y DDHH operando en el Distrito de Cartagena.</t>
  </si>
  <si>
    <t>Cear el comité intersectorial de libertad religiosa como espacio de interlocución con la administración, garantizado la participación de todas las confesiones y entidades religiosas del Municipio</t>
  </si>
  <si>
    <t>Comité intersectorial de libertad religiosa creado como espacio de interlocución con la administración, garantizando la participación de todas las confesiones y entidades religiosas del Municipio</t>
  </si>
  <si>
    <t>1 Comité intersectorial de libertad religiosa  creado mediante decreto 0605 de 8 de junio de 2021 en el Distrito.</t>
  </si>
  <si>
    <t>AVANCE PROGRAMA PREVENCIÓN, PROMOCIÓN Y PROTECCIÓN DE LOS DRECHOS HUMANOS EN EL DISTRITO DE CARTAGENA</t>
  </si>
  <si>
    <t>AVANCE PROYECTO GENERACIÓN DE UNA CULTURA DE PREVENCIÓN, PROMOCIÓN Y PROTECCIÓN DE LOS DERECHOS HUMANOS CON ENFOQUE DIFERENCIAL Y DE GÉNERO EN EL DISTRITO DE CARTAGENA DE INDIA</t>
  </si>
  <si>
    <t>Porcentaje de condiciones de prisionalización de Cárcel Distrital de Mujeres y cárcel de Ternera mejorado</t>
  </si>
  <si>
    <t xml:space="preserve">Mejorar en un 100% las condiciones de prisionalización de Cárcel Distrital de Mujeres y cárcel de Ternera </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</si>
  <si>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</si>
  <si>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</si>
  <si>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</si>
  <si>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</si>
  <si>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Servicio de vigilancia carcelaria y penitenciaria (1206004)</t>
  </si>
  <si>
    <t>Fortalecimiento y Atención Integral a Internos de los Establecimientos Carcelarios del Distrito de  Cartagena de Indias</t>
  </si>
  <si>
    <t>2020-13001-0032</t>
  </si>
  <si>
    <t>Brindar servicios de atención primaria (alimentación, salud,  comunicación familiar, psicosocial, jurídica y custodia) a las reclusas que permitan mejorar sus condiciones físicas y Psicológicas al interior del establecimiento carcelario.</t>
  </si>
  <si>
    <t>suministro de papeleria y materiales de oficina</t>
  </si>
  <si>
    <t>Link expediente contractual
Soportes de ingreso de los bienes adquiridos al almacén de la Alcaldía
Distrital</t>
  </si>
  <si>
    <t>21  de junio de 2023</t>
  </si>
  <si>
    <t>216 dias</t>
  </si>
  <si>
    <t>La totalidad de las internas de la Carcel Distrital</t>
  </si>
  <si>
    <t>DIRECTOR CARCEL DISTRITAL</t>
  </si>
  <si>
    <t xml:space="preserve">AMITH PATERNINA </t>
  </si>
  <si>
    <t xml:space="preserve">1.2.1.0.00-001 - ICLD
</t>
  </si>
  <si>
    <t>FORTALECIMIENTO Y ATENCION INTEGRAL A INTERNOS DE LOS ESTABLECIMIENTOS CARCELARIOS DEL DISTRITO DE  CARTAGENA DE INDIAS</t>
  </si>
  <si>
    <t>2.3.1206.0800.2020130010032</t>
  </si>
  <si>
    <t>CONTRATAR LA COMPRAVENTA DE PAPELERIA Y UTILES DE OFICINA EN EL MARCO DEL PROYECTO: “FORTALECIMIENTO Y ATENCIÓN INTEGRAL A INTERNOS DE LOS DE LOS ESTABLECIMIENTOS CARCELARIOS DEL DISTRITO DE CARTAGENA DE INDIAS</t>
  </si>
  <si>
    <t>Se adjunta CDP 78, el cual fue enviado a apoyo logistico por competencia para suscirpciónde contrato de papeleria.</t>
  </si>
  <si>
    <t xml:space="preserve">Contratar servicio de transportes que permita el cumplimiento de las remisiones judiciales y médicas	</t>
  </si>
  <si>
    <t>link expediente contractual</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</si>
  <si>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</si>
  <si>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Se adjunta CDP 38 de fecha marzo 22 de 2023 que soporta el proceso contractual en curso del arriendo de vehiculos para la Carcel Distrital</t>
  </si>
  <si>
    <t>Se adjunta CDP N°38 que soporta la contratación del servicio de  transporte</t>
  </si>
  <si>
    <t>Contratar suministro de alimentos para PPL</t>
  </si>
  <si>
    <t>Por demanda. PPL  que se encuentran bajo custodia de la Policía Metropolitana de Cartagena</t>
  </si>
  <si>
    <t>El suministro de alimentos a internas de la Carcel Distrital es un gasto de funcionamiento que está garantizado hasta 31 de abril de 2023 gracias aadicional realizado a  vigencia futura aprobada al contrato SAMC-SICC-001-2022. El suministro de alimentos a PPL masculinos y femeninos para la actual vigencia, está en etapa contractual, se adjuntan los CDP 31 de 28 de febrero y  45 de 28 de marzo de 2023</t>
  </si>
  <si>
    <t>https://community.secop.gov.co/Public/Tendering/OpportunityDetail/Index?noticeUID=CO1.NTC.4349221&amp;isFromPublicArea=True&amp;isModal=False</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</si>
  <si>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</si>
  <si>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</si>
  <si>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</si>
  <si>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Infraestructura penitenciaria y carcelaria con mejoramiento (1206003)</t>
  </si>
  <si>
    <t xml:space="preserve">1
</t>
  </si>
  <si>
    <t>Cárcel Distrital funcionando  de manera provisional en inmueble en  calidad de arriendo. 
(12,5%)</t>
  </si>
  <si>
    <t>Cárcel Distrital funcionando  de manera provisional en inmueble en  calidad de arriendo. 
50% inmueble propio
50% operación</t>
  </si>
  <si>
    <t xml:space="preserve">Cárcel Distrital funcionando  de manera provisional en inmueble en  calidad de arriendo. </t>
  </si>
  <si>
    <t>Coordinar con el gobierno departamental y Nacional las acciones administrativas, financieras, jurídicas y logísticas que permitan la reubicación y traslado de la Cárcel Distrital de Cartagena a inmueble propio</t>
  </si>
  <si>
    <t>Contratar el arrendamiento de un bien inmueble con destino al funcionamiento de salas o centro de detención transitoria para dar solución a la grave situación que aqueja a las personas detenidas preventivamente de manera transitoria por la Policía Nacional.</t>
  </si>
  <si>
    <t>Se adjuntan los CDP N°22 de 1 de febrero de 2023 y CDP N°34 del 2 de marzo de 2023 qure soportan los procesos contractuales en curso.</t>
  </si>
  <si>
    <t>Contrato  CD-DAAL-UAC-016-2023 RP 276 https://community.secop.gov.co/Public/Tendering/OpportunityDetail/Index?noticeUID=CO1.NTC.4218305&amp;isFromPublicArea=True&amp;isModal=False
Contrato CD-SICC-UAC-001-2023 RP 340</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</si>
  <si>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</si>
  <si>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</si>
  <si>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</si>
  <si>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Servicio de resocialización de personas privadas de la libertad (1206005)</t>
  </si>
  <si>
    <t>Prestación de servicios profesionales y de apoyo a la gestión para la Cárcel Distrital de Mujeres.</t>
  </si>
  <si>
    <t>Informe de las acciones  de atención psicosocial realizadas a las  personas privadas de la libertad (PPL) en la Cárcel Distrital .
Link expediente contractual.
Informes de actividades</t>
  </si>
  <si>
    <t xml:space="preserve">La totalidad de las internas de la Carcel Distrital </t>
  </si>
  <si>
    <t>91  internas</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</si>
  <si>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</si>
  <si>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Se adjunta informe de la Carcel Distrital con las gestiones realizadas en el periodo. Tambien se adjunta excel con el   link   secop de las 14 OPS suscritas en el periodo,   donde se puede evidenciar la ejecución contractual</t>
  </si>
  <si>
    <t>Se adjunta informe de la Carcel Distrital con las gestiones realizadas en el periodo</t>
  </si>
  <si>
    <t>Convenio INPEC  suscrito anualmente</t>
  </si>
  <si>
    <t>Ultimo Convenio INPEC suscrito en el año 2019</t>
  </si>
  <si>
    <t xml:space="preserve">Suscribir anualmente un convenio con el INPEC </t>
  </si>
  <si>
    <t>Infraestructura penitenciaria y carcelaria dotada (1206008)</t>
  </si>
  <si>
    <t>Mejorar las condiciones de alojamiento de la población masculina recluida en el Establecimiento Penitenciario de Mediana Seguridad y Carcelario de Cartagena con medida de aseguramiento de detención preventiva impuesta.</t>
  </si>
  <si>
    <t>Suscribir convenio INPEC.</t>
  </si>
  <si>
    <t>Convenio suscrito y 
Soportes de ingreso de los bienes adquiridos al almacén de la Alcaldía
Distrital</t>
  </si>
  <si>
    <t>La totalidad de población sindicada del Distrito de Cartagena  recluida en la Carcel de Ternera</t>
  </si>
  <si>
    <t>Suscrito Convenio interadministrativo 049
con INPEC para la vigencia
de 2023 por valor de
($715.782.890)</t>
  </si>
  <si>
    <t xml:space="preserve">Se adjuntan las ordenes de compra y links de secop de los contratos  derivados del convenio INPEC 2023:  O.C. 114909  y  115160
https://community.secop.gov.co/Public/Tendering/ContractNoticePhases/View?PPI=CO1.PPI.26490794&amp;isFromPublicArea=True&amp;isModal=False 
https://community.secop.gov.co/Public/Tendering/ContractNoticePhases/View?PPI=CO1.PPI.26633772&amp;isFromPublicArea=True&amp;isModal=False </t>
  </si>
  <si>
    <t>AVANCE PROGRAMA SISTEMA PENITENCIARIO Y CARCELARIO EN EL MARCO DE LOS DERECHOS HUMANOS</t>
  </si>
  <si>
    <t>Avance Proyecto Fortalecimiento y Atención Integral a Internos de los Establecimientos Carcelarios del Distrito de  Cartagena de Indias</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</si>
  <si>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</si>
  <si>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</si>
  <si>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</si>
  <si>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</si>
  <si>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ATENCIÓN, ASISTENCIA Y REPARACIÓN INTEGRAL A LAS VÍCTIMAS</t>
  </si>
  <si>
    <t>Numero de Albergues de atención inmediata (interna y externa) funcionando en el Distrito</t>
  </si>
  <si>
    <t>Un albergue  de
Atención Humanitaria en 2019.
Fuente:  SICC</t>
  </si>
  <si>
    <t>Garantizar  el funcionamiento de 2 albergues  de atención inmediata (interna y externa) anualmente.</t>
  </si>
  <si>
    <t>Servicio de alojamiento temporal (4101026)</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</si>
  <si>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</si>
  <si>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</si>
  <si>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</si>
  <si>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Contratar albergues de ayuda humanitaria inmediata (interna y externa)</t>
  </si>
  <si>
    <t>Link expediente contractual
Informe de ejecución contractual</t>
  </si>
  <si>
    <t>Por demanda de atención de población victima</t>
  </si>
  <si>
    <t>61 victimas</t>
  </si>
  <si>
    <t>ASISTENCIA ATENCIÓN Y REPARACIÓN INTEGRAL A LAS VÍCTIMAS DEL CONFLICTO ARMADO EN EL DISTRITO DE   CARTAGENA DE INDIAS</t>
  </si>
  <si>
    <t>2.3.4103.1500.2020130010061</t>
  </si>
  <si>
    <t>Contratar albergue de ayuda humanitaria inmediata (interna y externa) para población victima</t>
  </si>
  <si>
    <t>SE adjunta CDP N°24 de 16 de febrero que respalda el proceso contractual en curso del Albergue.</t>
  </si>
  <si>
    <t>https://community.secop.gov.co/Public/Tendering/OpportunityDetail/Index?noticeUID=CO1.NTC.4290089&amp;isFromPublicArea=True&amp;isModal=False</t>
  </si>
  <si>
    <t>Se adjunta informe de la coordinación  del programa.</t>
  </si>
  <si>
    <t>Atención y/o ayuda humanitaria inmediata para la población víctima del conflicto en Cartagena</t>
  </si>
  <si>
    <t>Resoluciones de pago</t>
  </si>
  <si>
    <t>53  victimas</t>
  </si>
  <si>
    <t xml:space="preserve">Se adjunta resolución N° 2444 de 28 de marzo de 2023 por medio del cual se reconoce  y ordena el pago a 21 victimas por concepto de ayuda humanitaria inmediata </t>
  </si>
  <si>
    <t xml:space="preserve">Se adjuntan  resoluciones N° 3379 de 4 de mayo de 2023 y N°4081 de 2 de junio de 2023  por medio del cual se reconoce  y ordena el pago a 21 victimas por concepto de ayuda humanitaria inmediata </t>
  </si>
  <si>
    <t xml:space="preserve">Se adjunta resolución N° 5526 de 24 de JULIO de 2023 por medio del cual se reconoce  y ordena el pago a 11 victimas por concepto de ayuda humanitaria inmediata </t>
  </si>
  <si>
    <t xml:space="preserve">Medidas de Satisfacción a Población Victima
en el Distrito.
</t>
  </si>
  <si>
    <t xml:space="preserve">0
Fuente: Secretaría del Interior
</t>
  </si>
  <si>
    <t xml:space="preserve">Realizar en un 100% medidas de satisfacción a
Población Victima en el Distrito.
</t>
  </si>
  <si>
    <t xml:space="preserve">Número de acciones afirmativas de reconocimiento  de memoria histórica realizadas </t>
  </si>
  <si>
    <t>2 acciones afirmativas  realizadas en 2019.
Fuente: SICC</t>
  </si>
  <si>
    <t>Realizar  acciones afirmativas de reconocimiento  de memoria histórica en el cuatrienio.</t>
  </si>
  <si>
    <t>Servicio de asistencia técnica para la realización de iniciativas de memoria histórica (4101011)</t>
  </si>
  <si>
    <t>Garantizar y velar por la implementación de medidas de satisfacción y participación efectiva a favor de las víctimas en el Distrito de Cartagena que aseguren la preservación de la memoria histórica y el restablecimiento de la dignidad de las víctimas.</t>
  </si>
  <si>
    <t>Acciones afirmativas de reconocimiento de memoria histórica.</t>
  </si>
  <si>
    <t>Acciones afirmativas de reconocimiento de memoria histórica para población Victima del Conflicto</t>
  </si>
  <si>
    <t>En proceso contractual. Se adjunta CDP 124 de 28 de septiembre de 2023</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</si>
  <si>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</si>
  <si>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</si>
  <si>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</si>
  <si>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</si>
  <si>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</si>
  <si>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</si>
  <si>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Servicio de asistencia técnica para la participación de las víctimas (4101038)</t>
  </si>
  <si>
    <t>Incentivos técnicos y logísticos para la mesa de participación de las víctimas.</t>
  </si>
  <si>
    <t>Link expediente contractual y resoluciones de pago</t>
  </si>
  <si>
    <t>https://community.secop.gov.co/Public/Tendering/OpportunityDetail/Index?noticeUID=CO1.NTC.4445683&amp;isFromPublicArea=True&amp;isModal=False</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</si>
  <si>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</si>
  <si>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</si>
  <si>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</si>
  <si>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Numero de Planes de Acción Territorial- PAT aprobados.</t>
  </si>
  <si>
    <t>PAT 201-2019 aprobado mediante decreto 1755 de 2016.</t>
  </si>
  <si>
    <t>Adoptar un Plan de Acción Territorial- PAT para el cuatrienio 2020-2023</t>
  </si>
  <si>
    <t>Servicios de asistencia técnica para la articulación interinstitucional en la implementación de la polìtica pública para las víctimas (4101063)</t>
  </si>
  <si>
    <t xml:space="preserve">Un PAT aprobado y adoptado mediante decreto 0714 de 10 de julio de 2020 </t>
  </si>
  <si>
    <t xml:space="preserve">Implementación de las medidas de prevención y protección a población víctima del conflicto. </t>
  </si>
  <si>
    <t>23  victimas</t>
  </si>
  <si>
    <t>Se adjunta resolución N° 6125 de 23 de AGOSTO  de 2023 por medio del cual se reconoce  y ordena el pago a 23 victimas por concepto de la implementación  de  las medidas de  prevención y protección.</t>
  </si>
  <si>
    <t xml:space="preserve">Número de personas víctimas
del conflicto que
acceden  a procesos de
atención psicosocial
</t>
  </si>
  <si>
    <t>736 atendidas psicosocialmente solo en 2019
Fuente: SICC</t>
  </si>
  <si>
    <t xml:space="preserve">Garantizar que personas víctimas
del conflicto 
accedan  a procesos de
atención psicosocial en el cuatrienio.
</t>
  </si>
  <si>
    <t>Servicio de recuperación emocional a víctimas del conflicto armado (4101030)</t>
  </si>
  <si>
    <t>Garantizar el acceso de las víctimas del conflicto armado a medidas de atención Psicosocial con enfoque de género, diferencial y étnico en el Distrito de Cartagena</t>
  </si>
  <si>
    <t>Contratar el equipo jurídico y psicosocial requerido para brindar la atención sicosocial a víctimas del conflicto y Hacer seguimiento a la Implementación del Plan de Atención Territorial- PAT en el Distrito.</t>
  </si>
  <si>
    <t>1182 victimas</t>
  </si>
  <si>
    <t>126 victimas</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</si>
  <si>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</si>
  <si>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Se adjunta  informe de la coordinación del porgrama y  excel con el   link   secop de las 6 OPS suscritas en el periodo,   donde se puede evidenciar la ejecución contractual</t>
  </si>
  <si>
    <t>Se adjunta  informe de la coordinación del porgrama y  excel con el   link   secop de la  OPS suscrita en el periodo,   donde se puede evidenciar la ejecución contractual</t>
  </si>
  <si>
    <t>AVANCE PROGRAMA ATENCIÓN, ASISTENCIA Y REPARACIÓN INTEGRAL A LAS VÍCTIMAS</t>
  </si>
  <si>
    <t>Avance Proyecto  Asistencia, atención y reparación integral a las víctimas del conflicto Armado en el Distrito de Cartagena de Indias</t>
  </si>
  <si>
    <t>NO TIENE</t>
  </si>
  <si>
    <t>CONSTRUCCIÓN DE PAZ TERRITORIAL</t>
  </si>
  <si>
    <t>Número de encuentros Convivencia y reconciliación en las Localidades realizados</t>
  </si>
  <si>
    <t>Realizar 3 encuentros anualmente para Fomentar la Convivencia y la reconciliación en las Localidades</t>
  </si>
  <si>
    <t>Servicio de asistencia técnica a comunidades en temas de fortalecimiento del tejido social y construcción de escenarios comunitarios protectores de derechos (4101079)</t>
  </si>
  <si>
    <t>Construcción de  paz Territorial en el Distrito de Cartagena.</t>
  </si>
  <si>
    <t>2020-13001-0187</t>
  </si>
  <si>
    <t>Divulgar los acuerdos de paz y  fomentar la convivencia y la reconciliación en el Distrito de Cartagena.</t>
  </si>
  <si>
    <t>Encuentros para fomentar la convivencia y la reconciliación</t>
  </si>
  <si>
    <t>670 participantes</t>
  </si>
  <si>
    <t>CONSTRUCCIÓN DE PAZ TERRITORIAL EN EL DISTRITO DE   CARTAGENA DE INDIAS</t>
  </si>
  <si>
    <t>2.3.4103.1500.2020130010187</t>
  </si>
  <si>
    <t>Contratar Servicios logísticos para implmentar los Encuentros para fomentar la convivencia y la reconciliación en el Distrito de Cartagena el marco del proyecto denominado “CONSTRUCCIÓN DE PAZ TERRITORIAL EN EL DISTRITO DE CARTAGENA DE INDIAS</t>
  </si>
  <si>
    <t>Número de Informes y recomendaciones de la Comisión de la Verdad adoptados</t>
  </si>
  <si>
    <t>Adoptar el informe y las recomendaciones de la comisión de la verdad para Cartagena</t>
  </si>
  <si>
    <t>Documentos de diagnóstico y/o caracterización del daño colectivo (4101046)</t>
  </si>
  <si>
    <t>Se ejecutan recomendaciones</t>
  </si>
  <si>
    <t>Informe adoptado</t>
  </si>
  <si>
    <t>Contratar el recurso humano idóneo para ejecutar actividades del proyecto</t>
  </si>
  <si>
    <t>6 contratistas</t>
  </si>
  <si>
    <t>7 contratistas</t>
  </si>
  <si>
    <t>Contratar Prestación de Servicios Profesionales y de Apoyo a la Gestión en el marco del proyecto denominado “CONSTRUCCIÓN DE PAZ TERRITORIAL EN EL DISTRITO DE CARTAGENA DE INDIAS” de la Secretaría del Interior y Convivencia Ciudadana</t>
  </si>
  <si>
    <t>Se adjunta  informe  excel con el   link   secop de las OPS suscrita en el periodo,   donde se puede evidenciar la ejecución contractual</t>
  </si>
  <si>
    <t>Numero de divulgaciones y socializaciones del Acuerdo de Paz  en las Unidades Comuneras de Gobierno urbanas y Rurales realizada</t>
  </si>
  <si>
    <t>Divulgar y socializar  los Acuerdos de Paz en las Unidades Comuneras de Gobierno Urbanas y Rurales</t>
  </si>
  <si>
    <t>AVANCE PROGRAMA CONSTRUCCIÓN DE PAZ TERRITORIAL</t>
  </si>
  <si>
    <t>Avance Proyecto Construcción de  paz Territorial en el Distrito de Cartagena.</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</si>
  <si>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</si>
  <si>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</si>
  <si>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</si>
  <si>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PRESUPUESTO PARTICIPATIVO</t>
  </si>
  <si>
    <t>Número de priorizaciones de proyectos de presupuesto realizadas.</t>
  </si>
  <si>
    <t xml:space="preserve">Última priorización realizada en 2009.
Fuente:SICC </t>
  </si>
  <si>
    <t>Realizar una priorización de proyectos de presupuesto participativo en cada una de las  UCG urbanas y rurales en el Distrito de Cartagena.</t>
  </si>
  <si>
    <t>Servicio de integración de la oferta pública (4599029)</t>
  </si>
  <si>
    <t>SE DESPROGRAMA POR TRASLADO  PRESUPUESTAL  REALIZADO MEDIANTE DECRETO N° 0768 DE JUNIO 2 DE 2023</t>
  </si>
  <si>
    <t>N/D</t>
  </si>
  <si>
    <t>ND
(depende de los proyectos priorizados en las comunidades)</t>
  </si>
  <si>
    <t>Actas de asambleas de priorización</t>
  </si>
  <si>
    <t>El equipo asesor ha venido desarrollando durante el mes de febrero y marzo la formulación técnica del proyecto para el registro del mismo en la MGA, puesto que el programa no se ha implementado desde el año 2009.
Asi como tambien  en la modificación del decreto 0761 de 2009 que reglamenta el Acuerdo 003 de 2009, mediante el cual se institucionalizó el proceso de presupuesto participativo, dado que el marco normativo se encuentra desactualizado conforme a la normativa nacional y para clarificar varios de los procesos asociados. Se adjuntam informe con evidencias</t>
  </si>
  <si>
    <t>Número de proyectos por presupuesto participativo ejecutados.</t>
  </si>
  <si>
    <t>Ejecutar proyectos priorizados por presupuesto participativo en el Distrito de Cartagena.</t>
  </si>
  <si>
    <t>Servicio de asistencia técnica (4599031)</t>
  </si>
  <si>
    <t>Proyectos priorizados</t>
  </si>
  <si>
    <t>AVANCE PROGRAMA PRESUPUESTO PARTICIPATIVO</t>
  </si>
  <si>
    <t xml:space="preserve">Avance Proyecto </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</si>
  <si>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</si>
  <si>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</si>
  <si>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</si>
  <si>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</si>
  <si>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DE LA POBLACIÓN NEGRA, AFROCOLOMBIANA, RAIZAL Y PALENQUERA EN EL DISTRITO DE CARTAGENA</t>
  </si>
  <si>
    <t>Planes Administrativos de Territorio</t>
  </si>
  <si>
    <t>7 de 33 Consejos comunitarios tienen reglamentos internos y planes de etnodesarrollo.</t>
  </si>
  <si>
    <t xml:space="preserve">Elaborar Planes Administrativos de Territorio  </t>
  </si>
  <si>
    <t>Documentos de planeación (4502035)</t>
  </si>
  <si>
    <t>EQUIDAD E INCLUSIÓN DE LOS NEGROS, AFROS, PALENQUEROS E INDÍGENAS</t>
  </si>
  <si>
    <t xml:space="preserve">Desarrollar politicas locales e implementar politicas nacionales dirigidas a la garantia de derechos de la poblacion negra, afro, raizal, palenqueras e indigena, aplicando el enfoque diferencial, para garantizar la identidad, el bienestar y la inclusion de este sector poblacional en el Distrito de Cartagena. </t>
  </si>
  <si>
    <t>FORTALECIMIENTO DEL PROCESO ORGANIZATIVO Y ATENCIÓN DIFERENCIAL A LA POBLACIÓN NEGRA, AFRODESCENDIENTE, RAIZAL Y PALENQUERA EN EL DISTRITO DE CARTAGENA DE INDIAS</t>
  </si>
  <si>
    <t>2021-13001-0148</t>
  </si>
  <si>
    <t>Brindar asistencia técnica para la elaboración de los Planes Administrativos del Territorio (reglamentos internos y planes de etnodesarrollo) que permitan proteger el territorio de estas comunidades y promover la conservación de sus costumbres, prácticas socioeconómicas y de sus activos ambientales</t>
  </si>
  <si>
    <t>Acompañar la construcción de los Planes Administrativos del Territorio (reglamentos internos y planes de etnodesarrollo) en los consejos comunitarios</t>
  </si>
  <si>
    <t>Link expediente contractual.
Informes de actividades.
PAT</t>
  </si>
  <si>
    <t>18 Consejos comunitarios</t>
  </si>
  <si>
    <t>4  Consejos comunitarios: Las Europas,  Ararca,  Arroyo Grande Y  Leticia</t>
  </si>
  <si>
    <t>3  Consejos comunitarios:
Caño del Oro, Palmarito y Punta Arena</t>
  </si>
  <si>
    <t>7 consejos comunitarios:
Arroyo de las Canoas
Arroyo de piedra
Bocachica
 Isla del Rosario-Orika
Playa Blanca
 Puerto Rey
Santa Ana</t>
  </si>
  <si>
    <t>14 Consejos comunitarios: Las Europas,  Ararca,  Arroyo Grande,  Leticia, Caño del Oro, Palmarito , Punta Arena, Arroyo de las Canoas
Arroyo de piedra
Bocachica
 Isla del Rosario-Orika
Playa Blanca
 Puerto Rey
Santa Ana</t>
  </si>
  <si>
    <t>FORTALECIMIENTO DEL PROCESO ORGANIZATIVO Y ATENCIÓN DIFERENCIAL A LA POBLACIÓN NEGRA, AFRODESCENDIENTE,
RAIZAL Y PALENQUERA EN EL DISTRITO DE CARTAGENA DE INDIAS</t>
  </si>
  <si>
    <t>2.3.4502.1000.2021130010148</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</si>
  <si>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</si>
  <si>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Se adjunta informe de la  coordinación del porgrama  con las gestiones realizadas en el periodo. Tambien se adjunta excel con el   link   secop de las 8 OPS suscritas en el periodo,   donde se puede evidenciar la ejecución contractual</t>
  </si>
  <si>
    <t>Se adjunta informe de la  coordinación del programa  con las gestiones realizadas en el periodo</t>
  </si>
  <si>
    <t>Contratar logística para eventos conmemorativos y consultas previas.</t>
  </si>
  <si>
    <t>Todas las comunidades ëtnicas del Distrito de Cartagena que requieran acompañamiento en Consultas Previas</t>
  </si>
  <si>
    <t>120 personas</t>
  </si>
  <si>
    <t>Contratar Servicios logístico para para eventos conmemorativos y consultas previas.</t>
  </si>
  <si>
    <t>https://community.secop.gov.co/Public/Tendering/OpportunityDetail/Index?noticeUID=CO1.NTC.4429463&amp;isFromPublicArea=True&amp;isModal=False</t>
  </si>
  <si>
    <t>Número de funcionarios de la alcaldía distrital formados en enfoque étnico</t>
  </si>
  <si>
    <t>Formar  funcionarios de la alcaldía distrital en enfoque étnico</t>
  </si>
  <si>
    <t>Adecuación y dotación de la casa AIKU como espacio de gestión cultural.</t>
  </si>
  <si>
    <t xml:space="preserve">Link expediente contractual
Registros fotográfico </t>
  </si>
  <si>
    <t xml:space="preserve">Todas las comunidades ëtnicas del Distrito de Cartagena </t>
  </si>
  <si>
    <t>en etapa pre-contractual</t>
  </si>
  <si>
    <t>Se adjunta link del contrato de  adecuación:
https://community.secop.gov.co/Public/Tendering/OpportunityDetail/Index?noticeUID=CO1.NTC.4748393&amp;isFromPublicArea=True&amp;isModal=False</t>
  </si>
  <si>
    <t>AVANCE PROGRAMA FORTALECIMIENTO DE LA POBLACIÓN NEGRA, AFROCOLOMBIANA, RAIZAL Y PALENQUERA EN EL DISTRITO DE CARTAGENA</t>
  </si>
  <si>
    <t>AVANCE PROYECTO FORTALECIMIENTO DEL PROCESO ORGANIZATIVO Y ATENCIÓN DIFERENCIAL A LA POBLACIÓN NEGRA, AFRODESCENDIENTE, RAIZAL Y PALENQUERA EN EL DISTRITO DE CARTAGENA DE INDIAS</t>
  </si>
  <si>
    <t>FORTALECIMIENTO DE LA POBLACIÓN INDÍGENA EN EL DISTRITO DE CARTAGENA</t>
  </si>
  <si>
    <t xml:space="preserve">Número de Cabildos
indígenas asentados en el Distrito con Planes de Vida 
</t>
  </si>
  <si>
    <t>Aumentar el Número  de Cabildos indígenas asentados en el Distrito con Planes de Vida</t>
  </si>
  <si>
    <t>FORTALECIMIENTO DE LA GOBERNANZA Y LA AUTODETERMINACIÓN DE LA CULTURA E INSTITUCIONES PROPIAS DE LA POBLACIÓN INDIGENA EN EL DISTRITO DE CARTAGENA DE INDIAS</t>
  </si>
  <si>
    <t xml:space="preserve">2021-13001-0145 </t>
  </si>
  <si>
    <t xml:space="preserve">Realizar asistencia técnica a los cabildos indígenas asentados en el Distrito para la formulación de sus planes de vida con enfoque diferencial. </t>
  </si>
  <si>
    <t>Asistencia técnica a los cabildos indígena asentados en el Distrito para la formulación de su plan de vida con enfoque diferencia.</t>
  </si>
  <si>
    <t>Link expediente contractual.
Informes de actividades
Planes de vida</t>
  </si>
  <si>
    <t>5 Cabildos indígenas</t>
  </si>
  <si>
    <t>FORTALECIMIENTO DE LA GOBERNANZA Y AUTODETERMINACION DE LA CULTURA E INSTITUCIONES PROPIAS DE LA POBLACION INDIGENA EN EL DISTRITO DE CARTAGENA DE INDIAS</t>
  </si>
  <si>
    <t>2.3.4502.1000.2021130010145</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</si>
  <si>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</si>
  <si>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 xml:space="preserve"> Se adjunta excel con el   link   secop de las 3 OPS suscritas en el periodo,   donde se puede evidenciar la ejecución contractual</t>
  </si>
  <si>
    <t>Encuentros  de autoridades tradicionales indígenas de la región Caribe realizados en  el Distrito de Cartagena</t>
  </si>
  <si>
    <t>Realizar Encuentros  de autoridades tradicionales indígenas de la región Caribe realizados en el Distrito de Cartagena</t>
  </si>
  <si>
    <t>Servicio de promoción de la garantía de derechos (4502038)</t>
  </si>
  <si>
    <t>Promover la creación del Centro de Estudio de Pensamiento Mayor Indígena Intercultural-CEMI y el intercambio ancestral de conocimientos como forma de reafirmar identidades y prácticas propias de los pueblos indígenas en el Distrito.</t>
  </si>
  <si>
    <t>Encuentros de autoridades tradicionales indígenas de la región Caribe en el Distrito de Cartagena</t>
  </si>
  <si>
    <t>Contratar Servicios logístico para  Encuentros de autoridades tradicionales indígenas de la región Caribe en el Distrito de Cartagena</t>
  </si>
  <si>
    <t>Se adjunta link de la logistica contratada para evento:
https://community.secop.gov.co/Public/Tendering/OpportunityDetail/Index?noticeUID=CO1.NTC.4722896&amp;isFromPublicArea=True&amp;isModal=False</t>
  </si>
  <si>
    <t xml:space="preserve">Contratar la elaboración del avalúo comercial del bien identificado con referencia catastral N° 01-40-0001-0900-000 y matricula inmobiliaria No 060-84475 ubicado en el corregimiento de Bayunca de Cartagena – Bolívar </t>
  </si>
  <si>
    <t>Link expediente contractual.</t>
  </si>
  <si>
    <t>31 de enero de 2023</t>
  </si>
  <si>
    <t>30 de junio de 2023</t>
  </si>
  <si>
    <t>150 días</t>
  </si>
  <si>
    <t>Cabildo Indigena Zenu</t>
  </si>
  <si>
    <t>IGAC quien  realiza avaluo sobre potencial predio para trasladar el Cabildo Indigena Zenu</t>
  </si>
  <si>
    <t>contrato interadministrativo de prestación de servicios</t>
  </si>
  <si>
    <t xml:space="preserve">LINK  CONTRATO INTERADMINISTRATIVO No. 01 DE 2023
https://community.secop.gov.co/Public/Tendering/OpportunityDetail/Index?noticeUID=CO1.NTC.3926456&amp;isFromPublicArea=True&amp;isModal=False
</t>
  </si>
  <si>
    <t>Centro de Estudio de Pensamiento Mayor Indígenas Intercultural.</t>
  </si>
  <si>
    <t xml:space="preserve">Diseñar el Centro de Estudio de Pensamiento 
 Mayor Indígenas Intercultural.
</t>
  </si>
  <si>
    <t>Implementación del Centro de Estudio de Pensamiento Mayor Indígena Intercultural-CEMI</t>
  </si>
  <si>
    <t>1 
CENTRO DE ESTUDIOS DISEÑADO 
FALTA IMPLEMENTACIÓN</t>
  </si>
  <si>
    <t>Apoyar la consolidación del plan de vida indígena del Cabildo Zenú de Membrillal CAIZEM mediante
la reubicación de las familias que lo integran.</t>
  </si>
  <si>
    <t>25  de mayo  de 2023</t>
  </si>
  <si>
    <t>214 dias</t>
  </si>
  <si>
    <t>Cabildo Zenú de Membrillal CAIZEM</t>
  </si>
  <si>
    <t>1.2.1.0.00-001 - ICLD
1.3.3.11.03-95-138 RB DIVIDENDOS SOCIEDAD PORTUARIA</t>
  </si>
  <si>
    <t>AUNAR ESFUERZOS TÉCNICOS, ADMINISTRATIVOS, FINANCIEROS Y LOGÍSTICOS ENTRE EL DEPARTAMENTO DE BOLÍVAR Y EL DISTRITO DE CARTAGENA DE INDIAS, PARA LLEVAR A CABO LAS ACCIONES NECESARIAS PARA LOGRAR LA REUBICACIÓN DE LAS FAMILIAS QUE HACEN PARTE DE LA COMUNIDAD CABILDO INDÍGENA ZENÚ DE MEMBRILLAL – CAIZEM, JURISDICCIÓN DEL CORREGIMIENTO DE PASACABALLOS DEL DISTRITO DE CARTAGENA DE INDIAS.</t>
  </si>
  <si>
    <t>contratacion directa</t>
  </si>
  <si>
    <t>junio/01/2023</t>
  </si>
  <si>
    <t>Se adjuntan CDP N° 65 y 69 que soportan el proceso.</t>
  </si>
  <si>
    <t>Suscrito convenio interadministrativo N° 053 con la gobernaciónde bolivar para compra del predio 
https://community.secop.gov.co/Public/Tendering/OpportunityDetail/Index?noticeUID=CO1.NTC.4663087&amp;isFromPublicArea=True&amp;isModal=False</t>
  </si>
  <si>
    <t>AVANCE PROGRAMA FORTALECIMIENTO DE LA POBLACIÓN INDÍGENA EN EL DISTRITO DE CARTAGENA</t>
  </si>
  <si>
    <t>AVANCE PROYECTO FORTALECIMIENTO DE LA GOBERNANZA Y LA AUTODETERMINACIÓN DE LA CULTURA E INSTITUCIONES PROPIAS DE LA POBLACIÓN INDIGENA EN EL DISTRITO DE CARTAGENA DE INDIAS</t>
  </si>
  <si>
    <t>INTEGRIDAD CULTURAL, GOBIERNO PROPIO, VIVIENDA Y HABITAT PARA LAS COMUNIDADES INDIGENAS EN EL DISTRITO CARTAGENA</t>
  </si>
  <si>
    <t>Jurisdicción especial Indígena JEI aplicada</t>
  </si>
  <si>
    <t xml:space="preserve">NO SE PROGRAMA PORQUE NO SE LE ASIGNÓ PRESUPUESTO PARA 2023 SEGÚN  Acuerdo 106 de 14 de diciembre de 2022  y Decreto de liquidación N°1782 de 28 de diciembre de 2022 </t>
  </si>
  <si>
    <t>IMPLEMENTACIÓN DE LA JURISDICCIÓN ESPECIAL INDÍGENA- JEI EN EL DISTRITO DE         CARTAGENA DE INDIAS</t>
  </si>
  <si>
    <t xml:space="preserve">2021-13001-0276 </t>
  </si>
  <si>
    <t>AVANCE PROGRAMA INTEGRIDAD CULTURAL, GOBIERNO PROPIO, VIVIENDA Y HABITAT PARA LAS COMUNIDADES INDIGENAS EN EL DISTRITO CARTAGENA</t>
  </si>
  <si>
    <t>AVANCE PROYECTO IMPLEMENTACIÓN DE LA JURISDICCIÓN ESPECIAL INDÍGENA- JEI EN EL DISTRITO DE CARTAGENA DE INDIAS</t>
  </si>
  <si>
    <t>DENOMINACION DEL PRODUCTO</t>
  </si>
  <si>
    <t>REPORTE META PRODUCTO JUNIO 3O DE 2023</t>
  </si>
  <si>
    <t>REPORTE META PRODUCTO SEPTIEMBRE 3O DE 2023</t>
  </si>
  <si>
    <t>AVANCE META PRODUCTO AL CUATRIENIO</t>
  </si>
  <si>
    <t>OBSERVACIÓN O RELACIÓN DE EVIDENCIA A 30 DE JUNIO</t>
  </si>
  <si>
    <t>OBSERVACIÓN O RELACIÓN DE EVIDENCIA A 30 DE SEPTIEMBRE</t>
  </si>
  <si>
    <t>Tasa de homicidio por cien mil habitantes (por curso de vida)</t>
  </si>
  <si>
    <t>19,02
Fuente Policía Metropolitana</t>
  </si>
  <si>
    <t>Reducir a  17,02  la Tasa de Homicidios en el Distrito de Cartagena (por curso de vida)</t>
  </si>
  <si>
    <t xml:space="preserve">PLAN INTEGRAL DE SEGURIDAD Y CONVIVENCIA CIUDADANA
</t>
  </si>
  <si>
    <t>Plan Integral de  Seguridad y Convivencia Ciudadana-PISCC 2020-2023 formulado y ejecutado</t>
  </si>
  <si>
    <t>numero</t>
  </si>
  <si>
    <t>PISCC 2016-2019 ejecutado</t>
  </si>
  <si>
    <t>Formular y ejecutar un Plan integral de Seguridad y Convivencia Ciudadana-PISCC para el período 2020-2023</t>
  </si>
  <si>
    <t>Documentos de planeación con seguimiento realizados (450102601)</t>
  </si>
  <si>
    <t xml:space="preserve">Ejecución PISCC 2020-2023 </t>
  </si>
  <si>
    <t>PISCC 2020-2023 formulado, aprobado el 30 de junio de 2020 y en ejecución</t>
  </si>
  <si>
    <t>PISCC 2020-2023 en ejecución</t>
  </si>
  <si>
    <t xml:space="preserve">FORTALECIMIENTO EN PARQUE AUTOMOTOR Y TECNOLOGÍA PARA LA POLICÍA METROPOLITANA DE CARTAGENA DE INDIAS </t>
  </si>
  <si>
    <t>2020-13001-0254</t>
  </si>
  <si>
    <t>Dotar a la Policía metropolitana de Cartagena con los elementos tecnológicos, logísticos, infraestructurales y de movilidad necesarios para aumentar su capacidad de operación.</t>
  </si>
  <si>
    <t>Dotación de vehículos (uniformado o no uniformado) para la Policía Metropolitana</t>
  </si>
  <si>
    <t>Policía Metropolitana de Cartagena</t>
  </si>
  <si>
    <t>1.2.3.2.01-040 - CONTRIBUCION SOBRE CONTRATOS DE OBRA PUBLICA</t>
  </si>
  <si>
    <t>FORTALECIMIENTO EN PARQUE AUTOMOTOR Y TECNOLOGÍA PARA LA POLICÍA METROPOLITANA DE   CARTAGENA DE INDIAS</t>
  </si>
  <si>
    <t>2.3.4501.1000.2020130010254</t>
  </si>
  <si>
    <t>CONTRATAR LA ADQUISICION DE Vehiculos Paneles para transporte de personas privadas de su libertad PARA LA POLICIA METROPOLITANA DE CARTAGENA DE INDIAS CON CARGO A LOS RECURSOS DEL MARCO INTEGRAL DE SEGURIDAD CIUDADANA - FONSET</t>
  </si>
  <si>
    <t>Licitación pública</t>
  </si>
  <si>
    <t>Se adjuntan  las SDP AMC-SDP-02296-2023 Y AMC-SDP-02297-2023 actualmente en curso ante hacienda Distrital</t>
  </si>
  <si>
    <t xml:space="preserve">En contsrucción </t>
  </si>
  <si>
    <t>Dotación de motocicletas y bicicletas para la Policía Metropolitana</t>
  </si>
  <si>
    <t>9 de junio de 2023</t>
  </si>
  <si>
    <t>195 dias</t>
  </si>
  <si>
    <t>1.2.3.2.01-040 - CONTRIBUCION SOBRE CONTRATOS DE OBRA PUBLICA
1.3.3.4.01-95-040 RB CONTRIBUCION DE OBRAS PUBLICAS</t>
  </si>
  <si>
    <t>CONTRATAR LA ADQUISICION DE motocicletas PARA LA POLICIA METROPOLITANA DE CARTAGENA DE INDIAS CON CARGO A LOS RECURSOS DEL MARCO INTEGRAL DE SEGURIDAD CIUDADANA - FONSET</t>
  </si>
  <si>
    <t>Seléccion abreviada - acuerdo marco</t>
  </si>
  <si>
    <t>junio de 2023</t>
  </si>
  <si>
    <t>Se adjunta orden de compra No. 111931 y rp 354 EL 28 DE JUNIO DE 2023</t>
  </si>
  <si>
    <t xml:space="preserve">AVANCE PROYECTO FORTALECIMIENTO EN PARQUE AUTOMOTOR Y TECNOLOGÍA PARA LA POLICÍA METROPOLITANA DE CARTAGENA DE INDIAS </t>
  </si>
  <si>
    <t xml:space="preserve">FORTALECIMIENTO INTEGRAL DE LAS CAPACIDADES INSTITUCIONALES DE LA POLICIA METROPOLITANA DE CARTAGENA INDIAS </t>
  </si>
  <si>
    <t>2022-13001-0013</t>
  </si>
  <si>
    <t>Dotar a la Policía metropolitana de Cartagena con los elementos logísticos necesarios para el desarrollo de las actividades de educación y prevención integral</t>
  </si>
  <si>
    <t>Contratar material impreso para el desarrollo de las actividades de educación y prevención integral.</t>
  </si>
  <si>
    <t>2.3.4501.1000.2022130010013</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</si>
  <si>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</si>
  <si>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en etapa pre contractual</t>
  </si>
  <si>
    <t>Contratar insumos logísticos necesarios para el desarrollo de las actividades de educación y prevención integral.</t>
  </si>
  <si>
    <t>Contratar suministro de refrigerios para el desarrollo de actividades de prevención y demás eventos que requieran especial atención policial en el distrito de Cartagena.</t>
  </si>
  <si>
    <t>CONTRATAR EL SUMINISTRO DE REFRIGERIOS  PARA LA POLICIA METROPOLITANA DE CARTAGENA DE INDIAS CON CARGO A LOS RECURSOS DEL - FONSET</t>
  </si>
  <si>
    <t>Se adjunta CDP No. 116 de 2023 que respala proceso contractual Selección Abreviada de Menor Cuantía para el  Suministro de alimentos a la policía por valor $ 400.000.000</t>
  </si>
  <si>
    <t xml:space="preserve">Dotar a la Policía metropolitana de Cartagena con los elementos logísticos y técnicos para aumentar su capacidad de investigación e inteligencia. </t>
  </si>
  <si>
    <t xml:space="preserve">Pago de recompensas.
	</t>
  </si>
  <si>
    <t>Informantes de la Policía Metropolitana de Cartagena</t>
  </si>
  <si>
    <t>N/A PAGO POR RESOLUCION</t>
  </si>
  <si>
    <t>Se adjunta Resolución que  ordena pago No. 6663 del 2023 y  CDP 108 por valor de  $ 10.000.000,00</t>
  </si>
  <si>
    <t>Compra de los equipos necesarios para implementar la sala estratégica policial de análisis criminal integral.</t>
  </si>
  <si>
    <t xml:space="preserve">1.2.3.2.01-040 - CONTRIBUCION SOBRE CONTRATOS DE OBRA PUBLICA
1.3.3.4.01-95-040 RB CONTRIBUCION DE OBRAS PUBLICAS
</t>
  </si>
  <si>
    <t>CONTRATAR LA ADQUISICION DE EQUIPOS DE COMPUTO   PARA LA POLICIA METROPOLITANA DE CARTAGENA DE INDIAS CON CARGO A LOS RECURSOS DEL - FONSET</t>
  </si>
  <si>
    <t>AVANCE PROYECTO FORTALECIMIENTO INTEGRAL DE LAS CAPACIDADES INSTITUCIONALES DE LA POLICIA METROPOLITANA DE CARTAGENA INDIAS</t>
  </si>
  <si>
    <t>FORTALECIMIENTO DE LAS CAPACIDADES OPERATIVAS DE LA ARMADA NACIONAL PARA LA OPORTUNA ASISTENCIA MILITAR E INCREMENTO DE LA PROTECCIÓN Y SEGURIDAD CIUDADANA EN EL DISTRITO DE CARTAGENA DE INDIAS</t>
  </si>
  <si>
    <t>2020-13001-0272</t>
  </si>
  <si>
    <t>Dotar con elementos logísticos y tecnológicos a la Fuerza Naval del Caribe – Armada Nacional para la realización de operativos y actividades de acción integral con las comunidades.</t>
  </si>
  <si>
    <t>Adquisición e instalación de un sistema de vigilancia y monitoreo para la bahía interna de Cartagena</t>
  </si>
  <si>
    <t>Fuerza Naval del Caribe – Armada Nacional</t>
  </si>
  <si>
    <t>1.2.3.2.01-040 - CONTRIBUCION SOBRE CONTRATOS DE OBRA PUBLICA
1.3.2.1.02-174 - RF CONTRIBUCION DE OBRAS PUBLICAS
1.3.3.4.01-95-040 RB CONTRIBUCION DE OBRAS PUBLICAS</t>
  </si>
  <si>
    <t>FORTALECIMIENTO DE LAS CAPACIDADES OPERATIVAS DE LA ARMADA NACIONAL PARA LA OPORTUNA ASISTENCIA MILITAR E INCREMENTO DE LA PROTECCIÓN Y SEGURIDAD CIUDADANA EN EL DISTRITO DE   CARTAGENA DE INDIAS</t>
  </si>
  <si>
    <t>2.3.4501.1000.2020130010272</t>
  </si>
  <si>
    <t xml:space="preserve">CONTRATAR LA ADQUISICIÓN DE BUSETA CON DESTINO A LA ARMADA NACIONAL, CON CARGO A LOS RECURSOS DEL FONDO DE SEGURIDAD Y CONVIVENCIA CIUDADANA - FONSET </t>
  </si>
  <si>
    <t>Se adjunta CDP 71 de fecha 21 de junio de 2023 que respalda el proceso contractual</t>
  </si>
  <si>
    <t>Link Proceso: SAMC-SICC-004-2023    valor $ 1.139.306.000,00
https://community.secop.gov.co/Public/Tendering/OpportunityDetail/Index?noticeUID=CO1.NTC.4770195&amp;isFromPublicArea=True&amp;isModal=False</t>
  </si>
  <si>
    <t>Implementar estrategias de prevención del enrolamiento de niños, niñas y adolescentes en actividades delictivas en el Distrito.</t>
  </si>
  <si>
    <t>1.2.3.2.01-040 - CONTRIBUCION SOBRE CONTRATOS DE OBRA PUBLICA
1.3.2.1.02-174 - RF CONTRIBUCION DE OBRAS PUBLICAS</t>
  </si>
  <si>
    <t>Se adjunta reporte de la Armada sobre las estrategias de prevencion implementadas</t>
  </si>
  <si>
    <t>Se adjunta reporte de la Armada sobre las estrategias de nprevencion implementadas en el periodo</t>
  </si>
  <si>
    <t>Compra de equipos para la modernización del centro de operaciones y control marítimo a la Fuerza Naval del Caribe – Armada Nacional</t>
  </si>
  <si>
    <t>Contratar la adquisicion e instalacion de un Sistema de vigilancia y monitoreo para bahía interna de Cartagena.
 CONTRATAR Computadores portátiles, impresoras, video Bean, Televisores de 50” , Planta de generación eléctrica portátil CON DESTINO A LA ARMADA NACIONAL,</t>
  </si>
  <si>
    <t>Licitación pública
Minima Cuantia</t>
  </si>
  <si>
    <t>Se adjunta orden de compra No. 116606-2023 Y RP. 483 del 29 de septiembre de 2023. Valor: $ 76.620.000	POR MEDIO DEL CUAL SE CONTRATA LA ADQUISICIÓN DE SEIS (6) COMPUTADORES DE ESCRITORIO Y OCHO (8) PORTATILES CON LICENCIAS DE ACUERDO A LAS ESPECIFICACIONES TECNICAS REQUERIDAS PARA LA ARMADA NACIONA</t>
  </si>
  <si>
    <t>Dotar con material de intendencia a los miembros de la armada nacional</t>
  </si>
  <si>
    <t>Link expediente contractual
soportes de ingreso de los bienes adquiridos al almacén de la Alcaldía
Distrital</t>
  </si>
  <si>
    <t>CONTRATAR LA ADQUISICIÓN DE MATERIAL DE ASALTO AEREO Y DE INTENDENCIA  CON DESTINO A LA ARMADA NACIONAL, CON CARGO A LOS RECURSOS DEL FONDO DE SEGURIDAD Y CONVIVENCIA CIUDADANA - FONSET .</t>
  </si>
  <si>
    <t>AVANCE PROYECTO FORTALECIMIENTO DE LAS CAPACIDADES OPERATIVAS DE LA ARMADA NACIONAL PARA LA OPORTUNA ASISTENCIA MILITAR E INCREMENTO DE LA PROTECCIÓN Y SEGURIDAD CIUDADANA EN EL DISTRITO DE CARTAGENA DE INDIAS</t>
  </si>
  <si>
    <t>MEJORAMIENTO DE LA SEDE DE LA FISCALIA GENERAL DE LA NACION UBICADA EN EL BARRIO CRESPO CALLE 66 4 -86 EDIFICIO HOCOL PISOS 1 y 2 DEL DISTRITO DE CARTAGENA DE INDIAS.</t>
  </si>
  <si>
    <t xml:space="preserve"> 2020-13001-0304</t>
  </si>
  <si>
    <t>Intervenir las instalaciones de áreas técnicas, baños, seguridad, auditorio, acceso, ventanilla única, Cacym, armarillo, entrevistas, GORA, DEF, DECN, entre otras de la sede de la Fiscalía General de la Nación ubicada en el Barrio Crespo calle 66 4 -86 Edificio Hocol pisos 1 y 2</t>
  </si>
  <si>
    <t>Intervención y ejecución obras en los pisos 1 y 2 del edificio Hocol</t>
  </si>
  <si>
    <t>Link expediente contractual
Actas,
Informes parciales y final del contratista</t>
  </si>
  <si>
    <t>Fiscalía General de la Nación ubicada en el Barrio Crespo calle 66 4 -86 Edificio Hocol pisos 1 y 2</t>
  </si>
  <si>
    <t>MEJORAMIENTO DE LA SEDE DE LA FISCALÍA GENERAL DE LA NACIÓN UBICADA EN EL BARRIO CRESPO CALLE 66 4 -86 EDIFICIO HOCOL PISOS 1 Y 2 DEL DISTRITO DE CARTAGENA DE INDIAS</t>
  </si>
  <si>
    <t>2.3.4501.1000.2020130010304</t>
  </si>
  <si>
    <t>Contratar las obras de adecuacion y remodelacion de dependencias de la Fiscalia General de la Nacion Seccional -Bolivar- Sede Fiscalia de Cartagena de Indias</t>
  </si>
  <si>
    <t>Selección abreviada subasta inversa</t>
  </si>
  <si>
    <t>https://community.secop.gov.co/Public/Tendering/OpportunityDetail/Index?noticeUID=CO1.NTC.3692571&amp;isFromPublicArea=True&amp;isModal=true&amp;asPopupView=true</t>
  </si>
  <si>
    <t>obra en ejecución</t>
  </si>
  <si>
    <t>Adición al contrato en la suma de $862.478.911 Rp No. 381
https://community.secop.gov.co/Public/Tendering/OpportunityDetail/Index?noticeUID=CO1.NTC.4712025&amp;isFromPublicArea=True&amp;isModal=False</t>
  </si>
  <si>
    <t>Mejorar la prestación del servicio en la sede de la Fiscalía General de la Nación ubicada en el Barrio Crespo calle 66 4 -86 Edificio Hocol</t>
  </si>
  <si>
    <t>Contratar interventoría técnica</t>
  </si>
  <si>
    <t>Link expediente contractual
Actas,
Informes parciales y final de la interventoría.</t>
  </si>
  <si>
    <t>Contratar la   interventoría técnica para  ejecución de  las obras de adecuacion y remodelacion de dependencias de la Fiscalia General de la Nacion Seccional -Bolivar- Sede Fiscalia de Cartagena de Indias</t>
  </si>
  <si>
    <t>Concurso de méritos abierto</t>
  </si>
  <si>
    <t>https://community.secop.gov.co/Public/Tendering/OpportunityDetail/Index?noticeUID=CO1.NTC.4166480&amp;isFromPublicArea=True&amp;isModal=true&amp;asPopupView=true</t>
  </si>
  <si>
    <t>Adición al contrato en la suma de $ 131.840.100, Rp No. 383
https://community.secop.gov.co/Public/Tendering/ContractNoticePhases/View?PPI=CO1.PPI.23619737&amp;isFromPublicArea=True&amp;isModal=False</t>
  </si>
  <si>
    <t>AVANCE PROYECTO MEJORAMIENTO DE LA SEDE DE LA FISCALIA GENERAL DE LA NACION UBICADA EN EL BARRIO CRESPO CALLE 66 4 -86 EDIFICIO HOCOL PISOS 1 y 2 DEL DISTRITO DE CARTAGENA DE INDIAS.</t>
  </si>
  <si>
    <t xml:space="preserve">FORTALECIMIENTO DE LAS CAPACIDADES TÉCNOLÓGICAS Y OPERATIVAS DE LA UNIDAD ADMINISTRATIVA ESPECIAL MIGRACIÓN COLOMBIA EN EL DISTRITO DE CARTAGENA DE INDIAS </t>
  </si>
  <si>
    <t xml:space="preserve">2021-13001-0283  </t>
  </si>
  <si>
    <t>Dotar a la Unidad Administrativa Especial Migración Colombia, Regional Caribe de los recursos tecnológicos y de movilidad necesarios para mejorar su capacidad técnica y operativa durante la prestación de los servicios migratorios y la ejecución de las medidas administrativas.</t>
  </si>
  <si>
    <t>Dotación e instalación de la sala estratégica de la Unidad Administrativa Migración Colombia.</t>
  </si>
  <si>
    <t>Unidad Administrativa Migración Colombia.</t>
  </si>
  <si>
    <t>2.3.4501.1000.2021130010283</t>
  </si>
  <si>
    <t xml:space="preserve">CONTRATAR ADQUISICIÓN E INSTALACIÓN DE MOBILIARIOS, EQUIPOS TECNOLÓGICOS Y MATERIALES NECESARIOS PARA LA SALA  ESTRATEGICA  PARA LA UNIDAD ADMINISTRATIVA ESPECIAL MIGRACION COLOMBIA </t>
  </si>
  <si>
    <t>Adquisición de Pasillos BIOMIG para la Unidad Administrativa Migración Colombia.</t>
  </si>
  <si>
    <t xml:space="preserve">CONTRATAR LA ADQUISICIÓN  E INSTALACION DE PASILLOS BIOMIG   PARA LA UNIDAD ADMINISTRATIVA ESPECIAL MIGRACION COLOMBIA </t>
  </si>
  <si>
    <t>Se adjunta CDP  86 del 13 de Julio de 2023, por valor de 549.049.970, que respalda el proceso contractual de selección abreviada de menor cuantía en curso</t>
  </si>
  <si>
    <t>Adquisición  de equipos  tecnológicos para la Unidad Administrativa Migración Colombia.</t>
  </si>
  <si>
    <t>Contratar la Adquisición  de equipos  tecnológicos para la Unidad Administrativa Migración Colombia.</t>
  </si>
  <si>
    <t>Adecuación del Centro Facilitador de Servicios Migratorios de la UAEMC en el Distrito de Cartagena</t>
  </si>
  <si>
    <t>Contratar la Adecuación del Centro Facilitador de Servicios Migratorios de la UAEMC en el Distrito de Cartagena</t>
  </si>
  <si>
    <t>Se adjuntan las ordenes de compra :
N' 116552 - No. 115930.y N° 114358 y los RP 481 del 28 de septiembre de 2023. Valor: $103.292.000, RP 440 DEL 18 de septiembre de 2023 valor: $ 79.665.714,00 y  Rp. 388 del 15 de agosto de 2023. Valor: 48.900.000.00.</t>
  </si>
  <si>
    <t xml:space="preserve">AVANCE PROYECTO FORTALECIMIENTO DE LAS CAPACIDADES TÉCNOLÓGICAS Y OPERATIVAS DE LA UNIDAD ADMINISTRATIVA ESPECIAL MIGRACIÓN COLOMBIA EN EL DISTRITO DE CARTAGENA DE INDIAS </t>
  </si>
  <si>
    <t>FORTALECIMIENTO DEL PARQUE AUTOMOTOR Y MEDIOS TECNOLÓGICOS PARA LA UNIDAD NACIONAL DE PROTECCIÓN EN EL DISTRITO DE CARTAGENA DE INDIAS</t>
  </si>
  <si>
    <t xml:space="preserve">2022-13001-0026 </t>
  </si>
  <si>
    <t>Dotar a la Unidad Nacional de Protección -Cartagena de los equipos tecnológicos necesarios que permitan mejorar su operatividad en la realización de actividades de documentación y seguimiento de la información suministrada por las personas protegidas.</t>
  </si>
  <si>
    <t>Adquisición de equipos tecnológicos para la Unidad Nacional de Protección -Cartagena</t>
  </si>
  <si>
    <t>Unidad Nacional de Protección -Cartagena</t>
  </si>
  <si>
    <t>FORTALECIMIENTO DEL PARQUE AUTOMOTOR Y MEDIOS TECNOLÓGICOS PARA LA UNIDAD NACIONAL DE PROTECCION EN EL DISTRITO DE CARTAGENA DE INDIAS</t>
  </si>
  <si>
    <t>2.3.4501.1000.2022130010026</t>
  </si>
  <si>
    <t>Adquisición de equipos tecnológicos (Computadores) para la Unidad Nacional de Protección -Cartagena CON CARGO A LOS RECURSOS DEL MARCO INTEGRAL DE SEGURIDAD CIUDADANA - FONSET</t>
  </si>
  <si>
    <t>Dotar a la Unidad Nacional de Protección -Cartagena con activos móviles (vehículos y motocicletas) necesarios para aumentar su capacidad de operación en el área metropolitana de Cartagena.</t>
  </si>
  <si>
    <t>Adquisición de activos móviles (vehículos y motocicletas) para la Unidad Nacional de Protección -Cartagena</t>
  </si>
  <si>
    <t>Adquisición de camionetas y morocicletas para la Unidad Nacional de Protección -Cartagena CON CARGO A LOS RECURSOS DEL MARCO INTEGRAL DE SEGURIDAD CIUDADANA - FONSET</t>
  </si>
  <si>
    <t>Se anexa  orden de compra 105929 y RP 223 de 13 de marzo  mediante el cual se adquiere vehículo 4x4 con destino a la Unidad Nacional de Protección con cargo a los recursos del Fonset.</t>
  </si>
  <si>
    <t>Se anexa orden de compra No. 109353 y  RP  301 DEL 15 DE MAYO DE 2023  mediante el cual se adquieren 2 camioetas 4x2</t>
  </si>
  <si>
    <t>AVANCE PROYECTO FORTALECIMIENTO DEL PARQUE AUTOMOTOR Y MEDIOS TECNOLÓGICOS PARA LA UNIDAD NACIONAL DE PROTECCIÓN EN EL DISTRITO DE CARTAGENA DE INDIAS</t>
  </si>
  <si>
    <t>ADMINISTRACION DEL FONDO DE SEGURIDAD TERRITORIAL DEL DISTRITO DE CARTAGENA DE INDIAS</t>
  </si>
  <si>
    <t xml:space="preserve">2022-13001-0028 </t>
  </si>
  <si>
    <t>Contratar los equipos humanos, administrativos y operativos, destinados a ejecutar, evaluar, y hacer seguimiento al Plan integral de seguridad y convivencia ciudadana</t>
  </si>
  <si>
    <t>Contratar el equipo humano (administrativo y operativo) para ejecutar, evaluar, y hacer seguimiento al Plan integral de seguridad y convivencia ciudadana.</t>
  </si>
  <si>
    <t>Link expediente contractual
Informes de actividades</t>
  </si>
  <si>
    <t>ADMINISTRACIÓN DEL FONDO DE SEGURIDAD TERRITORIAL DEL DISTRITO DE CARTAGENA DE INDIAS</t>
  </si>
  <si>
    <t>2.3.4501.1000.2022130010028</t>
  </si>
  <si>
    <t>Contratar prestación de servicios profesionales para la ejecución del PISCC en el marco del proyecto denominado ADMINISTRACION DEL FONDO DE SEGURIDAD TERRITORIAL DEL DISTRITO DE CARTAGENA DE INDIAS</t>
  </si>
  <si>
    <t xml:space="preserve">https://community.secop.gov.co/Public/Tendering/OpportunityDetail/Index?noticeUID=CO1.NTC.3834188&amp;isFromPublicArea=True&amp;isModal=true&amp;asPopupView=true
https://community.secop.gov.co/Public/Tendering/OpportunityDetail/Index?noticeUID=CO1.NTC.3835304&amp;isFromPublicArea=True&amp;isModal=true&amp;asPopupView=true
https://community.secop.gov.co/Public/Tendering/OpportunityDetail/Index?noticeUID=CO1.NTC.3877449&amp;isFromPublicArea=True&amp;isModal=true&amp;asPopupView=true
</t>
  </si>
  <si>
    <t>AVANCE PROYECTO ADMINISTRACION DEL FONDO DE SEGURIDAD TERRITORIAL DEL DISTRITO DE CARTAGENA DE INDIAS</t>
  </si>
  <si>
    <t>AVANCE PROGRAMA PLAN INTEGRAL DE SEGURIDAD Y CONVIVENCIA CIUDADANA A SEPTIEMBRE 30 DE 2023</t>
  </si>
  <si>
    <t>INSTRUCTIVO PARA EL DILIGENCIAMIENTO DEL PLAN DE ACCION VIGENCIA 2023</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</si>
  <si>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</si>
  <si>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</si>
  <si>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</si>
  <si>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</si>
  <si>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</si>
  <si>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</si>
  <si>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</si>
  <si>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</si>
  <si>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</si>
  <si>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</si>
  <si>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</si>
  <si>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</si>
  <si>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</si>
  <si>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</si>
  <si>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</si>
  <si>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</si>
  <si>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</si>
  <si>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</si>
  <si>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</si>
  <si>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</si>
  <si>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</si>
  <si>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</si>
  <si>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</si>
  <si>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</si>
  <si>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</si>
  <si>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</si>
  <si>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 aquí el objetivo colocado  en el proceso con el que te articulas. En la gestion por proceso</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</si>
  <si>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</si>
  <si>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</si>
  <si>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</si>
  <si>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</si>
  <si>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</si>
  <si>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</si>
  <si>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</si>
  <si>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</si>
  <si>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</si>
  <si>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</si>
  <si>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</si>
  <si>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</si>
  <si>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</si>
  <si>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</si>
  <si>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</si>
  <si>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</si>
  <si>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 xml:space="preserve">Nombre de la fuente origen de los recursos
1. Recursos Propios - ICLD
2. SGP
3. Donaciones
</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</si>
  <si>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</si>
  <si>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</si>
  <si>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</si>
  <si>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</si>
  <si>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</si>
  <si>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</si>
  <si>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</si>
  <si>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</si>
  <si>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</si>
  <si>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</si>
  <si>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Colocar en esta casilla cada uno de los riesgos identificados en el proceso definido, COLOCADO EN LA  COLUMNA W y desarrollado en la caracterizacion de la gestion por proceso.  asociado a las actividades del proyecto. </t>
  </si>
  <si>
    <t>Colocar en esta casilla cada uno de los controles formulados para cada riesgo identificado en el proceso definido asociado a las actividades del proyecto.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</si>
  <si>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</si>
  <si>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</si>
  <si>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</si>
  <si>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</si>
  <si>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</si>
  <si>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</si>
  <si>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</si>
  <si>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</si>
  <si>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</si>
  <si>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</si>
  <si>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</si>
  <si>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</si>
  <si>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</si>
  <si>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</si>
  <si>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</si>
  <si>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</si>
  <si>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</si>
  <si>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meta producto</t>
  </si>
  <si>
    <t>actividades</t>
  </si>
  <si>
    <t>%</t>
  </si>
  <si>
    <t>consultoria</t>
  </si>
  <si>
    <t>construccion</t>
  </si>
  <si>
    <t>dotacion</t>
  </si>
  <si>
    <t>PROGRAMACION CALCULO DE AVANCES METAS SECRETARIA DEL INTERIOR</t>
  </si>
  <si>
    <t>META PRODUCTO</t>
  </si>
  <si>
    <t>AÑO</t>
  </si>
  <si>
    <t xml:space="preserve">FORMULAR </t>
  </si>
  <si>
    <t>IMPLEMENTAR</t>
  </si>
  <si>
    <t>TRIMESTRE</t>
  </si>
  <si>
    <t>INFRAESTRUCTURA</t>
  </si>
  <si>
    <t>OPERATIVA</t>
  </si>
  <si>
    <t>DOTACION</t>
  </si>
  <si>
    <t>FUNCIONAMIENTO</t>
  </si>
  <si>
    <t>DISEÑO</t>
  </si>
  <si>
    <t>IMPLEMENTACION</t>
  </si>
  <si>
    <t xml:space="preserve">AVANCE EJECUCION PRESUPUESTAL PROYECTO FORTALECIMIENTO EN PARQUE AUTOMOTOR Y TECNOLOGÍA PARA LA POLICÍA METROPOLITANA DE CARTAGENA DE INDIAS </t>
  </si>
  <si>
    <t>AVANCE  EJECUCION PRESUPUESTAL PROYECTO FORTALECIMIENTO INTEGRAL DE LAS CAPACIDADES INSTITUCIONALES DE LA POLICIA METROPOLITANA DE CARTAGENA INDIAS</t>
  </si>
  <si>
    <t>AVANCE EJECUCION PRESUPUESTAL PROYECTO FORTALECIMIENTO DE LAS CAPACIDADES OPERATIVAS DE LA ARMADA NACIONAL PARA LA OPORTUNA ASISTENCIA MILITAR E INCREMENTO DE LA PROTECCIÓN Y SEGURIDAD CIUDADANA EN EL DISTRITO DE CARTAGENA DE INDIAS</t>
  </si>
  <si>
    <t>AVANCE EJECUCION PRESUPUESTAL PROYECTO MEJORAMIENTO DE LA SEDE DE LA FISCALIA GENERAL DE LA NACION UBICADA EN EL BARRIO CRESPO CALLE 66 4 -86 EDIFICIO HOCOL PISOS 1 y 2 DEL DISTRITO DE CARTAGENA DE INDIAS.</t>
  </si>
  <si>
    <t xml:space="preserve">AVANCE EJECUCION PRESUPUESTAL PROYECTO FORTALECIMIENTO DE LAS CAPACIDADES TÉCNOLÓGICAS Y OPERATIVAS DE LA UNIDAD ADMINISTRATIVA ESPECIAL MIGRACIÓN COLOMBIA EN EL DISTRITO DE CARTAGENA DE INDIAS </t>
  </si>
  <si>
    <t>AVANCE EJECUCION PRESUPUESTAL PROYECTO FORTALECIMIENTO DEL PARQUE AUTOMOTOR Y MEDIOS TECNOLÓGICOS PARA LA UNIDAD NACIONAL DE PROTECCIÓN EN EL DISTRITO DE CARTAGENA DE INDIAS</t>
  </si>
  <si>
    <t>AVANCE EJECUCION PRESUPUESTAL PROYECTO ADMINISTRACION DEL FONDO DE SEGURIDAD TERRITORIAL DEL DISTRITO DE CARTAGENA DE INDIAS</t>
  </si>
  <si>
    <t>AVANCE EJECUCION PRESUPUESTAL PROGRAMA FORTALECIMIENTO DE LA CONVIVENCIA Y LA SEGURIDAD CIUDADANA</t>
  </si>
  <si>
    <t>AVANCE EJECUCION PRESUPUESTAL PROGRAMA FORTALECIMIENTO CUERPO DE BOMBEROS</t>
  </si>
  <si>
    <t>AVANCE EJECUCION PRESUPUESTAL PROGRAMA MEJORAR LA CONVIVENCIA CIUDADANA CON LA IMPLEMENTACIÓN DEL CÓDIGO NACIONAL  DE SEGURIDAD Y  CONVIVENCIA</t>
  </si>
  <si>
    <t>AVANCE EJECUCION  PRESUPUESTAL PROGRAMA FORTALECIMIENTO CAPACIDAD OPERATIVA DE LA SECRETARIA DEL INTERIOR Y CONVIVENCIA CIUDADANA</t>
  </si>
  <si>
    <t>AVANCE EJECUCION PRESUPUESTAL PROGRAMA PROMOCIÓN AL ACCESO A LA JUSTICIA</t>
  </si>
  <si>
    <t>AVANCE EJECUCION PRESUPUESTAL PROGRAMA FORTALECIMIENTO SISTEMA DE RESPONSABILIDAD PENAL PARA ADOLESCENTES –SRPA</t>
  </si>
  <si>
    <t>AVANCE EJECUCION PRESUPUESTAL PROGRAMA PREVENCIÓN, PROMOCIÓN Y PROTECCIÓN DE LOS DRECHOS HUMANOS EN EL DISTRITO DE CARTAGENA</t>
  </si>
  <si>
    <t>AVANCE EJECUCION PRESUPUESTAL PROGRAMA SISTEMA PENITENCIARIO Y CARCELARIO EN EL MARCO DE LOS DERECHOS HUMANOS</t>
  </si>
  <si>
    <t>AVANCE EJECUCION PRESUPUESTAL PROGRAMA ATENCIÓN, ASISTENCIA Y REPARACIÓN INTEGRAL A LAS VÍCTIMAS</t>
  </si>
  <si>
    <t>AVANCE EJECUCION PRESUPUESTAL PROGRAMA CONSTRUCCIÓN DE PAZ TERRITORIAL</t>
  </si>
  <si>
    <t>AVANCE EJECUCION PRESUPUESTAL PROGRAMA FORTALECIMIENTO DE LA POBLACIÓN NEGRA, AFROCOLOMBIANA, RAIZAL Y PALENQUERA EN EL DISTRITO DE CARTAGENA</t>
  </si>
  <si>
    <t>AVANCE EJECUCION PRESUPUESTAL PROGRAMA FORTALECIMIENTO DE LA POBLACIÓN INDÍGENA EN EL DISTRITO DE CARTAGENA</t>
  </si>
  <si>
    <t>REPORTE META PRODUCTO DICIEMBRE 31 DE 2023</t>
  </si>
  <si>
    <t>ACUMULADO META PRODUCTO A DICIEMBRE 31 DE 2023</t>
  </si>
  <si>
    <t>AVANCE META PRODUCTO A DICIEMBRE 31 DE 2023</t>
  </si>
  <si>
    <t>AVANCE PLAN DE DESARROLLO SECRETARIA DEL INTERIOR Y CONVIVENCIA CIUDADANA A DICIEMBRE 31 DE 2023</t>
  </si>
  <si>
    <t>AVANCE ACTIVIDAD PROYECTO DICIEMBRE 31 DE 2023</t>
  </si>
  <si>
    <t>ACUMULADO ACTIVIDAD PROYECTO DICIEMBRE 31 DE 2023</t>
  </si>
  <si>
    <t>AVANCE ACTIVIDAD PROYECTO DICIEMBRE31 DE 2023</t>
  </si>
  <si>
    <t>AVANCE PLAN DE ACCION SECRETARIA DEL INTERIOR Y CONVIVENCIA CIUDADANA A DICIEMBRE 31  DE 2023</t>
  </si>
  <si>
    <t>OBSERVACIÓN O RELACIÓN DE EVIDENCIA A 31 DE DICIEMBRE</t>
  </si>
  <si>
    <t xml:space="preserve">Link de las 4 ops suscritas en el periodo:
https://community.secop.gov.co/Public/Tendering/ContractNoticePhases/View?PPI=CO1.PPI.23095169&amp;isFromPublicArea=True&amp;isModal=False
https://community.secop.gov.co/Public/Tendering/ContractNoticePhases/View?PPI=CO1.PPI.28064778&amp;isFromPublicArea=True&amp;isModal=False
https://community.secop.gov.co/Public/Tendering/ContractNoticePhases/View?PPI=CO1.PPI.28081524&amp;isFromPublicArea=True&amp;isModal=False 
https://community.secop.gov.co/Public/Tendering/OpportunityDetail/Index?noticeUID=CO1.NTC.5152078&amp;isFromPublicArea=True&amp;isModal=False
</t>
  </si>
  <si>
    <t xml:space="preserve">link de las dos ops suscritas en el periodo:
https://community.secop.gov.co/Public/Tendering/ContractNoticePhases/View?PPI=CO1.PPI.28574925&amp;isFromPublicArea=True&amp;isModal=False
https://community.secop.gov.co/Public/Tendering/ContractNoticePhases/View?PPI=CO1.PPI.28622986&amp;isFromPublicArea=True&amp;isModal=False
</t>
  </si>
  <si>
    <t>Se adjunta  archivo  excel contentivo de los 38 links secop de  las  OPS suscritas en el periodo</t>
  </si>
  <si>
    <t xml:space="preserve">Link de las dos OPS suscritas en el periodo:
https://community.secop.gov.co/Public/Tendering/ContractNoticePhases/View?PPI=CO1.PPI.27814314&amp;isFromPublicArea=True&amp;isModal=False 
https://community.secop.gov.co/Public/Tendering/ContractNoticePhases/View?PPI=CO1.PPI.27780275&amp;isFromPublicArea=True&amp;isModal=False </t>
  </si>
  <si>
    <t>Se adjunta Orden de Compra N°121505</t>
  </si>
  <si>
    <t xml:space="preserve">Se adjunta archivo excel con los links de las OPS suscritas en el periodo </t>
  </si>
  <si>
    <t xml:space="preserve">Links delas OPS suscritas en el periodo:
https://community.secop.gov.co/Public/Tendering/ContractNoticePhases/View?PPI=CO1.PPI.27989078&amp;isFromPublicArea=True&amp;isModal=False 
https://community.secop.gov.co/Public/Tendering/OpportunityDetail/Index?noticeUID=CO1.NTC.5051150&amp;isFromPublicArea=True&amp;isModal=False
https://community.secop.gov.co/Public/Tendering/OpportunityDetail/Index?noticeUID=CO1.NTC.5051427&amp;isFromPublicArea=True&amp;isModal=False
https://community.secop.gov.co/Public/Tendering/OpportunityDetail/Index?noticeUID=CO1.NTC.5051769&amp;isFromPublicArea=True&amp;isModal=False
https://community.secop.gov.co/Public/Tendering/OpportunityDetail/Index?noticeUID=CO1.NTC.5063643&amp;isFromPublicArea=True&amp;isModal=False
</t>
  </si>
  <si>
    <t xml:space="preserve">Se adjuntan resolcuiones:
RESOLUCION 7720 DE 15 DE NOVIEMBRE 2023
RESOLUCION 7722 DE 15 DE NOVIEMBRE 2023
por medio del cual se reconoce  y ordena el pago a 4 victimas por concepto de ayuda humanitaria inmediata </t>
  </si>
  <si>
    <t xml:space="preserve">https://community.secop.gov.co/Public/Tendering/OpportunityDetail/Index?noticeUID=CO1.NTC.5019222&amp;isFromPublicArea=True&amp;isModal=False
</t>
  </si>
  <si>
    <t xml:space="preserve">Links de las OPS suscritas en el periodo:
https://community.secop.gov.co/Public/Tendering/ContractNoticePhases/View?PPI=CO1.PPI.28061115&amp;isFromPublicArea=True&amp;isModal=False 
https://community.secop.gov.co/Public/Tendering/OpportunityDetail/Index?noticeUID=CO1.NTC.5239646&amp;isFromPublicArea=True&amp;isModal=False 
https://community.secop.gov.co/Public/Tendering/ContractNoticePhases/View?PPI=CO1.PPI.28124112&amp;isFromPublicArea=True&amp;isModal=False 
https://community.secop.gov.co/Public/Tendering/ContractNoticePhases/View?PPI=CO1.PPI.28171362&amp;isFromPublicArea=True&amp;isModal=False 
https://community.secop.gov.co/Public/Tendering/ContractNoticePhases/View?PPI=CO1.PPI.28066319&amp;isFromPublicArea=True&amp;isModal=False </t>
  </si>
  <si>
    <t xml:space="preserve">link de la OPS suscrita en el periodo:
https://community.secop.gov.co/Public/Tendering/ContractNoticePhases/View?PPI=CO1.PPI.28109223&amp;isFromPublicArea=True&amp;isModal=False 
</t>
  </si>
  <si>
    <t>Suscrito convenio, pero No se realizó la compra del predio para el traslado de kaizem.</t>
  </si>
  <si>
    <t>EJECUCIÓN PRESUPESTAL RP A 31 DE DICIEMBRE</t>
  </si>
  <si>
    <t xml:space="preserve">APROPIACION DEFINITIVA A DICIEMBRE 31 </t>
  </si>
  <si>
    <t>EJECUCION PRESUPUESTAL SEGÚN REGISTROS PRESUPUESTALES A DICIEMBRE 31</t>
  </si>
  <si>
    <t>EJECUCION PRESUPUESTAL SEGÚN GIROS A DICIEMBRE 31</t>
  </si>
  <si>
    <t>AVANCE DE EJECUCION PRESUPUESTAL SEGÚN GIROS A DICIEMBRE 31</t>
  </si>
  <si>
    <t>1,2,1,0,00-001 - ICLD</t>
  </si>
  <si>
    <t>1,2,3,1,14-042 - SOBRETASA BOMBERIL</t>
  </si>
  <si>
    <t xml:space="preserve">1,3,2,3,11-044 - RF SOBRETASA BOMBERIL
</t>
  </si>
  <si>
    <t>1,3,3,3,15-93-042 RB SOBRETASA BOMBERIL</t>
  </si>
  <si>
    <t>1,3,3,3,15-93-044  RB RF SOBRETASA BOMBERIL</t>
  </si>
  <si>
    <t>1,3,3,3,15-95-042 RB SOBRETASA BOMBERIL</t>
  </si>
  <si>
    <t>GIROS A 31 DE DICIEMBRE  2023</t>
  </si>
  <si>
    <t>BENEFICIAROS CUBIERTOS  31 DE DICIEMBRE   DE 2023</t>
  </si>
  <si>
    <t>1,3,3,11,07-93-158 R,B, TRANSFERENCIAS DE CAPITAL CONVENIO FONSECON</t>
  </si>
  <si>
    <t>1,2,3,2,24-120 - MULTAS CODIGO NACIONAL DE POLICIA Y CONVIVENCIA</t>
  </si>
  <si>
    <t>1,3,2,3,11-161 - RF MULTAS CODIGO POLICIA</t>
  </si>
  <si>
    <t>1,3,3,4,17-93-120 RB MULTAS CODIGO DE POLICIA</t>
  </si>
  <si>
    <t>1,3,3,4,17-95-120 RB MULTAS CODIGO DE POLICIA</t>
  </si>
  <si>
    <t>AVANCE EJECUCION PRESUPUESTAL PLAN DE DESARROLLO SECRETARIA DEL INTERIOR Y CONVIVENCIA CIUDADANA A DICIEMBRE 31 DE 2023</t>
  </si>
  <si>
    <t>AVANCE META PRODUCTOA A DICIEMBRE 31 DE 2023</t>
  </si>
  <si>
    <t>AVANCE SEGÚN PROYECTOS PROGRAMA PLAN INTEGRAL DE SEGURIDAD Y CONVIVENCIA CIUADADANA A DICIEMBRE 31 DE 2023</t>
  </si>
  <si>
    <t>BENEFICIAROS CUBIERTOS  31 DE  DICIEMBRE  DE 2023</t>
  </si>
  <si>
    <t>Se adjunta Rp 597 de 16 de noviembre de 2023 y orden de compra N° 119720</t>
  </si>
  <si>
    <t xml:space="preserve">https://community.secop.gov.co/Public/Tendering/OpportunityDetail/Index?noticeUID=CO1.NTC.5141007&amp;isFromPublicArea=True&amp;isModal=False
</t>
  </si>
  <si>
    <t>Se adjuntas 6 resoluciones de pago de recompensas</t>
  </si>
  <si>
    <t>Reducción presupuestal realizada mediante decreto 1730 de 21 de diciembre de 2023</t>
  </si>
  <si>
    <t xml:space="preserve">https://community.secop.gov.co/Public/Tendering/ContractNoticePhases/View?PPI=CO1.PPI.28378537&amp;isFromPublicArea=True&amp;isModal=False 
</t>
  </si>
  <si>
    <t>obra finalizada</t>
  </si>
  <si>
    <t xml:space="preserve">https://community.secop.gov.co/Public/Tendering/ContractNoticePhases/View?PPI=CO1.PPI.27372447&amp;isFromPublicArea=True&amp;isModal=False
</t>
  </si>
  <si>
    <t>EJECUCIÓN PRESUPESTAL RP A 31 DE DICIEMBRE  2023</t>
  </si>
  <si>
    <t>AVANCE EJECUCIÓN PRESUPUESTAL PROGRAMA PLAN INTEGRAL DE SEGURIDAD A DICIEMBRE 31 DE 2023</t>
  </si>
  <si>
    <t>AVANCE EJECUCIÓN PRESUPUESTAL PROGRAMA PLAN INTEGRAL DE SEGURIDAD A DICIEMBRE 31 DE 2023 SEGÚN REGISTROS PRESUPUESTALES</t>
  </si>
  <si>
    <t>AVANCE EJECUCIÓN PRESUPUESTAL PROGRAMA PLAN INTEGRAL DE SEGURIDAD A DICIEMBRE 31 DE 2023 SEGÚN GIROS</t>
  </si>
  <si>
    <t xml:space="preserve">EJECUCION PRESUPUESTAL SEGÚN REGISTROS PRESUPUESTALES A DICIEMBRE 31 </t>
  </si>
  <si>
    <t>AVANCE EJECUCIÓN PRESUPUESTAL SECRETARIA DEL INTERIOR Y CONVIVENCIA CIUDADANA A DICIEMBRE 31 DE 2023 SEGÚN REGISTROS PRESUPUESTALES</t>
  </si>
  <si>
    <t>AVANCE EJECUCIÓN PRESUPUESTAL SECRETARIA DEL INTERIOR Y CONVIVENCIA CIUDADANA A DICIEMBRE 31 DE 2023 DE 2023 SEGÚN GIROS</t>
  </si>
  <si>
    <t>GIROS A 31 DE DICIEMBRE DE  2023</t>
  </si>
  <si>
    <t>ACUMULADO META PRODUCTO AL CUATRIENIO</t>
  </si>
  <si>
    <t>Avance Proyecto Fortalecimiento del Sistema de Responsabilidad Penal para Adolescentes- SRPA en el Distrito de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</si>
</sst>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2" formatCode="_-&quot;$&quot;\ * #,##0_-;\-&quot;$&quot;\ * #,##0_-;_-&quot;$&quot;\ * &quot;-&quot;_-;_-@_-"/>
    <numFmt numFmtId="44" formatCode="_-&quot;$&quot;\ * #,##0.00_-;\-&quot;$&quot;\ * #,##0.00_-;_-&quot;$&quot;\ * &quot;-&quot;??_-;_-@_-"/>
    <numFmt numFmtId="164" formatCode="0;[Red]0"/>
    <numFmt numFmtId="165" formatCode="\$\ #,##0.00"/>
    <numFmt numFmtId="166" formatCode="0.0%"/>
    <numFmt numFmtId="167" formatCode="_-&quot;$&quot;\ * #,##0_-;\-&quot;$&quot;\ * #,##0_-;_-&quot;$&quot;\ * &quot;-&quot;??_-;_-@_-"/>
  </numFmts>
  <fonts count="43"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u/>
      <sz val="11"/>
      <color theme="10"/>
      <name val="Calibri"/>
      <family val="2"/>
      <scheme val="minor"/>
    </font>
    <font>
      <b/>
      <sz val="22"/>
      <color rgb="FFFF0000"/>
      <name val="Calibri"/>
      <family val="2"/>
      <scheme val="minor"/>
    </font>
    <font>
      <sz val="20"/>
      <color theme="1"/>
      <name val="Calibri"/>
      <family val="2"/>
      <scheme val="minor"/>
    </font>
    <font>
      <b/>
      <sz val="20"/>
      <color theme="1"/>
      <name val="Arial"/>
      <family val="2"/>
    </font>
    <font>
      <b/>
      <sz val="20"/>
      <color theme="1" tint="4.9989318521683403E-2"/>
      <name val="Arial"/>
      <family val="2"/>
    </font>
    <font>
      <b/>
      <sz val="20"/>
      <name val="Arial"/>
      <family val="2"/>
    </font>
    <font>
      <sz val="20"/>
      <color theme="1"/>
      <name val="Arial"/>
      <family val="2"/>
    </font>
    <font>
      <sz val="20"/>
      <name val="Calibri"/>
      <family val="2"/>
      <scheme val="minor"/>
    </font>
    <font>
      <sz val="20"/>
      <color theme="1" tint="4.9989318521683403E-2"/>
      <name val="Calibri"/>
      <family val="2"/>
      <scheme val="minor"/>
    </font>
    <font>
      <u/>
      <sz val="20"/>
      <color theme="10"/>
      <name val="Calibri"/>
      <family val="2"/>
      <scheme val="minor"/>
    </font>
    <font>
      <sz val="20"/>
      <color theme="1" tint="4.9989318521683403E-2"/>
      <name val="Arial"/>
      <family val="2"/>
    </font>
    <font>
      <b/>
      <sz val="22"/>
      <color rgb="FFFF0000"/>
      <name val="Arial"/>
      <family val="2"/>
    </font>
    <font>
      <sz val="20"/>
      <color rgb="FFFF0000"/>
      <name val="Calibri"/>
      <family val="2"/>
      <scheme val="minor"/>
    </font>
    <font>
      <b/>
      <sz val="20"/>
      <color rgb="FFFF0000"/>
      <name val="Arial"/>
      <family val="2"/>
    </font>
    <font>
      <sz val="14"/>
      <color indexed="81"/>
      <name val="Tahoma"/>
      <family val="2"/>
    </font>
    <font>
      <b/>
      <sz val="16"/>
      <color rgb="FFFF0000"/>
      <name val="Arial"/>
      <family val="2"/>
    </font>
    <font>
      <b/>
      <sz val="24"/>
      <color rgb="FFFF0000"/>
      <name val="Arial"/>
      <family val="2"/>
    </font>
    <font>
      <sz val="22"/>
      <color rgb="FFFF0000"/>
      <name val="Calibri"/>
      <family val="2"/>
      <scheme val="minor"/>
    </font>
    <font>
      <sz val="24"/>
      <color rgb="FFFF0000"/>
      <name val="Calibri"/>
      <family val="2"/>
      <scheme val="minor"/>
    </font>
    <font>
      <b/>
      <sz val="24"/>
      <color rgb="FFFF0000"/>
      <name val="Calibri"/>
      <family val="2"/>
      <scheme val="minor"/>
    </font>
    <font>
      <b/>
      <sz val="26"/>
      <color rgb="FFFF0000"/>
      <name val="Calibri"/>
      <family val="2"/>
      <scheme val="minor"/>
    </font>
  </fonts>
  <fills count="9">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
      <patternFill patternType="solid">
        <fgColor rgb="FFFFCC00"/>
        <bgColor indexed="64"/>
      </patternFill>
    </fill>
    <fill>
      <patternFill patternType="solid">
        <fgColor rgb="FFFFC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right style="thin">
        <color indexed="64"/>
      </right>
      <top/>
      <bottom style="thin">
        <color rgb="FF000000"/>
      </bottom>
      <diagonal/>
    </border>
  </borders>
  <cellStyleXfs count="9">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2" fillId="0" borderId="0"/>
    <xf numFmtId="44" fontId="21" fillId="0" borderId="0" applyFont="0" applyFill="0" applyBorder="0" applyAlignment="0" applyProtection="0"/>
    <xf numFmtId="0" fontId="22" fillId="0" borderId="0" applyNumberFormat="0" applyFill="0" applyBorder="0" applyAlignment="0" applyProtection="0"/>
    <xf numFmtId="9" fontId="21" fillId="0" borderId="0" applyFont="0" applyFill="0" applyBorder="0" applyAlignment="0" applyProtection="0"/>
    <xf numFmtId="9" fontId="21" fillId="0" borderId="0" applyFont="0" applyFill="0" applyBorder="0" applyAlignment="0" applyProtection="0"/>
  </cellStyleXfs>
  <cellXfs count="530">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4" fillId="0" borderId="14" xfId="4" applyFont="1" applyBorder="1" applyAlignment="1">
      <alignment horizontal="center" vertical="center"/>
    </xf>
    <xf numFmtId="14" fontId="14" fillId="0" borderId="2" xfId="4" applyNumberFormat="1" applyFont="1" applyBorder="1"/>
    <xf numFmtId="0" fontId="14" fillId="0" borderId="19" xfId="4" applyFont="1" applyBorder="1" applyAlignment="1">
      <alignment horizontal="center" vertical="center"/>
    </xf>
    <xf numFmtId="14" fontId="14" fillId="0" borderId="20" xfId="4" applyNumberFormat="1" applyFont="1" applyBorder="1"/>
    <xf numFmtId="0" fontId="14" fillId="0" borderId="15" xfId="4" applyFont="1" applyBorder="1" applyAlignment="1">
      <alignment horizontal="center" vertical="center"/>
    </xf>
    <xf numFmtId="14" fontId="0" fillId="0" borderId="1" xfId="0" applyNumberFormat="1" applyBorder="1" applyAlignment="1">
      <alignment horizontal="center" vertical="center"/>
    </xf>
    <xf numFmtId="0" fontId="14" fillId="0" borderId="14" xfId="4" applyFont="1" applyBorder="1"/>
    <xf numFmtId="0" fontId="14" fillId="0" borderId="15" xfId="4" applyFont="1" applyBorder="1"/>
    <xf numFmtId="0" fontId="13" fillId="4" borderId="16" xfId="4" applyFont="1" applyFill="1" applyBorder="1" applyAlignment="1">
      <alignment horizontal="center" vertical="center"/>
    </xf>
    <xf numFmtId="0" fontId="13" fillId="4" borderId="13" xfId="4" applyFont="1" applyFill="1" applyBorder="1" applyAlignment="1">
      <alignment horizontal="center" vertical="center"/>
    </xf>
    <xf numFmtId="0" fontId="0" fillId="0" borderId="0" xfId="0" applyAlignment="1">
      <alignment vertical="center"/>
    </xf>
    <xf numFmtId="0" fontId="13" fillId="4" borderId="18" xfId="4" applyFont="1" applyFill="1" applyBorder="1" applyAlignment="1">
      <alignment vertical="center"/>
    </xf>
    <xf numFmtId="0" fontId="13" fillId="4" borderId="14"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6"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17"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20" xfId="4" applyFont="1" applyFill="1" applyBorder="1" applyAlignment="1">
      <alignment vertical="center"/>
    </xf>
    <xf numFmtId="0" fontId="13" fillId="4" borderId="18" xfId="4" applyFont="1" applyFill="1" applyBorder="1" applyAlignment="1">
      <alignment horizontal="center" vertical="center"/>
    </xf>
    <xf numFmtId="0" fontId="1" fillId="0" borderId="12" xfId="0" applyFont="1" applyBorder="1" applyAlignment="1">
      <alignment horizontal="center" vertical="center" wrapText="1"/>
    </xf>
    <xf numFmtId="44" fontId="0" fillId="0" borderId="0" xfId="5" applyFont="1"/>
    <xf numFmtId="44" fontId="0" fillId="0" borderId="0" xfId="0" applyNumberFormat="1"/>
    <xf numFmtId="0" fontId="24" fillId="0" borderId="0" xfId="0" applyFont="1"/>
    <xf numFmtId="0" fontId="25" fillId="0" borderId="1" xfId="4" applyFont="1" applyBorder="1" applyAlignment="1">
      <alignment horizontal="left" vertical="center"/>
    </xf>
    <xf numFmtId="0" fontId="1" fillId="0" borderId="11" xfId="0" applyFont="1" applyBorder="1" applyAlignment="1">
      <alignment horizontal="center" vertical="center"/>
    </xf>
    <xf numFmtId="0" fontId="25" fillId="0" borderId="1" xfId="0" applyFont="1" applyBorder="1" applyAlignment="1">
      <alignment horizontal="center" vertical="center" wrapText="1"/>
    </xf>
    <xf numFmtId="0" fontId="28" fillId="0" borderId="0" xfId="0" applyFont="1"/>
    <xf numFmtId="0" fontId="24" fillId="0" borderId="3" xfId="0" applyFont="1" applyBorder="1" applyAlignment="1">
      <alignment horizontal="center" vertical="top" wrapText="1"/>
    </xf>
    <xf numFmtId="0" fontId="29" fillId="0" borderId="4" xfId="0" applyFont="1" applyBorder="1" applyAlignment="1">
      <alignment horizontal="center" vertical="top" wrapText="1"/>
    </xf>
    <xf numFmtId="0" fontId="29" fillId="0" borderId="3" xfId="0" applyFont="1" applyBorder="1" applyAlignment="1">
      <alignment horizontal="center" vertical="top" wrapText="1"/>
    </xf>
    <xf numFmtId="9" fontId="29" fillId="0" borderId="3" xfId="0" applyNumberFormat="1" applyFont="1" applyBorder="1" applyAlignment="1">
      <alignment horizontal="center" vertical="top" wrapText="1"/>
    </xf>
    <xf numFmtId="0" fontId="24" fillId="0" borderId="3" xfId="0" applyFont="1" applyBorder="1" applyAlignment="1">
      <alignment horizontal="center" vertical="center"/>
    </xf>
    <xf numFmtId="1" fontId="24" fillId="0" borderId="3" xfId="0" applyNumberFormat="1" applyFont="1" applyBorder="1" applyAlignment="1">
      <alignment horizontal="center" vertical="center"/>
    </xf>
    <xf numFmtId="0" fontId="30" fillId="0" borderId="28" xfId="0" applyFont="1" applyBorder="1" applyAlignment="1">
      <alignment horizontal="center" vertical="top" wrapText="1"/>
    </xf>
    <xf numFmtId="0" fontId="24" fillId="0" borderId="1" xfId="0" applyFont="1" applyBorder="1" applyAlignment="1">
      <alignment horizontal="center" vertical="top" wrapText="1"/>
    </xf>
    <xf numFmtId="0" fontId="29" fillId="0" borderId="1" xfId="0" applyFont="1" applyBorder="1" applyAlignment="1">
      <alignment horizontal="center" vertical="top"/>
    </xf>
    <xf numFmtId="0" fontId="30" fillId="0" borderId="1" xfId="0" applyFont="1" applyBorder="1" applyAlignment="1">
      <alignment horizontal="center" vertical="top" wrapText="1"/>
    </xf>
    <xf numFmtId="0" fontId="29" fillId="0" borderId="1" xfId="0" applyFont="1" applyBorder="1" applyAlignment="1">
      <alignment horizontal="center" vertical="top" wrapText="1"/>
    </xf>
    <xf numFmtId="165" fontId="24" fillId="0" borderId="1" xfId="0" applyNumberFormat="1" applyFont="1" applyBorder="1" applyAlignment="1">
      <alignment horizontal="center" vertical="top"/>
    </xf>
    <xf numFmtId="0" fontId="24" fillId="0" borderId="28" xfId="0" applyFont="1" applyBorder="1" applyAlignment="1">
      <alignment horizontal="center" vertical="top" wrapText="1"/>
    </xf>
    <xf numFmtId="17" fontId="24" fillId="0" borderId="1" xfId="0" applyNumberFormat="1" applyFont="1" applyBorder="1" applyAlignment="1">
      <alignment horizontal="center" vertical="top" wrapText="1"/>
    </xf>
    <xf numFmtId="0" fontId="24" fillId="0" borderId="1" xfId="0" applyFont="1" applyBorder="1"/>
    <xf numFmtId="0" fontId="24" fillId="0" borderId="1" xfId="0" applyFont="1" applyBorder="1" applyAlignment="1">
      <alignment vertical="top" wrapText="1"/>
    </xf>
    <xf numFmtId="0" fontId="24" fillId="0" borderId="1" xfId="0" applyFont="1" applyBorder="1" applyAlignment="1">
      <alignment horizontal="center" vertical="center"/>
    </xf>
    <xf numFmtId="1" fontId="24" fillId="0" borderId="1" xfId="0" applyNumberFormat="1" applyFont="1" applyBorder="1" applyAlignment="1">
      <alignment horizontal="center" vertical="center"/>
    </xf>
    <xf numFmtId="0" fontId="30" fillId="0" borderId="4" xfId="0" applyFont="1" applyBorder="1" applyAlignment="1">
      <alignment horizontal="center" vertical="top" wrapText="1"/>
    </xf>
    <xf numFmtId="0" fontId="29" fillId="0" borderId="28" xfId="0" applyFont="1" applyBorder="1" applyAlignment="1">
      <alignment horizontal="center" vertical="top" wrapText="1"/>
    </xf>
    <xf numFmtId="0" fontId="24" fillId="0" borderId="1" xfId="0" applyFont="1" applyBorder="1" applyAlignment="1">
      <alignment horizontal="justify" vertical="top" wrapText="1"/>
    </xf>
    <xf numFmtId="2" fontId="24" fillId="0" borderId="1" xfId="0" applyNumberFormat="1" applyFont="1" applyBorder="1" applyAlignment="1">
      <alignment horizontal="center" vertical="top" wrapText="1"/>
    </xf>
    <xf numFmtId="17" fontId="24" fillId="0" borderId="10" xfId="0" applyNumberFormat="1" applyFont="1" applyBorder="1" applyAlignment="1">
      <alignment horizontal="center" vertical="top" wrapText="1"/>
    </xf>
    <xf numFmtId="0" fontId="24" fillId="0" borderId="1" xfId="0" applyFont="1" applyBorder="1" applyAlignment="1">
      <alignment vertical="top"/>
    </xf>
    <xf numFmtId="9" fontId="29" fillId="0" borderId="4" xfId="0" applyNumberFormat="1" applyFont="1" applyBorder="1" applyAlignment="1">
      <alignment horizontal="center" vertical="top" wrapText="1"/>
    </xf>
    <xf numFmtId="0" fontId="29" fillId="0" borderId="1" xfId="0" applyFont="1" applyBorder="1" applyAlignment="1">
      <alignment vertical="top" wrapText="1"/>
    </xf>
    <xf numFmtId="9" fontId="30" fillId="0" borderId="1" xfId="0" applyNumberFormat="1" applyFont="1" applyBorder="1" applyAlignment="1">
      <alignment horizontal="center" vertical="top" wrapText="1"/>
    </xf>
    <xf numFmtId="44" fontId="30" fillId="0" borderId="1" xfId="5" applyFont="1" applyBorder="1" applyAlignment="1">
      <alignment horizontal="center" vertical="top" wrapText="1"/>
    </xf>
    <xf numFmtId="0" fontId="29" fillId="0" borderId="28" xfId="0" applyFont="1" applyBorder="1" applyAlignment="1">
      <alignment vertical="top" wrapText="1"/>
    </xf>
    <xf numFmtId="0" fontId="30" fillId="0" borderId="3" xfId="0" applyFont="1" applyBorder="1" applyAlignment="1">
      <alignment horizontal="center" vertical="top" wrapText="1"/>
    </xf>
    <xf numFmtId="0" fontId="24" fillId="0" borderId="10" xfId="0" applyFont="1" applyBorder="1" applyAlignment="1">
      <alignment horizontal="center" vertical="top" wrapText="1"/>
    </xf>
    <xf numFmtId="0" fontId="24" fillId="0" borderId="1" xfId="0" applyFont="1" applyBorder="1" applyAlignment="1">
      <alignment horizontal="center" vertical="center" wrapText="1"/>
    </xf>
    <xf numFmtId="9" fontId="29" fillId="0" borderId="1" xfId="0" applyNumberFormat="1" applyFont="1" applyBorder="1" applyAlignment="1">
      <alignment horizontal="center" vertical="top"/>
    </xf>
    <xf numFmtId="10" fontId="29" fillId="0" borderId="1" xfId="0" applyNumberFormat="1" applyFont="1" applyBorder="1" applyAlignment="1">
      <alignment horizontal="center" vertical="top"/>
    </xf>
    <xf numFmtId="9" fontId="29" fillId="0" borderId="1" xfId="0" applyNumberFormat="1" applyFont="1" applyBorder="1" applyAlignment="1">
      <alignment horizontal="center" vertical="top" wrapText="1"/>
    </xf>
    <xf numFmtId="6" fontId="29" fillId="0" borderId="1" xfId="0" applyNumberFormat="1" applyFont="1" applyBorder="1" applyAlignment="1">
      <alignment horizontal="center" vertical="top" wrapText="1"/>
    </xf>
    <xf numFmtId="0" fontId="24" fillId="0" borderId="4" xfId="0" applyFont="1" applyBorder="1" applyAlignment="1">
      <alignment horizontal="center" vertical="top" wrapText="1"/>
    </xf>
    <xf numFmtId="165" fontId="24" fillId="0" borderId="34" xfId="0" applyNumberFormat="1" applyFont="1" applyBorder="1" applyAlignment="1">
      <alignment horizontal="center" vertical="top"/>
    </xf>
    <xf numFmtId="0" fontId="30" fillId="0" borderId="29" xfId="0" applyFont="1" applyBorder="1" applyAlignment="1">
      <alignment horizontal="center" vertical="top" wrapText="1"/>
    </xf>
    <xf numFmtId="0" fontId="29" fillId="0" borderId="10" xfId="0" applyFont="1" applyBorder="1" applyAlignment="1">
      <alignment horizontal="center" vertical="top" wrapText="1"/>
    </xf>
    <xf numFmtId="0" fontId="31" fillId="0" borderId="1" xfId="6" applyFont="1" applyBorder="1" applyAlignment="1">
      <alignment horizontal="center" vertical="top" wrapText="1"/>
    </xf>
    <xf numFmtId="0" fontId="24" fillId="0" borderId="28" xfId="0" applyFont="1" applyBorder="1" applyAlignment="1">
      <alignment vertical="top"/>
    </xf>
    <xf numFmtId="17" fontId="29" fillId="0" borderId="3" xfId="0" applyNumberFormat="1" applyFont="1" applyBorder="1" applyAlignment="1">
      <alignment horizontal="center" vertical="top" wrapText="1"/>
    </xf>
    <xf numFmtId="0" fontId="24" fillId="0" borderId="3" xfId="0" applyFont="1" applyBorder="1" applyAlignment="1">
      <alignment vertical="top"/>
    </xf>
    <xf numFmtId="8" fontId="29" fillId="0" borderId="1" xfId="0" applyNumberFormat="1" applyFont="1" applyBorder="1" applyAlignment="1">
      <alignment horizontal="center" vertical="top" wrapText="1"/>
    </xf>
    <xf numFmtId="0" fontId="29" fillId="0" borderId="12" xfId="0" applyFont="1" applyBorder="1" applyAlignment="1">
      <alignment horizontal="center" vertical="top" wrapText="1"/>
    </xf>
    <xf numFmtId="0" fontId="24" fillId="0" borderId="1" xfId="0" applyFont="1" applyBorder="1" applyAlignment="1">
      <alignment horizontal="center"/>
    </xf>
    <xf numFmtId="0" fontId="24" fillId="0" borderId="32" xfId="0" applyFont="1" applyBorder="1" applyAlignment="1">
      <alignment horizontal="center" vertical="top" wrapText="1"/>
    </xf>
    <xf numFmtId="0" fontId="24" fillId="0" borderId="3" xfId="0" applyFont="1" applyBorder="1" applyAlignment="1">
      <alignment horizontal="center" vertical="center" wrapText="1"/>
    </xf>
    <xf numFmtId="0" fontId="29" fillId="0" borderId="28" xfId="0" applyFont="1" applyBorder="1" applyAlignment="1">
      <alignment horizontal="center" vertical="top"/>
    </xf>
    <xf numFmtId="0" fontId="24" fillId="0" borderId="12" xfId="0" applyFont="1" applyBorder="1" applyAlignment="1">
      <alignment horizontal="center" vertical="top" wrapText="1"/>
    </xf>
    <xf numFmtId="10" fontId="29" fillId="0" borderId="1" xfId="0" applyNumberFormat="1" applyFont="1" applyBorder="1" applyAlignment="1">
      <alignment horizontal="center" vertical="top" wrapText="1"/>
    </xf>
    <xf numFmtId="0" fontId="32" fillId="0" borderId="1" xfId="0" applyFont="1" applyBorder="1" applyAlignment="1">
      <alignment horizontal="center" vertical="center" wrapText="1"/>
    </xf>
    <xf numFmtId="0" fontId="24" fillId="0" borderId="0" xfId="0" applyFont="1" applyAlignment="1">
      <alignment horizontal="center" vertical="center"/>
    </xf>
    <xf numFmtId="0" fontId="30" fillId="0" borderId="0" xfId="0" applyFont="1" applyAlignment="1">
      <alignment horizontal="center"/>
    </xf>
    <xf numFmtId="1" fontId="24" fillId="0" borderId="0" xfId="0" applyNumberFormat="1" applyFont="1" applyAlignment="1">
      <alignment horizontal="center" vertical="center"/>
    </xf>
    <xf numFmtId="0" fontId="32" fillId="0" borderId="0" xfId="0" applyFont="1" applyAlignment="1">
      <alignment horizontal="center" vertical="center" wrapText="1"/>
    </xf>
    <xf numFmtId="164" fontId="28" fillId="0" borderId="0" xfId="0" applyNumberFormat="1" applyFont="1" applyAlignment="1">
      <alignment horizontal="center" vertical="center"/>
    </xf>
    <xf numFmtId="0" fontId="29" fillId="0" borderId="0" xfId="0" applyFont="1" applyAlignment="1">
      <alignment horizontal="center"/>
    </xf>
    <xf numFmtId="0" fontId="29" fillId="0" borderId="0" xfId="0" applyFont="1" applyAlignment="1">
      <alignment horizontal="center" vertical="center"/>
    </xf>
    <xf numFmtId="0" fontId="24" fillId="0" borderId="0" xfId="0" applyFont="1" applyAlignment="1">
      <alignment horizontal="center" vertical="center" wrapText="1"/>
    </xf>
    <xf numFmtId="42" fontId="24" fillId="0" borderId="0" xfId="0" applyNumberFormat="1" applyFont="1" applyAlignment="1">
      <alignment horizontal="center" vertical="center" wrapText="1"/>
    </xf>
    <xf numFmtId="0" fontId="24" fillId="0" borderId="0" xfId="0" applyFont="1" applyAlignment="1">
      <alignment horizontal="center"/>
    </xf>
    <xf numFmtId="0" fontId="29"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1" xfId="0" applyFont="1" applyBorder="1" applyAlignment="1">
      <alignment horizontal="center" vertical="center"/>
    </xf>
    <xf numFmtId="0" fontId="0" fillId="0" borderId="0" xfId="0" applyAlignment="1">
      <alignment wrapText="1"/>
    </xf>
    <xf numFmtId="10" fontId="0" fillId="0" borderId="1" xfId="8" applyNumberFormat="1" applyFont="1" applyBorder="1" applyAlignment="1">
      <alignment horizontal="center" vertical="center"/>
    </xf>
    <xf numFmtId="0" fontId="0" fillId="0" borderId="10" xfId="0" applyBorder="1" applyAlignment="1">
      <alignment vertical="center" wrapText="1"/>
    </xf>
    <xf numFmtId="10" fontId="0" fillId="0" borderId="0" xfId="8" applyNumberFormat="1" applyFont="1" applyAlignment="1">
      <alignment horizontal="center" vertical="center"/>
    </xf>
    <xf numFmtId="9" fontId="0" fillId="0" borderId="0" xfId="8" applyFont="1" applyAlignment="1">
      <alignment horizontal="center" vertical="center"/>
    </xf>
    <xf numFmtId="0" fontId="17" fillId="0" borderId="1" xfId="0" applyFont="1" applyBorder="1" applyAlignment="1">
      <alignment horizontal="center" vertical="center"/>
    </xf>
    <xf numFmtId="0" fontId="0" fillId="0" borderId="1" xfId="0" applyBorder="1" applyAlignment="1">
      <alignment vertical="center"/>
    </xf>
    <xf numFmtId="0" fontId="17" fillId="0" borderId="1" xfId="0" applyFont="1" applyBorder="1" applyAlignment="1">
      <alignment horizontal="center"/>
    </xf>
    <xf numFmtId="10" fontId="0" fillId="0" borderId="0" xfId="7" applyNumberFormat="1" applyFont="1"/>
    <xf numFmtId="10" fontId="34" fillId="0" borderId="28" xfId="7" applyNumberFormat="1" applyFont="1" applyBorder="1" applyAlignment="1">
      <alignment horizontal="center" vertical="center" wrapText="1"/>
    </xf>
    <xf numFmtId="10" fontId="34" fillId="0" borderId="4" xfId="7" applyNumberFormat="1" applyFont="1" applyBorder="1" applyAlignment="1">
      <alignment horizontal="center" vertical="center" wrapText="1"/>
    </xf>
    <xf numFmtId="10" fontId="34" fillId="0" borderId="3" xfId="7" applyNumberFormat="1" applyFont="1" applyBorder="1" applyAlignment="1">
      <alignment horizontal="center" vertical="center" wrapText="1"/>
    </xf>
    <xf numFmtId="0" fontId="29" fillId="0" borderId="1" xfId="0" applyFont="1" applyBorder="1" applyAlignment="1">
      <alignment vertical="center" wrapText="1"/>
    </xf>
    <xf numFmtId="0" fontId="29" fillId="0" borderId="28" xfId="0" applyFont="1" applyBorder="1" applyAlignment="1">
      <alignment horizontal="center" vertical="center" wrapText="1"/>
    </xf>
    <xf numFmtId="10" fontId="11" fillId="0" borderId="8" xfId="7" applyNumberFormat="1" applyFont="1" applyBorder="1" applyAlignment="1">
      <alignment horizontal="center" vertical="center"/>
    </xf>
    <xf numFmtId="10" fontId="34" fillId="0" borderId="0" xfId="7" applyNumberFormat="1" applyFont="1" applyAlignment="1">
      <alignment horizontal="center" vertical="center"/>
    </xf>
    <xf numFmtId="0" fontId="24" fillId="0" borderId="28"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0" xfId="0" applyFont="1" applyAlignment="1">
      <alignment horizontal="center" vertical="center"/>
    </xf>
    <xf numFmtId="10" fontId="34" fillId="0" borderId="1" xfId="7" applyNumberFormat="1" applyFont="1" applyBorder="1" applyAlignment="1">
      <alignment horizontal="center" vertical="center"/>
    </xf>
    <xf numFmtId="10" fontId="34" fillId="0" borderId="1" xfId="7" applyNumberFormat="1" applyFont="1" applyBorder="1" applyAlignment="1">
      <alignment horizontal="center" vertical="center" wrapText="1"/>
    </xf>
    <xf numFmtId="10" fontId="34" fillId="0" borderId="10" xfId="7" applyNumberFormat="1" applyFont="1" applyBorder="1" applyAlignment="1">
      <alignment horizontal="center" vertical="center" wrapText="1"/>
    </xf>
    <xf numFmtId="0" fontId="1" fillId="0" borderId="1" xfId="0" applyFont="1" applyBorder="1" applyAlignment="1">
      <alignment horizontal="center" vertical="center"/>
    </xf>
    <xf numFmtId="0" fontId="25" fillId="0" borderId="9" xfId="0" applyFont="1" applyBorder="1" applyAlignment="1">
      <alignment horizontal="center" vertical="center" wrapText="1"/>
    </xf>
    <xf numFmtId="0" fontId="25" fillId="0" borderId="8" xfId="0" applyFont="1" applyBorder="1" applyAlignment="1">
      <alignment horizontal="center" vertical="center" wrapText="1"/>
    </xf>
    <xf numFmtId="9" fontId="24" fillId="0" borderId="1" xfId="0" applyNumberFormat="1" applyFont="1" applyBorder="1" applyAlignment="1">
      <alignment horizontal="center" vertical="top" wrapText="1"/>
    </xf>
    <xf numFmtId="44" fontId="30" fillId="0" borderId="1" xfId="5" applyFont="1" applyFill="1" applyBorder="1" applyAlignment="1">
      <alignment horizontal="center" vertical="top" wrapText="1"/>
    </xf>
    <xf numFmtId="17" fontId="24" fillId="0" borderId="3" xfId="0" applyNumberFormat="1" applyFont="1" applyBorder="1" applyAlignment="1">
      <alignment horizontal="center" vertical="top" wrapText="1"/>
    </xf>
    <xf numFmtId="0" fontId="24" fillId="0" borderId="32" xfId="0" applyFont="1" applyBorder="1" applyAlignment="1">
      <alignment horizontal="justify" vertical="top" wrapText="1"/>
    </xf>
    <xf numFmtId="0" fontId="24" fillId="0" borderId="28" xfId="0" applyFont="1" applyBorder="1" applyAlignment="1">
      <alignment horizontal="justify" vertical="top" wrapText="1"/>
    </xf>
    <xf numFmtId="6" fontId="30" fillId="0" borderId="1" xfId="5" applyNumberFormat="1" applyFont="1" applyFill="1" applyBorder="1" applyAlignment="1">
      <alignment horizontal="center" vertical="top" wrapText="1"/>
    </xf>
    <xf numFmtId="0" fontId="24" fillId="0" borderId="1" xfId="0" applyFont="1" applyBorder="1" applyAlignment="1">
      <alignment wrapText="1"/>
    </xf>
    <xf numFmtId="0" fontId="30" fillId="0" borderId="0" xfId="0" applyFont="1" applyAlignment="1">
      <alignment horizontal="center" vertical="top" wrapText="1"/>
    </xf>
    <xf numFmtId="10" fontId="11" fillId="0" borderId="1" xfId="7" applyNumberFormat="1" applyFont="1" applyBorder="1" applyAlignment="1">
      <alignment horizontal="center" vertical="center"/>
    </xf>
    <xf numFmtId="10" fontId="23" fillId="0" borderId="1" xfId="7" applyNumberFormat="1" applyFont="1" applyBorder="1" applyAlignment="1">
      <alignment horizontal="center" vertical="center"/>
    </xf>
    <xf numFmtId="10" fontId="23" fillId="0" borderId="1" xfId="7" applyNumberFormat="1" applyFont="1" applyFill="1" applyBorder="1" applyAlignment="1">
      <alignment horizontal="center" vertical="center"/>
    </xf>
    <xf numFmtId="10" fontId="33" fillId="0" borderId="1" xfId="0" applyNumberFormat="1" applyFont="1" applyBorder="1" applyAlignment="1">
      <alignment horizontal="center" vertical="center"/>
    </xf>
    <xf numFmtId="10" fontId="23" fillId="0" borderId="3" xfId="7" applyNumberFormat="1" applyFont="1" applyBorder="1" applyAlignment="1">
      <alignment horizontal="center" vertical="center" wrapText="1"/>
    </xf>
    <xf numFmtId="10" fontId="39" fillId="0" borderId="1" xfId="7" applyNumberFormat="1" applyFont="1" applyBorder="1" applyAlignment="1">
      <alignment horizontal="center" vertical="center" wrapText="1"/>
    </xf>
    <xf numFmtId="10" fontId="23" fillId="0" borderId="1" xfId="7" applyNumberFormat="1" applyFont="1" applyBorder="1" applyAlignment="1">
      <alignment horizontal="center" vertical="center" wrapText="1"/>
    </xf>
    <xf numFmtId="0" fontId="30" fillId="0" borderId="10" xfId="0" applyFont="1" applyBorder="1" applyAlignment="1">
      <alignment horizontal="center" vertical="top" wrapText="1"/>
    </xf>
    <xf numFmtId="17" fontId="29" fillId="0" borderId="5" xfId="0" applyNumberFormat="1" applyFont="1" applyBorder="1" applyAlignment="1">
      <alignment horizontal="center" vertical="top" wrapText="1"/>
    </xf>
    <xf numFmtId="10" fontId="23" fillId="0" borderId="4" xfId="7" applyNumberFormat="1" applyFont="1" applyBorder="1" applyAlignment="1">
      <alignment horizontal="center" vertical="center" wrapText="1"/>
    </xf>
    <xf numFmtId="10" fontId="23" fillId="0" borderId="10" xfId="7" applyNumberFormat="1" applyFont="1" applyBorder="1" applyAlignment="1">
      <alignment horizontal="center" vertical="center" wrapText="1"/>
    </xf>
    <xf numFmtId="0" fontId="29" fillId="0" borderId="28" xfId="0" applyFont="1" applyBorder="1"/>
    <xf numFmtId="0" fontId="32" fillId="0" borderId="28" xfId="0" applyFont="1" applyBorder="1" applyAlignment="1">
      <alignment horizontal="center" vertical="center" wrapText="1"/>
    </xf>
    <xf numFmtId="0" fontId="29" fillId="0" borderId="29" xfId="0" applyFont="1" applyBorder="1" applyAlignment="1">
      <alignment horizontal="center" vertical="top" wrapText="1"/>
    </xf>
    <xf numFmtId="0" fontId="30" fillId="0" borderId="1" xfId="0" applyFont="1" applyBorder="1" applyAlignment="1">
      <alignment horizontal="center"/>
    </xf>
    <xf numFmtId="164" fontId="28" fillId="0" borderId="1" xfId="0" applyNumberFormat="1" applyFont="1" applyBorder="1" applyAlignment="1">
      <alignment horizontal="center" vertical="center"/>
    </xf>
    <xf numFmtId="0" fontId="29" fillId="0" borderId="1" xfId="0" applyFont="1" applyBorder="1" applyAlignment="1">
      <alignment horizontal="center"/>
    </xf>
    <xf numFmtId="0" fontId="29" fillId="0" borderId="1" xfId="0" applyFont="1" applyBorder="1" applyAlignment="1">
      <alignment horizontal="center" vertical="center"/>
    </xf>
    <xf numFmtId="42" fontId="24" fillId="0" borderId="1" xfId="0" applyNumberFormat="1" applyFont="1" applyBorder="1" applyAlignment="1">
      <alignment horizontal="center" vertical="center" wrapText="1"/>
    </xf>
    <xf numFmtId="10" fontId="23" fillId="0" borderId="45" xfId="7" applyNumberFormat="1" applyFont="1" applyBorder="1" applyAlignment="1">
      <alignment horizontal="center" vertical="center"/>
    </xf>
    <xf numFmtId="10" fontId="23" fillId="0" borderId="41" xfId="7" applyNumberFormat="1" applyFont="1" applyBorder="1" applyAlignment="1">
      <alignment horizontal="center" vertical="center"/>
    </xf>
    <xf numFmtId="44" fontId="34" fillId="0" borderId="1" xfId="5" applyFont="1" applyFill="1" applyBorder="1" applyAlignment="1">
      <alignment horizontal="center" vertical="top" wrapText="1"/>
    </xf>
    <xf numFmtId="44" fontId="40" fillId="0" borderId="1" xfId="5" applyFont="1" applyFill="1" applyBorder="1" applyAlignment="1">
      <alignment horizontal="center" vertical="center" wrapText="1"/>
    </xf>
    <xf numFmtId="10" fontId="40" fillId="0" borderId="1" xfId="7" applyNumberFormat="1" applyFont="1" applyFill="1" applyBorder="1" applyAlignment="1">
      <alignment horizontal="center" vertical="center" wrapText="1"/>
    </xf>
    <xf numFmtId="44" fontId="23" fillId="0" borderId="1" xfId="5" applyFont="1" applyFill="1" applyBorder="1" applyAlignment="1">
      <alignment horizontal="center" vertical="center" wrapText="1"/>
    </xf>
    <xf numFmtId="10" fontId="23" fillId="0" borderId="1" xfId="7" applyNumberFormat="1" applyFont="1" applyFill="1" applyBorder="1" applyAlignment="1">
      <alignment horizontal="center" vertical="center" wrapText="1"/>
    </xf>
    <xf numFmtId="10" fontId="23" fillId="0" borderId="1" xfId="5" applyNumberFormat="1" applyFont="1" applyFill="1" applyBorder="1" applyAlignment="1">
      <alignment horizontal="center" vertical="center" wrapText="1"/>
    </xf>
    <xf numFmtId="10" fontId="34" fillId="0" borderId="1" xfId="7" applyNumberFormat="1" applyFont="1" applyFill="1" applyBorder="1" applyAlignment="1">
      <alignment horizontal="center" vertical="top" wrapText="1"/>
    </xf>
    <xf numFmtId="44" fontId="11" fillId="0" borderId="1" xfId="0" applyNumberFormat="1" applyFont="1" applyBorder="1" applyAlignment="1">
      <alignment vertical="center"/>
    </xf>
    <xf numFmtId="10" fontId="11" fillId="0" borderId="1" xfId="0" applyNumberFormat="1" applyFont="1" applyBorder="1" applyAlignment="1">
      <alignment horizontal="center" vertical="center"/>
    </xf>
    <xf numFmtId="44" fontId="33" fillId="0" borderId="41" xfId="0" applyNumberFormat="1" applyFont="1" applyBorder="1" applyAlignment="1">
      <alignment vertical="center"/>
    </xf>
    <xf numFmtId="10" fontId="33" fillId="0" borderId="51" xfId="7" applyNumberFormat="1" applyFont="1" applyBorder="1" applyAlignment="1">
      <alignment horizontal="center" vertical="center"/>
    </xf>
    <xf numFmtId="10" fontId="33" fillId="0" borderId="41" xfId="7" applyNumberFormat="1" applyFont="1" applyBorder="1" applyAlignment="1">
      <alignment horizontal="center" vertical="center"/>
    </xf>
    <xf numFmtId="165" fontId="23" fillId="0" borderId="28" xfId="0" applyNumberFormat="1" applyFont="1" applyBorder="1" applyAlignment="1">
      <alignment horizontal="center" vertical="center"/>
    </xf>
    <xf numFmtId="10" fontId="23" fillId="0" borderId="28" xfId="7" applyNumberFormat="1" applyFont="1" applyBorder="1" applyAlignment="1">
      <alignment horizontal="center" vertical="center"/>
    </xf>
    <xf numFmtId="165" fontId="23" fillId="0" borderId="3" xfId="0" applyNumberFormat="1" applyFont="1" applyBorder="1" applyAlignment="1">
      <alignment horizontal="center" vertical="center"/>
    </xf>
    <xf numFmtId="10" fontId="23" fillId="0" borderId="3" xfId="7" applyNumberFormat="1" applyFont="1" applyBorder="1" applyAlignment="1">
      <alignment horizontal="center" vertical="center"/>
    </xf>
    <xf numFmtId="165" fontId="34" fillId="0" borderId="1" xfId="0" applyNumberFormat="1" applyFont="1" applyBorder="1" applyAlignment="1">
      <alignment horizontal="center" vertical="top"/>
    </xf>
    <xf numFmtId="10" fontId="34" fillId="0" borderId="1" xfId="7" applyNumberFormat="1" applyFont="1" applyBorder="1" applyAlignment="1">
      <alignment horizontal="center" vertical="top"/>
    </xf>
    <xf numFmtId="165" fontId="23" fillId="0" borderId="1" xfId="0" applyNumberFormat="1" applyFont="1" applyBorder="1" applyAlignment="1">
      <alignment horizontal="center" vertical="center"/>
    </xf>
    <xf numFmtId="165" fontId="11" fillId="0" borderId="1" xfId="0" applyNumberFormat="1" applyFont="1" applyBorder="1" applyAlignment="1">
      <alignment horizontal="center" vertical="center"/>
    </xf>
    <xf numFmtId="44" fontId="23" fillId="0" borderId="1" xfId="5" applyFont="1" applyBorder="1" applyAlignment="1">
      <alignment horizontal="center" vertical="center" wrapText="1"/>
    </xf>
    <xf numFmtId="6" fontId="23" fillId="0" borderId="1" xfId="0" applyNumberFormat="1" applyFont="1" applyBorder="1" applyAlignment="1">
      <alignment horizontal="center" vertical="center" wrapText="1"/>
    </xf>
    <xf numFmtId="165" fontId="23" fillId="0" borderId="1" xfId="0" applyNumberFormat="1" applyFont="1" applyBorder="1" applyAlignment="1">
      <alignment horizontal="center" vertical="center" wrapText="1"/>
    </xf>
    <xf numFmtId="44" fontId="23" fillId="0" borderId="47" xfId="0" applyNumberFormat="1" applyFont="1" applyBorder="1" applyAlignment="1">
      <alignment vertical="center"/>
    </xf>
    <xf numFmtId="44" fontId="23" fillId="0" borderId="45" xfId="0" applyNumberFormat="1" applyFont="1" applyBorder="1" applyAlignment="1">
      <alignment vertical="center"/>
    </xf>
    <xf numFmtId="44" fontId="23" fillId="0" borderId="41" xfId="0" applyNumberFormat="1" applyFont="1" applyBorder="1" applyAlignment="1">
      <alignment vertical="center"/>
    </xf>
    <xf numFmtId="10" fontId="41" fillId="0" borderId="55" xfId="7" applyNumberFormat="1" applyFont="1" applyBorder="1" applyAlignment="1">
      <alignment horizontal="center" vertical="center"/>
    </xf>
    <xf numFmtId="10" fontId="41" fillId="0" borderId="41" xfId="7" applyNumberFormat="1" applyFont="1" applyBorder="1" applyAlignment="1">
      <alignment horizontal="center" vertical="center"/>
    </xf>
    <xf numFmtId="8" fontId="29" fillId="7" borderId="1" xfId="0" applyNumberFormat="1" applyFont="1" applyFill="1" applyBorder="1" applyAlignment="1">
      <alignment horizontal="center" vertical="top" wrapText="1"/>
    </xf>
    <xf numFmtId="6" fontId="29" fillId="7" borderId="1" xfId="0" applyNumberFormat="1" applyFont="1" applyFill="1" applyBorder="1" applyAlignment="1">
      <alignment horizontal="center" vertical="top" wrapText="1"/>
    </xf>
    <xf numFmtId="6" fontId="29" fillId="8" borderId="1" xfId="0" applyNumberFormat="1" applyFont="1" applyFill="1" applyBorder="1" applyAlignment="1">
      <alignment horizontal="center" vertical="top" wrapText="1"/>
    </xf>
    <xf numFmtId="0" fontId="1" fillId="0" borderId="8" xfId="0" applyFont="1" applyBorder="1" applyAlignment="1">
      <alignment horizontal="center" vertical="center"/>
    </xf>
    <xf numFmtId="9" fontId="34" fillId="0" borderId="3" xfId="7" applyFont="1" applyBorder="1" applyAlignment="1">
      <alignment horizontal="center" vertical="center" wrapText="1"/>
    </xf>
    <xf numFmtId="0" fontId="24" fillId="0" borderId="28" xfId="0" applyFont="1" applyBorder="1" applyAlignment="1">
      <alignment horizontal="center" vertical="center"/>
    </xf>
    <xf numFmtId="1" fontId="24" fillId="0" borderId="1" xfId="0" applyNumberFormat="1" applyFont="1" applyBorder="1" applyAlignment="1">
      <alignment horizontal="center" vertical="center" wrapText="1"/>
    </xf>
    <xf numFmtId="1" fontId="24" fillId="0" borderId="28" xfId="0" applyNumberFormat="1" applyFont="1" applyBorder="1" applyAlignment="1">
      <alignment horizontal="center" vertical="center"/>
    </xf>
    <xf numFmtId="0" fontId="11" fillId="0" borderId="8" xfId="0" applyFont="1" applyBorder="1" applyAlignment="1">
      <alignment horizontal="center" vertical="center"/>
    </xf>
    <xf numFmtId="1" fontId="34" fillId="0" borderId="3" xfId="0" applyNumberFormat="1" applyFont="1" applyBorder="1" applyAlignment="1">
      <alignment horizontal="center" vertical="center" wrapText="1"/>
    </xf>
    <xf numFmtId="10" fontId="34" fillId="0" borderId="3" xfId="7" applyNumberFormat="1" applyFont="1" applyFill="1" applyBorder="1" applyAlignment="1">
      <alignment horizontal="center" vertical="center" wrapText="1"/>
    </xf>
    <xf numFmtId="166" fontId="34" fillId="0" borderId="3" xfId="7" applyNumberFormat="1" applyFont="1" applyFill="1" applyBorder="1" applyAlignment="1">
      <alignment horizontal="center" vertical="center" wrapText="1"/>
    </xf>
    <xf numFmtId="1" fontId="34" fillId="0" borderId="4" xfId="0" applyNumberFormat="1" applyFont="1" applyBorder="1" applyAlignment="1">
      <alignment horizontal="center" vertical="center" wrapText="1"/>
    </xf>
    <xf numFmtId="1" fontId="34" fillId="0" borderId="1" xfId="0" applyNumberFormat="1" applyFont="1" applyBorder="1" applyAlignment="1">
      <alignment horizontal="center" vertical="center"/>
    </xf>
    <xf numFmtId="1" fontId="34" fillId="0" borderId="0" xfId="0" applyNumberFormat="1" applyFont="1" applyAlignment="1">
      <alignment horizontal="center" vertical="center"/>
    </xf>
    <xf numFmtId="0" fontId="31" fillId="0" borderId="1" xfId="6" applyFont="1" applyFill="1" applyBorder="1" applyAlignment="1">
      <alignment horizontal="center" vertical="top" wrapText="1"/>
    </xf>
    <xf numFmtId="165" fontId="24" fillId="0" borderId="28" xfId="0" applyNumberFormat="1" applyFont="1" applyBorder="1" applyAlignment="1">
      <alignment horizontal="center" vertical="top"/>
    </xf>
    <xf numFmtId="165" fontId="24" fillId="0" borderId="3" xfId="0" applyNumberFormat="1" applyFont="1" applyBorder="1" applyAlignment="1">
      <alignment horizontal="center" vertical="top"/>
    </xf>
    <xf numFmtId="165" fontId="24" fillId="0" borderId="33" xfId="0" applyNumberFormat="1" applyFont="1" applyBorder="1" applyAlignment="1">
      <alignment horizontal="center" vertical="top"/>
    </xf>
    <xf numFmtId="165" fontId="24" fillId="0" borderId="0" xfId="0" applyNumberFormat="1" applyFont="1" applyAlignment="1">
      <alignment horizontal="center" vertical="top"/>
    </xf>
    <xf numFmtId="8" fontId="24" fillId="0" borderId="1" xfId="0" applyNumberFormat="1" applyFont="1" applyBorder="1"/>
    <xf numFmtId="0" fontId="30" fillId="0" borderId="1" xfId="0" applyFont="1" applyBorder="1" applyAlignment="1">
      <alignment vertical="top" wrapText="1"/>
    </xf>
    <xf numFmtId="44" fontId="24" fillId="0" borderId="0" xfId="0" applyNumberFormat="1" applyFont="1"/>
    <xf numFmtId="165" fontId="24" fillId="0" borderId="1" xfId="0" applyNumberFormat="1" applyFont="1" applyBorder="1" applyAlignment="1">
      <alignment vertical="center"/>
    </xf>
    <xf numFmtId="8" fontId="24" fillId="0" borderId="0" xfId="0" applyNumberFormat="1" applyFont="1"/>
    <xf numFmtId="165" fontId="24" fillId="0" borderId="1" xfId="0" applyNumberFormat="1" applyFont="1" applyBorder="1" applyAlignment="1">
      <alignment vertical="top"/>
    </xf>
    <xf numFmtId="165" fontId="24" fillId="0" borderId="52" xfId="0" applyNumberFormat="1" applyFont="1" applyBorder="1" applyAlignment="1">
      <alignment horizontal="center" vertical="top"/>
    </xf>
    <xf numFmtId="6" fontId="29" fillId="0" borderId="10" xfId="0" applyNumberFormat="1" applyFont="1" applyBorder="1" applyAlignment="1">
      <alignment horizontal="center" vertical="top" wrapText="1"/>
    </xf>
    <xf numFmtId="0" fontId="24" fillId="0" borderId="0" xfId="0" applyFont="1" applyAlignment="1">
      <alignment vertical="center" wrapText="1"/>
    </xf>
    <xf numFmtId="0" fontId="24" fillId="0" borderId="1" xfId="0" applyFont="1" applyBorder="1" applyAlignment="1">
      <alignment vertical="center" wrapText="1"/>
    </xf>
    <xf numFmtId="167" fontId="30" fillId="0" borderId="1" xfId="5" applyNumberFormat="1" applyFont="1" applyFill="1" applyBorder="1" applyAlignment="1">
      <alignment horizontal="center" vertical="top" wrapText="1"/>
    </xf>
    <xf numFmtId="6" fontId="30" fillId="0" borderId="1" xfId="0" applyNumberFormat="1" applyFont="1" applyBorder="1" applyAlignment="1">
      <alignment horizontal="center" vertical="top" wrapText="1"/>
    </xf>
    <xf numFmtId="0" fontId="11" fillId="0" borderId="1" xfId="0" applyFont="1" applyBorder="1" applyAlignment="1">
      <alignment horizontal="center" vertical="center" wrapText="1"/>
    </xf>
    <xf numFmtId="10" fontId="11" fillId="0" borderId="1" xfId="7" applyNumberFormat="1" applyFont="1" applyFill="1" applyBorder="1" applyAlignment="1">
      <alignment horizontal="center" vertical="center" wrapText="1"/>
    </xf>
    <xf numFmtId="10" fontId="11" fillId="0" borderId="1" xfId="7" applyNumberFormat="1" applyFont="1" applyFill="1" applyBorder="1" applyAlignment="1">
      <alignment horizontal="center" vertical="center"/>
    </xf>
    <xf numFmtId="0" fontId="11" fillId="0" borderId="1" xfId="0" applyFont="1" applyBorder="1" applyAlignment="1">
      <alignment vertical="center"/>
    </xf>
    <xf numFmtId="10" fontId="11" fillId="0" borderId="1" xfId="7" applyNumberFormat="1" applyFont="1" applyFill="1" applyBorder="1" applyAlignment="1">
      <alignment vertical="center"/>
    </xf>
    <xf numFmtId="0" fontId="11" fillId="0" borderId="0" xfId="0" applyFont="1" applyAlignment="1">
      <alignment vertical="center"/>
    </xf>
    <xf numFmtId="10" fontId="11" fillId="0" borderId="0" xfId="7" applyNumberFormat="1" applyFont="1" applyFill="1" applyAlignment="1">
      <alignment vertical="center"/>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42" fillId="0" borderId="4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1" fontId="34" fillId="0" borderId="28" xfId="0" applyNumberFormat="1" applyFont="1" applyBorder="1" applyAlignment="1">
      <alignment horizontal="center" vertical="center" wrapText="1"/>
    </xf>
    <xf numFmtId="1" fontId="34" fillId="0" borderId="3" xfId="0" applyNumberFormat="1" applyFont="1" applyBorder="1" applyAlignment="1">
      <alignment horizontal="center" vertical="center" wrapText="1"/>
    </xf>
    <xf numFmtId="0" fontId="33" fillId="0" borderId="28" xfId="0" applyFont="1" applyBorder="1" applyAlignment="1">
      <alignment horizontal="center" vertical="center" wrapText="1"/>
    </xf>
    <xf numFmtId="0" fontId="33" fillId="0" borderId="3" xfId="0" applyFont="1" applyBorder="1" applyAlignment="1">
      <alignment horizontal="center" vertical="center" wrapText="1"/>
    </xf>
    <xf numFmtId="1" fontId="34" fillId="0" borderId="4" xfId="0" applyNumberFormat="1" applyFont="1" applyBorder="1" applyAlignment="1">
      <alignment horizontal="center" vertical="center" wrapText="1"/>
    </xf>
    <xf numFmtId="0" fontId="23" fillId="0" borderId="1" xfId="0" applyFont="1" applyBorder="1" applyAlignment="1">
      <alignment horizontal="center" vertical="center"/>
    </xf>
    <xf numFmtId="10" fontId="34" fillId="0" borderId="28" xfId="7" applyNumberFormat="1" applyFont="1" applyFill="1" applyBorder="1" applyAlignment="1">
      <alignment horizontal="center" vertical="center" wrapText="1"/>
    </xf>
    <xf numFmtId="10" fontId="34" fillId="0" borderId="4" xfId="7" applyNumberFormat="1" applyFont="1" applyFill="1" applyBorder="1" applyAlignment="1">
      <alignment horizontal="center" vertical="center" wrapText="1"/>
    </xf>
    <xf numFmtId="10" fontId="34" fillId="0" borderId="3" xfId="7" applyNumberFormat="1"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6" borderId="28" xfId="0" applyFont="1" applyFill="1" applyBorder="1" applyAlignment="1">
      <alignment horizontal="center" vertical="center" wrapText="1"/>
    </xf>
    <xf numFmtId="0" fontId="24" fillId="0" borderId="1" xfId="0" applyFont="1" applyBorder="1" applyAlignment="1">
      <alignment horizontal="center" vertical="top" wrapText="1"/>
    </xf>
    <xf numFmtId="17" fontId="24" fillId="0" borderId="1" xfId="0" applyNumberFormat="1" applyFont="1" applyBorder="1" applyAlignment="1">
      <alignment horizontal="center" vertical="top" wrapText="1"/>
    </xf>
    <xf numFmtId="17" fontId="29" fillId="0" borderId="1" xfId="0" applyNumberFormat="1" applyFont="1" applyBorder="1" applyAlignment="1">
      <alignment horizontal="center" vertical="top" wrapText="1"/>
    </xf>
    <xf numFmtId="0" fontId="29" fillId="0" borderId="1" xfId="0" applyFont="1" applyBorder="1" applyAlignment="1">
      <alignment horizontal="center" vertical="top" wrapText="1"/>
    </xf>
    <xf numFmtId="17" fontId="29" fillId="0" borderId="28" xfId="0" applyNumberFormat="1" applyFont="1" applyBorder="1" applyAlignment="1">
      <alignment horizontal="center" vertical="top" wrapText="1"/>
    </xf>
    <xf numFmtId="17" fontId="29" fillId="0" borderId="4" xfId="0" applyNumberFormat="1" applyFont="1" applyBorder="1" applyAlignment="1">
      <alignment horizontal="center" vertical="top" wrapText="1"/>
    </xf>
    <xf numFmtId="17" fontId="29" fillId="0" borderId="3" xfId="0" applyNumberFormat="1" applyFont="1" applyBorder="1" applyAlignment="1">
      <alignment horizontal="center" vertical="top" wrapText="1"/>
    </xf>
    <xf numFmtId="0" fontId="30" fillId="0" borderId="59" xfId="0" applyFont="1" applyBorder="1" applyAlignment="1">
      <alignment horizontal="center" vertical="center" wrapText="1"/>
    </xf>
    <xf numFmtId="0" fontId="30" fillId="0" borderId="60" xfId="0" applyFont="1" applyBorder="1" applyAlignment="1">
      <alignment horizontal="center" vertical="center" wrapText="1"/>
    </xf>
    <xf numFmtId="0" fontId="24" fillId="0" borderId="59" xfId="0" applyFont="1" applyBorder="1" applyAlignment="1">
      <alignment horizontal="center" vertical="top" wrapText="1"/>
    </xf>
    <xf numFmtId="0" fontId="24" fillId="0" borderId="60" xfId="0" applyFont="1" applyBorder="1" applyAlignment="1">
      <alignment horizontal="center" vertical="top" wrapText="1"/>
    </xf>
    <xf numFmtId="0" fontId="24" fillId="0" borderId="28"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8" xfId="0" applyFont="1" applyBorder="1" applyAlignment="1">
      <alignment horizontal="center" vertical="top" wrapText="1"/>
    </xf>
    <xf numFmtId="0" fontId="24" fillId="0" borderId="3" xfId="0" applyFont="1" applyBorder="1" applyAlignment="1">
      <alignment horizontal="center" vertical="top" wrapText="1"/>
    </xf>
    <xf numFmtId="0" fontId="29" fillId="0" borderId="28" xfId="0" applyFont="1" applyBorder="1" applyAlignment="1">
      <alignment horizontal="center" vertical="top" wrapText="1"/>
    </xf>
    <xf numFmtId="0" fontId="29" fillId="0" borderId="3" xfId="0" applyFont="1" applyBorder="1" applyAlignment="1">
      <alignment horizontal="center" vertical="top" wrapText="1"/>
    </xf>
    <xf numFmtId="0" fontId="29" fillId="0" borderId="28" xfId="0" applyFont="1" applyBorder="1" applyAlignment="1">
      <alignment horizontal="center" vertical="center" wrapText="1"/>
    </xf>
    <xf numFmtId="0" fontId="29" fillId="0" borderId="3"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60"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8" xfId="0" applyFont="1" applyBorder="1" applyAlignment="1">
      <alignment horizontal="center" vertical="center" wrapText="1"/>
    </xf>
    <xf numFmtId="165" fontId="24" fillId="0" borderId="53" xfId="0" applyNumberFormat="1" applyFont="1" applyBorder="1" applyAlignment="1">
      <alignment horizontal="center" vertical="top"/>
    </xf>
    <xf numFmtId="165" fontId="24" fillId="0" borderId="54" xfId="0" applyNumberFormat="1" applyFont="1" applyBorder="1" applyAlignment="1">
      <alignment horizontal="center" vertical="top"/>
    </xf>
    <xf numFmtId="1" fontId="24" fillId="0" borderId="28" xfId="0" applyNumberFormat="1" applyFont="1" applyBorder="1" applyAlignment="1">
      <alignment horizontal="center" vertical="center"/>
    </xf>
    <xf numFmtId="1" fontId="24" fillId="0" borderId="3" xfId="0" applyNumberFormat="1" applyFont="1" applyBorder="1" applyAlignment="1">
      <alignment horizontal="center" vertical="center"/>
    </xf>
    <xf numFmtId="0" fontId="26" fillId="6" borderId="1" xfId="0" applyFont="1" applyFill="1" applyBorder="1" applyAlignment="1">
      <alignment horizontal="center" vertical="center" wrapText="1"/>
    </xf>
    <xf numFmtId="0" fontId="29" fillId="0" borderId="28" xfId="0" applyFont="1" applyBorder="1" applyAlignment="1">
      <alignment horizontal="center" vertical="top"/>
    </xf>
    <xf numFmtId="0" fontId="29" fillId="0" borderId="3" xfId="0" applyFont="1" applyBorder="1" applyAlignment="1">
      <alignment horizontal="center" vertical="top"/>
    </xf>
    <xf numFmtId="0" fontId="30" fillId="0" borderId="28" xfId="0" applyFont="1" applyBorder="1" applyAlignment="1">
      <alignment horizontal="center" vertical="top" wrapText="1"/>
    </xf>
    <xf numFmtId="0" fontId="30" fillId="0" borderId="3" xfId="0" applyFont="1" applyBorder="1" applyAlignment="1">
      <alignment horizontal="center" vertical="top" wrapText="1"/>
    </xf>
    <xf numFmtId="0" fontId="29" fillId="0" borderId="4" xfId="0" applyFont="1" applyBorder="1" applyAlignment="1">
      <alignment horizontal="center" vertical="top" wrapText="1"/>
    </xf>
    <xf numFmtId="10" fontId="34" fillId="0" borderId="28" xfId="7" applyNumberFormat="1" applyFont="1" applyBorder="1" applyAlignment="1">
      <alignment horizontal="center" vertical="center" wrapText="1"/>
    </xf>
    <xf numFmtId="10" fontId="34" fillId="0" borderId="3" xfId="7" applyNumberFormat="1" applyFont="1" applyBorder="1" applyAlignment="1">
      <alignment horizontal="center" vertical="center" wrapText="1"/>
    </xf>
    <xf numFmtId="10" fontId="34" fillId="0" borderId="4" xfId="7" applyNumberFormat="1" applyFont="1" applyBorder="1" applyAlignment="1">
      <alignment horizontal="center" vertical="center" wrapText="1"/>
    </xf>
    <xf numFmtId="0" fontId="30" fillId="0" borderId="1" xfId="0" applyFont="1" applyBorder="1" applyAlignment="1">
      <alignment horizontal="center" vertical="top" wrapText="1"/>
    </xf>
    <xf numFmtId="0" fontId="24" fillId="0" borderId="28" xfId="0" applyFont="1" applyBorder="1" applyAlignment="1">
      <alignment horizontal="center" vertical="center"/>
    </xf>
    <xf numFmtId="0" fontId="24" fillId="0" borderId="4" xfId="0" applyFont="1" applyBorder="1" applyAlignment="1">
      <alignment horizontal="center" vertical="center"/>
    </xf>
    <xf numFmtId="0" fontId="29" fillId="0" borderId="4" xfId="0" applyFont="1" applyBorder="1" applyAlignment="1">
      <alignment horizontal="center" vertical="center" wrapText="1"/>
    </xf>
    <xf numFmtId="0" fontId="24" fillId="0" borderId="3" xfId="0" applyFont="1" applyBorder="1" applyAlignment="1">
      <alignment horizontal="center" vertical="center"/>
    </xf>
    <xf numFmtId="0" fontId="23" fillId="0" borderId="1" xfId="0" applyFont="1" applyBorder="1" applyAlignment="1">
      <alignment horizontal="center" vertical="center" wrapText="1"/>
    </xf>
    <xf numFmtId="0" fontId="29" fillId="0" borderId="10" xfId="0" applyFont="1" applyBorder="1" applyAlignment="1">
      <alignment horizontal="center" vertical="top" wrapText="1"/>
    </xf>
    <xf numFmtId="0" fontId="29" fillId="0" borderId="11" xfId="0" applyFont="1" applyBorder="1" applyAlignment="1">
      <alignment horizontal="center" vertical="top" wrapText="1"/>
    </xf>
    <xf numFmtId="0" fontId="29" fillId="0" borderId="12" xfId="0" applyFont="1" applyBorder="1" applyAlignment="1">
      <alignment horizontal="center" vertical="top" wrapText="1"/>
    </xf>
    <xf numFmtId="0" fontId="30" fillId="0" borderId="4" xfId="0" applyFont="1" applyBorder="1" applyAlignment="1">
      <alignment horizontal="center" vertical="top" wrapText="1"/>
    </xf>
    <xf numFmtId="0" fontId="24" fillId="0" borderId="1" xfId="0" applyFont="1" applyBorder="1" applyAlignment="1">
      <alignment horizontal="center" vertical="center"/>
    </xf>
    <xf numFmtId="0" fontId="24" fillId="0" borderId="29"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31" xfId="0" applyFont="1" applyBorder="1" applyAlignment="1">
      <alignment horizontal="center" vertical="center"/>
    </xf>
    <xf numFmtId="0" fontId="24" fillId="0" borderId="5" xfId="0" applyFont="1" applyBorder="1" applyAlignment="1">
      <alignment horizontal="center" vertical="center"/>
    </xf>
    <xf numFmtId="0" fontId="24" fillId="0" borderId="30" xfId="0" applyFont="1" applyBorder="1" applyAlignment="1">
      <alignment horizontal="center" vertical="center"/>
    </xf>
    <xf numFmtId="0" fontId="26" fillId="0" borderId="1" xfId="0" applyFont="1" applyBorder="1" applyAlignment="1">
      <alignment horizontal="center" vertical="center" wrapText="1"/>
    </xf>
    <xf numFmtId="10" fontId="33" fillId="0" borderId="28" xfId="7" applyNumberFormat="1" applyFont="1" applyFill="1" applyBorder="1" applyAlignment="1">
      <alignment horizontal="center" vertical="center" wrapText="1"/>
    </xf>
    <xf numFmtId="10" fontId="33" fillId="0" borderId="3" xfId="7" applyNumberFormat="1" applyFont="1" applyFill="1" applyBorder="1" applyAlignment="1">
      <alignment horizontal="center" vertical="center" wrapText="1"/>
    </xf>
    <xf numFmtId="1" fontId="24" fillId="0" borderId="4" xfId="0" applyNumberFormat="1" applyFont="1" applyBorder="1" applyAlignment="1">
      <alignment horizontal="center" vertical="center"/>
    </xf>
    <xf numFmtId="17" fontId="29" fillId="0" borderId="10" xfId="0" applyNumberFormat="1" applyFont="1" applyBorder="1" applyAlignment="1">
      <alignment horizontal="center" vertical="top" wrapText="1"/>
    </xf>
    <xf numFmtId="44" fontId="29" fillId="0" borderId="28" xfId="5" applyFont="1" applyBorder="1" applyAlignment="1">
      <alignment horizontal="center" vertical="top" wrapText="1"/>
    </xf>
    <xf numFmtId="44" fontId="29" fillId="0" borderId="4" xfId="5" applyFont="1" applyBorder="1" applyAlignment="1">
      <alignment horizontal="center" vertical="top" wrapText="1"/>
    </xf>
    <xf numFmtId="44" fontId="29" fillId="0" borderId="3" xfId="5" applyFont="1" applyBorder="1" applyAlignment="1">
      <alignment horizontal="center" vertical="top" wrapText="1"/>
    </xf>
    <xf numFmtId="0" fontId="27" fillId="0" borderId="4" xfId="0" applyFont="1" applyBorder="1" applyAlignment="1">
      <alignment horizontal="center" vertical="center" wrapText="1"/>
    </xf>
    <xf numFmtId="6" fontId="29" fillId="0" borderId="1" xfId="0" applyNumberFormat="1" applyFont="1" applyBorder="1" applyAlignment="1">
      <alignment horizontal="center" vertical="top" wrapText="1"/>
    </xf>
    <xf numFmtId="6" fontId="29" fillId="0" borderId="10" xfId="0" applyNumberFormat="1" applyFont="1" applyBorder="1" applyAlignment="1">
      <alignment horizontal="center" vertical="top" wrapText="1"/>
    </xf>
    <xf numFmtId="0" fontId="24" fillId="0" borderId="1" xfId="0" applyFont="1" applyBorder="1"/>
    <xf numFmtId="0" fontId="26" fillId="6" borderId="28" xfId="0" applyFont="1" applyFill="1" applyBorder="1" applyAlignment="1">
      <alignment horizontal="center" vertical="center" wrapText="1"/>
    </xf>
    <xf numFmtId="165" fontId="24" fillId="0" borderId="28" xfId="0" applyNumberFormat="1" applyFont="1" applyBorder="1" applyAlignment="1">
      <alignment horizontal="center" vertical="top"/>
    </xf>
    <xf numFmtId="165" fontId="24" fillId="0" borderId="3" xfId="0" applyNumberFormat="1" applyFont="1" applyBorder="1" applyAlignment="1">
      <alignment horizontal="center" vertical="top"/>
    </xf>
    <xf numFmtId="165" fontId="24" fillId="0" borderId="35" xfId="0" applyNumberFormat="1" applyFont="1" applyBorder="1" applyAlignment="1">
      <alignment horizontal="center" vertical="top"/>
    </xf>
    <xf numFmtId="165" fontId="24" fillId="0" borderId="39" xfId="0" applyNumberFormat="1" applyFont="1" applyBorder="1" applyAlignment="1">
      <alignment horizontal="center" vertical="top"/>
    </xf>
    <xf numFmtId="17" fontId="24" fillId="0" borderId="10" xfId="0" applyNumberFormat="1" applyFont="1" applyBorder="1" applyAlignment="1">
      <alignment horizontal="center" vertical="top" wrapText="1"/>
    </xf>
    <xf numFmtId="0" fontId="24" fillId="0" borderId="10" xfId="0" applyFont="1" applyBorder="1" applyAlignment="1">
      <alignment horizontal="center" vertical="top" wrapText="1"/>
    </xf>
    <xf numFmtId="0" fontId="24" fillId="0" borderId="28" xfId="0" applyFont="1" applyBorder="1" applyAlignment="1">
      <alignment vertical="top"/>
    </xf>
    <xf numFmtId="0" fontId="24" fillId="0" borderId="4" xfId="0" applyFont="1" applyBorder="1" applyAlignment="1">
      <alignment vertical="top"/>
    </xf>
    <xf numFmtId="0" fontId="24" fillId="0" borderId="3" xfId="0" applyFont="1" applyBorder="1" applyAlignment="1">
      <alignment vertical="top"/>
    </xf>
    <xf numFmtId="44" fontId="29" fillId="0" borderId="1" xfId="5" applyFont="1" applyFill="1" applyBorder="1" applyAlignment="1">
      <alignment horizontal="center" vertical="top" wrapText="1"/>
    </xf>
    <xf numFmtId="44" fontId="29" fillId="0" borderId="10" xfId="5" applyFont="1" applyFill="1" applyBorder="1" applyAlignment="1">
      <alignment horizontal="center" vertical="top" wrapText="1"/>
    </xf>
    <xf numFmtId="0" fontId="27" fillId="0" borderId="1" xfId="0" applyFont="1" applyBorder="1" applyAlignment="1">
      <alignment horizontal="center" vertical="center" wrapText="1"/>
    </xf>
    <xf numFmtId="0" fontId="27" fillId="0" borderId="3" xfId="0" applyFont="1" applyBorder="1" applyAlignment="1">
      <alignment horizontal="center" vertical="center" wrapText="1"/>
    </xf>
    <xf numFmtId="0" fontId="30" fillId="0" borderId="1" xfId="0" applyFont="1" applyBorder="1" applyAlignment="1">
      <alignment horizontal="center" vertical="top"/>
    </xf>
    <xf numFmtId="0" fontId="30" fillId="0" borderId="28" xfId="0" applyFont="1" applyBorder="1" applyAlignment="1">
      <alignment horizontal="center" vertical="top"/>
    </xf>
    <xf numFmtId="9" fontId="29" fillId="0" borderId="1" xfId="0" applyNumberFormat="1" applyFont="1" applyBorder="1" applyAlignment="1">
      <alignment horizontal="center" vertical="top" wrapText="1"/>
    </xf>
    <xf numFmtId="0" fontId="34" fillId="0" borderId="1" xfId="0" applyFont="1" applyBorder="1" applyAlignment="1">
      <alignment horizontal="center" vertical="center" wrapText="1"/>
    </xf>
    <xf numFmtId="10" fontId="34" fillId="0" borderId="1" xfId="7" applyNumberFormat="1" applyFont="1" applyBorder="1" applyAlignment="1">
      <alignment horizontal="center" vertical="center" wrapText="1"/>
    </xf>
    <xf numFmtId="0" fontId="34" fillId="0" borderId="28"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0" fontId="30" fillId="0" borderId="29" xfId="0" applyFont="1" applyBorder="1" applyAlignment="1">
      <alignment horizontal="center" vertical="top" wrapText="1"/>
    </xf>
    <xf numFmtId="0" fontId="30" fillId="0" borderId="5" xfId="0" applyFont="1" applyBorder="1" applyAlignment="1">
      <alignment horizontal="center" vertical="top" wrapText="1"/>
    </xf>
    <xf numFmtId="9" fontId="29" fillId="0" borderId="28" xfId="0" applyNumberFormat="1" applyFont="1" applyBorder="1" applyAlignment="1">
      <alignment horizontal="center" vertical="top" wrapText="1"/>
    </xf>
    <xf numFmtId="9" fontId="29" fillId="0" borderId="4" xfId="0" applyNumberFormat="1" applyFont="1" applyBorder="1" applyAlignment="1">
      <alignment horizontal="center" vertical="top" wrapText="1"/>
    </xf>
    <xf numFmtId="9" fontId="29" fillId="0" borderId="3" xfId="0" applyNumberFormat="1" applyFont="1" applyBorder="1" applyAlignment="1">
      <alignment horizontal="center" vertical="top" wrapText="1"/>
    </xf>
    <xf numFmtId="0" fontId="29" fillId="0" borderId="28" xfId="0" applyFont="1" applyBorder="1" applyAlignment="1">
      <alignment vertical="top" wrapText="1"/>
    </xf>
    <xf numFmtId="0" fontId="29" fillId="0" borderId="3" xfId="0" applyFont="1" applyBorder="1" applyAlignment="1">
      <alignment vertical="top" wrapText="1"/>
    </xf>
    <xf numFmtId="0" fontId="29" fillId="0" borderId="1" xfId="0" applyFont="1" applyBorder="1" applyAlignment="1">
      <alignment vertical="top" wrapText="1"/>
    </xf>
    <xf numFmtId="0" fontId="25" fillId="5" borderId="1"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5" fillId="3" borderId="24"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5" fillId="0" borderId="1" xfId="0" applyFont="1" applyBorder="1" applyAlignment="1">
      <alignment horizontal="center" wrapText="1"/>
    </xf>
    <xf numFmtId="0" fontId="25"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5" fillId="3" borderId="25"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164" fontId="28" fillId="0" borderId="28" xfId="0" applyNumberFormat="1" applyFont="1" applyBorder="1" applyAlignment="1">
      <alignment horizontal="center" vertical="top" wrapText="1"/>
    </xf>
    <xf numFmtId="164" fontId="28" fillId="0" borderId="4" xfId="0" applyNumberFormat="1" applyFont="1" applyBorder="1" applyAlignment="1">
      <alignment horizontal="center" vertical="top" wrapText="1"/>
    </xf>
    <xf numFmtId="9" fontId="30" fillId="0" borderId="1" xfId="0" applyNumberFormat="1" applyFont="1" applyBorder="1" applyAlignment="1">
      <alignment horizontal="center" vertical="top" wrapText="1"/>
    </xf>
    <xf numFmtId="164" fontId="28" fillId="0" borderId="1" xfId="0" applyNumberFormat="1" applyFont="1" applyBorder="1" applyAlignment="1">
      <alignment horizontal="center" vertical="top" wrapText="1"/>
    </xf>
    <xf numFmtId="0" fontId="29" fillId="0" borderId="1" xfId="0" applyFont="1" applyBorder="1" applyAlignment="1">
      <alignment horizontal="center" vertical="top"/>
    </xf>
    <xf numFmtId="2" fontId="24" fillId="0" borderId="28" xfId="0" applyNumberFormat="1" applyFont="1" applyBorder="1" applyAlignment="1">
      <alignment horizontal="center" vertical="top" wrapText="1"/>
    </xf>
    <xf numFmtId="2" fontId="24" fillId="0" borderId="3" xfId="0" applyNumberFormat="1" applyFont="1" applyBorder="1" applyAlignment="1">
      <alignment horizontal="center" vertical="top" wrapText="1"/>
    </xf>
    <xf numFmtId="165" fontId="34" fillId="0" borderId="1" xfId="0" applyNumberFormat="1" applyFont="1" applyBorder="1" applyAlignment="1">
      <alignment horizontal="center" vertical="top"/>
    </xf>
    <xf numFmtId="10" fontId="34" fillId="0" borderId="1" xfId="7" applyNumberFormat="1" applyFont="1" applyBorder="1" applyAlignment="1">
      <alignment horizontal="center" vertical="top"/>
    </xf>
    <xf numFmtId="0" fontId="24" fillId="0" borderId="1"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3" xfId="0" applyFont="1" applyBorder="1" applyAlignment="1">
      <alignment horizontal="center" vertical="center" wrapText="1"/>
    </xf>
    <xf numFmtId="10" fontId="35" fillId="0" borderId="28" xfId="7" applyNumberFormat="1" applyFont="1" applyFill="1" applyBorder="1" applyAlignment="1">
      <alignment horizontal="center" vertical="center" wrapText="1"/>
    </xf>
    <xf numFmtId="10" fontId="35" fillId="0" borderId="3" xfId="7" applyNumberFormat="1" applyFont="1" applyFill="1" applyBorder="1" applyAlignment="1">
      <alignment horizontal="center" vertical="center" wrapText="1"/>
    </xf>
    <xf numFmtId="0" fontId="34" fillId="0" borderId="1" xfId="0" applyFont="1" applyBorder="1" applyAlignment="1">
      <alignment horizontal="center" vertical="center"/>
    </xf>
    <xf numFmtId="10" fontId="34" fillId="0" borderId="1" xfId="7" applyNumberFormat="1" applyFont="1" applyBorder="1" applyAlignment="1">
      <alignment horizontal="center" vertical="center"/>
    </xf>
    <xf numFmtId="0" fontId="24" fillId="0" borderId="1" xfId="0" applyFont="1" applyBorder="1" applyAlignment="1">
      <alignment vertical="top" wrapText="1"/>
    </xf>
    <xf numFmtId="165" fontId="24" fillId="0" borderId="1" xfId="0" applyNumberFormat="1" applyFont="1" applyBorder="1" applyAlignment="1">
      <alignment horizontal="center" vertical="top"/>
    </xf>
    <xf numFmtId="165" fontId="34" fillId="0" borderId="28" xfId="0" applyNumberFormat="1" applyFont="1" applyBorder="1" applyAlignment="1">
      <alignment horizontal="center" vertical="top"/>
    </xf>
    <xf numFmtId="165" fontId="34" fillId="0" borderId="4" xfId="0" applyNumberFormat="1" applyFont="1" applyBorder="1" applyAlignment="1">
      <alignment horizontal="center" vertical="top"/>
    </xf>
    <xf numFmtId="165" fontId="34" fillId="0" borderId="3" xfId="0" applyNumberFormat="1" applyFont="1" applyBorder="1" applyAlignment="1">
      <alignment horizontal="center" vertical="top"/>
    </xf>
    <xf numFmtId="10" fontId="34" fillId="0" borderId="28" xfId="7" applyNumberFormat="1" applyFont="1" applyBorder="1" applyAlignment="1">
      <alignment horizontal="center" vertical="top"/>
    </xf>
    <xf numFmtId="10" fontId="34" fillId="0" borderId="4" xfId="7" applyNumberFormat="1" applyFont="1" applyBorder="1" applyAlignment="1">
      <alignment horizontal="center" vertical="top"/>
    </xf>
    <xf numFmtId="10" fontId="34" fillId="0" borderId="3" xfId="7" applyNumberFormat="1" applyFont="1" applyBorder="1" applyAlignment="1">
      <alignment horizontal="center" vertical="top"/>
    </xf>
    <xf numFmtId="165" fontId="24" fillId="0" borderId="61" xfId="0" applyNumberFormat="1" applyFont="1" applyBorder="1" applyAlignment="1">
      <alignment horizontal="center" vertical="center"/>
    </xf>
    <xf numFmtId="165" fontId="24" fillId="0" borderId="62" xfId="0" applyNumberFormat="1" applyFont="1" applyBorder="1" applyAlignment="1">
      <alignment horizontal="center" vertical="center"/>
    </xf>
    <xf numFmtId="0" fontId="33" fillId="6" borderId="29" xfId="0" applyFont="1" applyFill="1" applyBorder="1" applyAlignment="1">
      <alignment horizontal="center" vertical="center" wrapText="1"/>
    </xf>
    <xf numFmtId="0" fontId="33" fillId="6" borderId="5" xfId="0" applyFont="1" applyFill="1" applyBorder="1" applyAlignment="1">
      <alignment horizontal="center" vertical="center" wrapText="1"/>
    </xf>
    <xf numFmtId="0" fontId="24" fillId="0" borderId="10"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165" fontId="24" fillId="0" borderId="9" xfId="0" applyNumberFormat="1" applyFont="1" applyBorder="1" applyAlignment="1">
      <alignment horizontal="center" vertical="top"/>
    </xf>
    <xf numFmtId="165" fontId="24" fillId="0" borderId="31" xfId="0" applyNumberFormat="1" applyFont="1" applyBorder="1" applyAlignment="1">
      <alignment horizontal="center" vertical="top"/>
    </xf>
    <xf numFmtId="165" fontId="24" fillId="0" borderId="30" xfId="0" applyNumberFormat="1" applyFont="1" applyBorder="1" applyAlignment="1">
      <alignment horizontal="center" vertical="top"/>
    </xf>
    <xf numFmtId="165" fontId="40" fillId="0" borderId="28" xfId="0" applyNumberFormat="1" applyFont="1" applyBorder="1" applyAlignment="1">
      <alignment horizontal="center" vertical="top"/>
    </xf>
    <xf numFmtId="165" fontId="40" fillId="0" borderId="4" xfId="0" applyNumberFormat="1" applyFont="1" applyBorder="1" applyAlignment="1">
      <alignment horizontal="center" vertical="top"/>
    </xf>
    <xf numFmtId="165" fontId="40" fillId="0" borderId="3" xfId="0" applyNumberFormat="1" applyFont="1" applyBorder="1" applyAlignment="1">
      <alignment horizontal="center" vertical="top"/>
    </xf>
    <xf numFmtId="10" fontId="40" fillId="0" borderId="28" xfId="7" applyNumberFormat="1" applyFont="1" applyBorder="1" applyAlignment="1">
      <alignment horizontal="center" vertical="top"/>
    </xf>
    <xf numFmtId="10" fontId="40" fillId="0" borderId="4" xfId="7" applyNumberFormat="1" applyFont="1" applyBorder="1" applyAlignment="1">
      <alignment horizontal="center" vertical="top"/>
    </xf>
    <xf numFmtId="10" fontId="40" fillId="0" borderId="3" xfId="7" applyNumberFormat="1" applyFont="1" applyBorder="1" applyAlignment="1">
      <alignment horizontal="center" vertical="top"/>
    </xf>
    <xf numFmtId="44" fontId="30" fillId="0" borderId="1" xfId="5" applyFont="1" applyBorder="1" applyAlignment="1">
      <alignment horizontal="center" vertical="top" wrapText="1"/>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6" fontId="34" fillId="0" borderId="28" xfId="0" applyNumberFormat="1" applyFont="1" applyBorder="1" applyAlignment="1">
      <alignment horizontal="center" vertical="top" wrapText="1"/>
    </xf>
    <xf numFmtId="6" fontId="34" fillId="0" borderId="4" xfId="0" applyNumberFormat="1" applyFont="1" applyBorder="1" applyAlignment="1">
      <alignment horizontal="center" vertical="top" wrapText="1"/>
    </xf>
    <xf numFmtId="6" fontId="34" fillId="0" borderId="3" xfId="0" applyNumberFormat="1" applyFont="1" applyBorder="1" applyAlignment="1">
      <alignment horizontal="center" vertical="top" wrapText="1"/>
    </xf>
    <xf numFmtId="10" fontId="34" fillId="0" borderId="28" xfId="7" applyNumberFormat="1" applyFont="1" applyBorder="1" applyAlignment="1">
      <alignment horizontal="center" vertical="top" wrapText="1"/>
    </xf>
    <xf numFmtId="10" fontId="34" fillId="0" borderId="4" xfId="7" applyNumberFormat="1" applyFont="1" applyBorder="1" applyAlignment="1">
      <alignment horizontal="center" vertical="top" wrapText="1"/>
    </xf>
    <xf numFmtId="10" fontId="34" fillId="0" borderId="3" xfId="7" applyNumberFormat="1" applyFont="1" applyBorder="1" applyAlignment="1">
      <alignment horizontal="center" vertical="top" wrapText="1"/>
    </xf>
    <xf numFmtId="6" fontId="29" fillId="0" borderId="9" xfId="0" applyNumberFormat="1" applyFont="1" applyBorder="1" applyAlignment="1">
      <alignment horizontal="center" vertical="top" wrapText="1"/>
    </xf>
    <xf numFmtId="6" fontId="29" fillId="0" borderId="63" xfId="0" applyNumberFormat="1" applyFont="1" applyBorder="1" applyAlignment="1">
      <alignment horizontal="center" vertical="top" wrapText="1"/>
    </xf>
    <xf numFmtId="6" fontId="29" fillId="0" borderId="31" xfId="0" applyNumberFormat="1" applyFont="1" applyBorder="1" applyAlignment="1">
      <alignment horizontal="center" vertical="top" wrapText="1"/>
    </xf>
    <xf numFmtId="6" fontId="29" fillId="0" borderId="30" xfId="0" applyNumberFormat="1" applyFont="1" applyBorder="1" applyAlignment="1">
      <alignment horizontal="center" vertical="top" wrapText="1"/>
    </xf>
    <xf numFmtId="6" fontId="34" fillId="0" borderId="1" xfId="0" applyNumberFormat="1" applyFont="1" applyBorder="1" applyAlignment="1">
      <alignment horizontal="center" vertical="top"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8" xfId="0" applyFont="1" applyBorder="1" applyAlignment="1">
      <alignment horizontal="center" vertical="center" wrapText="1"/>
    </xf>
    <xf numFmtId="0" fontId="41" fillId="0" borderId="42"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33" fillId="0" borderId="1" xfId="0" applyFont="1" applyBorder="1" applyAlignment="1">
      <alignment horizontal="center" vertical="center" wrapText="1"/>
    </xf>
    <xf numFmtId="0" fontId="38" fillId="0" borderId="1" xfId="0" applyFont="1" applyBorder="1" applyAlignment="1">
      <alignment horizontal="center" vertical="center" wrapText="1"/>
    </xf>
    <xf numFmtId="10" fontId="29" fillId="0" borderId="1" xfId="7" applyNumberFormat="1" applyFont="1" applyBorder="1" applyAlignment="1">
      <alignment horizontal="center" vertical="top" wrapText="1"/>
    </xf>
    <xf numFmtId="0" fontId="37" fillId="6" borderId="1" xfId="0" applyFont="1" applyFill="1" applyBorder="1" applyAlignment="1">
      <alignment horizontal="center" vertical="center" wrapText="1"/>
    </xf>
    <xf numFmtId="0" fontId="37" fillId="6" borderId="28" xfId="0" applyFont="1" applyFill="1" applyBorder="1" applyAlignment="1">
      <alignment horizontal="center" vertical="center" wrapText="1"/>
    </xf>
    <xf numFmtId="10" fontId="37" fillId="6" borderId="1" xfId="7" applyNumberFormat="1" applyFont="1" applyFill="1" applyBorder="1" applyAlignment="1">
      <alignment horizontal="center" vertical="center" wrapText="1"/>
    </xf>
    <xf numFmtId="10" fontId="37" fillId="6" borderId="28" xfId="7" applyNumberFormat="1" applyFont="1" applyFill="1" applyBorder="1" applyAlignment="1">
      <alignment horizontal="center" vertical="center" wrapText="1"/>
    </xf>
    <xf numFmtId="0" fontId="24" fillId="0" borderId="4" xfId="0" applyFont="1" applyBorder="1" applyAlignment="1">
      <alignment horizontal="center" vertical="top" wrapText="1"/>
    </xf>
    <xf numFmtId="0" fontId="25" fillId="6" borderId="4"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25" fillId="0" borderId="4"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 xfId="0" applyFont="1" applyBorder="1" applyAlignment="1">
      <alignment horizontal="center" vertical="center" wrapText="1"/>
    </xf>
    <xf numFmtId="0" fontId="25" fillId="5" borderId="27"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7" fillId="6" borderId="4" xfId="0" applyFont="1" applyFill="1" applyBorder="1" applyAlignment="1">
      <alignment horizontal="center" vertical="center" wrapText="1"/>
    </xf>
    <xf numFmtId="0" fontId="26" fillId="6" borderId="40"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4" fillId="0" borderId="28" xfId="0" applyFont="1" applyBorder="1" applyAlignment="1">
      <alignment horizontal="justify" vertical="top" wrapText="1"/>
    </xf>
    <xf numFmtId="0" fontId="24" fillId="0" borderId="4" xfId="0" applyFont="1" applyBorder="1" applyAlignment="1">
      <alignment horizontal="justify" vertical="top" wrapText="1"/>
    </xf>
    <xf numFmtId="0" fontId="24" fillId="0" borderId="3" xfId="0" applyFont="1" applyBorder="1" applyAlignment="1">
      <alignment horizontal="justify" vertical="top" wrapText="1"/>
    </xf>
    <xf numFmtId="0" fontId="24" fillId="0" borderId="28" xfId="0" applyFont="1" applyBorder="1" applyAlignment="1">
      <alignment vertical="top" wrapText="1"/>
    </xf>
    <xf numFmtId="0" fontId="24" fillId="0" borderId="4" xfId="0" applyFont="1" applyBorder="1" applyAlignment="1">
      <alignment vertical="top" wrapText="1"/>
    </xf>
    <xf numFmtId="0" fontId="24" fillId="0" borderId="3" xfId="0" applyFont="1" applyBorder="1" applyAlignment="1">
      <alignment vertical="top" wrapText="1"/>
    </xf>
    <xf numFmtId="0" fontId="1" fillId="0" borderId="2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8"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24"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8" xfId="0" applyFont="1" applyBorder="1" applyAlignment="1">
      <alignment horizontal="center" vertical="center" wrapText="1"/>
    </xf>
    <xf numFmtId="0" fontId="25"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35" fillId="6" borderId="29" xfId="0" applyFont="1" applyFill="1" applyBorder="1" applyAlignment="1">
      <alignment horizontal="center" vertical="center" wrapText="1"/>
    </xf>
    <xf numFmtId="0" fontId="35" fillId="6" borderId="5" xfId="0" applyFont="1" applyFill="1" applyBorder="1" applyAlignment="1">
      <alignment horizontal="center" vertical="center" wrapText="1"/>
    </xf>
    <xf numFmtId="44" fontId="34" fillId="0" borderId="28" xfId="5" applyFont="1" applyFill="1" applyBorder="1" applyAlignment="1">
      <alignment horizontal="center" vertical="top" wrapText="1"/>
    </xf>
    <xf numFmtId="44" fontId="34" fillId="0" borderId="3" xfId="5" applyFont="1" applyFill="1" applyBorder="1" applyAlignment="1">
      <alignment horizontal="center" vertical="top" wrapText="1"/>
    </xf>
    <xf numFmtId="10" fontId="34" fillId="0" borderId="28" xfId="7" applyNumberFormat="1" applyFont="1" applyFill="1" applyBorder="1" applyAlignment="1">
      <alignment horizontal="center" vertical="top" wrapText="1"/>
    </xf>
    <xf numFmtId="10" fontId="34" fillId="0" borderId="3" xfId="7" applyNumberFormat="1" applyFont="1" applyFill="1" applyBorder="1" applyAlignment="1">
      <alignment horizontal="center" vertical="top" wrapText="1"/>
    </xf>
    <xf numFmtId="44" fontId="34" fillId="0" borderId="4" xfId="5" applyFont="1" applyFill="1" applyBorder="1" applyAlignment="1">
      <alignment horizontal="center" vertical="top" wrapText="1"/>
    </xf>
    <xf numFmtId="10" fontId="34" fillId="0" borderId="4" xfId="7" applyNumberFormat="1" applyFont="1" applyFill="1" applyBorder="1" applyAlignment="1">
      <alignment horizontal="center" vertical="top" wrapText="1"/>
    </xf>
    <xf numFmtId="0" fontId="33" fillId="0" borderId="4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50" xfId="0" applyFont="1" applyBorder="1" applyAlignment="1">
      <alignment horizontal="center"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20" fillId="0" borderId="1" xfId="0" applyFont="1" applyBorder="1" applyAlignment="1">
      <alignment horizontal="left"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1" xfId="0" applyBorder="1" applyAlignment="1">
      <alignment horizontal="center" vertical="center"/>
    </xf>
    <xf numFmtId="0" fontId="3"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18" fillId="0" borderId="1" xfId="0" applyFont="1" applyBorder="1" applyAlignment="1">
      <alignment horizontal="center" vertical="center"/>
    </xf>
    <xf numFmtId="0" fontId="0" fillId="0" borderId="8" xfId="0" applyBorder="1" applyAlignment="1">
      <alignment horizontal="center"/>
    </xf>
    <xf numFmtId="0" fontId="16" fillId="0" borderId="1" xfId="0" applyFont="1" applyBorder="1" applyAlignment="1">
      <alignment horizontal="center" vertical="center" wrapText="1"/>
    </xf>
    <xf numFmtId="0" fontId="5" fillId="0" borderId="1" xfId="0" applyFont="1" applyBorder="1" applyAlignment="1">
      <alignment vertical="center" wrapText="1"/>
    </xf>
    <xf numFmtId="0" fontId="17" fillId="0" borderId="0" xfId="0" applyFont="1" applyAlignment="1">
      <alignment horizontal="center" vertical="center"/>
    </xf>
    <xf numFmtId="0" fontId="3" fillId="0" borderId="1" xfId="0" applyFont="1" applyBorder="1" applyAlignment="1">
      <alignment horizontal="left" vertical="center" wrapText="1"/>
    </xf>
    <xf numFmtId="0" fontId="15" fillId="4" borderId="16" xfId="4" applyFont="1" applyFill="1" applyBorder="1" applyAlignment="1">
      <alignment horizontal="center" vertical="center"/>
    </xf>
    <xf numFmtId="0" fontId="15" fillId="4" borderId="17" xfId="4" applyFont="1" applyFill="1" applyBorder="1" applyAlignment="1">
      <alignment horizontal="center" vertical="center"/>
    </xf>
    <xf numFmtId="0" fontId="15" fillId="4" borderId="13"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10" xfId="4" applyFont="1" applyBorder="1" applyAlignment="1">
      <alignment horizontal="center" vertical="center" wrapText="1"/>
    </xf>
    <xf numFmtId="0" fontId="14" fillId="0" borderId="11" xfId="4" applyFont="1" applyBorder="1" applyAlignment="1">
      <alignment horizontal="center" vertical="center" wrapText="1"/>
    </xf>
    <xf numFmtId="0" fontId="14" fillId="0" borderId="12" xfId="4" applyFont="1" applyBorder="1" applyAlignment="1">
      <alignment horizontal="center" vertical="center" wrapText="1"/>
    </xf>
    <xf numFmtId="0" fontId="14" fillId="0" borderId="10" xfId="4" applyFont="1" applyBorder="1" applyAlignment="1">
      <alignment horizontal="center"/>
    </xf>
    <xf numFmtId="0" fontId="14" fillId="0" borderId="11" xfId="4" applyFont="1" applyBorder="1" applyAlignment="1">
      <alignment horizontal="center"/>
    </xf>
    <xf numFmtId="0" fontId="14" fillId="0" borderId="12" xfId="4" applyFont="1" applyBorder="1" applyAlignment="1">
      <alignment horizontal="center"/>
    </xf>
    <xf numFmtId="0" fontId="14" fillId="0" borderId="1" xfId="4" applyFont="1" applyBorder="1" applyAlignment="1">
      <alignment horizontal="center" vertical="center"/>
    </xf>
    <xf numFmtId="0" fontId="14" fillId="0" borderId="21" xfId="4" applyFont="1" applyBorder="1" applyAlignment="1">
      <alignment horizontal="center"/>
    </xf>
    <xf numFmtId="0" fontId="14" fillId="0" borderId="0" xfId="4" applyFont="1" applyAlignment="1">
      <alignment horizontal="center"/>
    </xf>
    <xf numFmtId="0" fontId="13" fillId="4" borderId="17" xfId="4" applyFont="1" applyFill="1" applyBorder="1" applyAlignment="1">
      <alignment horizontal="center" vertical="center"/>
    </xf>
    <xf numFmtId="0" fontId="14" fillId="0" borderId="1" xfId="4"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25" fillId="0" borderId="1" xfId="0" applyFont="1" applyFill="1" applyBorder="1" applyAlignment="1">
      <alignment horizontal="center" vertical="center" wrapText="1"/>
    </xf>
  </cellXfs>
  <cellStyles count="9">
    <cellStyle name="BodyStyle" xfId="2" xr:uid="{00000000-0005-0000-0000-000000000000}"/>
    <cellStyle name="HeaderStyle" xfId="1" xr:uid="{00000000-0005-0000-0000-000001000000}"/>
    <cellStyle name="Hipervínculo" xfId="6" builtinId="8"/>
    <cellStyle name="Moneda" xfId="5" builtinId="4"/>
    <cellStyle name="Normal" xfId="0" builtinId="0"/>
    <cellStyle name="Normal 2" xfId="4" xr:uid="{00000000-0005-0000-0000-000003000000}"/>
    <cellStyle name="Numeric" xfId="3" xr:uid="{00000000-0005-0000-0000-000004000000}"/>
    <cellStyle name="Porcentaje" xfId="7" builtinId="5"/>
    <cellStyle name="Porcentaje 2" xfId="8" xr:uid="{928C8914-CE07-4612-8FA0-22BDCDC426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1</xdr:col>
      <xdr:colOff>1886798</xdr:colOff>
      <xdr:row>2</xdr:row>
      <xdr:rowOff>236221</xdr:rowOff>
    </xdr:to>
    <xdr:pic>
      <xdr:nvPicPr>
        <xdr:cNvPr id="2" name="Imagen 1">
          <a:extLst>
            <a:ext uri="{FF2B5EF4-FFF2-40B4-BE49-F238E27FC236}">
              <a16:creationId xmlns:a16="http://schemas.microsoft.com/office/drawing/2014/main" id="{26BE9653-A821-4C6C-957C-483153597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1731" y="31751"/>
          <a:ext cx="1537547" cy="951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874824&amp;isFromPublicArea=True&amp;isModal=False" TargetMode="External"/><Relationship Id="rId13" Type="http://schemas.openxmlformats.org/officeDocument/2006/relationships/comments" Target="../comments1.xml"/><Relationship Id="rId3" Type="http://schemas.openxmlformats.org/officeDocument/2006/relationships/hyperlink" Target="https://community.secop.gov.co/Public/Tendering/OpportunityDetail/Index?noticeUID=CO1.NTC.4445683&amp;isFromPublicArea=True&amp;isModal=False" TargetMode="External"/><Relationship Id="rId7" Type="http://schemas.openxmlformats.org/officeDocument/2006/relationships/hyperlink" Target="https://community.secop.gov.co/Public/Tendering/OpportunityDetail/Index?noticeUID=CO1.NTC.4874824&amp;isFromPublicArea=True&amp;isModal=False" TargetMode="External"/><Relationship Id="rId12" Type="http://schemas.openxmlformats.org/officeDocument/2006/relationships/vmlDrawing" Target="../drawings/vmlDrawing1.vml"/><Relationship Id="rId2" Type="http://schemas.openxmlformats.org/officeDocument/2006/relationships/hyperlink" Target="https://community.secop.gov.co/Public/Tendering/OpportunityDetail/Index?noticeUID=CO1.NTC.4290089&amp;isFromPublicArea=True&amp;isModal=False" TargetMode="External"/><Relationship Id="rId1" Type="http://schemas.openxmlformats.org/officeDocument/2006/relationships/hyperlink" Target="https://community.secop.gov.co/Public/Tendering/OpportunityDetail/Index?noticeUID=CO1.NTC.4349221&amp;isFromPublicArea=True&amp;isModal=False" TargetMode="External"/><Relationship Id="rId6" Type="http://schemas.openxmlformats.org/officeDocument/2006/relationships/hyperlink" Target="https://community.secop.gov.co/Public/Tendering/OpportunityDetail/Index?noticeUID=CO1.NTC.4722896&amp;isFromPublicArea=True&amp;isModal=False" TargetMode="External"/><Relationship Id="rId11" Type="http://schemas.openxmlformats.org/officeDocument/2006/relationships/drawing" Target="../drawings/drawing1.xml"/><Relationship Id="rId5" Type="http://schemas.openxmlformats.org/officeDocument/2006/relationships/hyperlink" Target="https://community.secop.gov.co/Public/Tendering/OpportunityDetail/Index?noticeUID=CO1.NTC.4722896&amp;isFromPublicArea=True&amp;isModal=False" TargetMode="External"/><Relationship Id="rId10" Type="http://schemas.openxmlformats.org/officeDocument/2006/relationships/printerSettings" Target="../printerSettings/printerSettings1.bin"/><Relationship Id="rId4" Type="http://schemas.openxmlformats.org/officeDocument/2006/relationships/hyperlink" Target="https://community.secop.gov.co/Public/Tendering/OpportunityDetail/Index?noticeUID=CO1.NTC.4429463&amp;isFromPublicArea=True&amp;isModal=False" TargetMode="External"/><Relationship Id="rId9" Type="http://schemas.openxmlformats.org/officeDocument/2006/relationships/hyperlink" Target="https://community.secop.gov.co/Public/Tendering/OpportunityDetail/Index?noticeUID=CO1.NTC.5019222&amp;isFromPublicArea=True&amp;isModal=False"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https://community.secop.gov.co/Public/Tendering/OpportunityDetail/Index?noticeUID=CO1.NTC.5141007&amp;isFromPublicArea=True&amp;isModal=False" TargetMode="External"/><Relationship Id="rId7" Type="http://schemas.openxmlformats.org/officeDocument/2006/relationships/vmlDrawing" Target="../drawings/vmlDrawing2.vml"/><Relationship Id="rId2" Type="http://schemas.openxmlformats.org/officeDocument/2006/relationships/hyperlink" Target="https://community.secop.gov.co/Public/Tendering/OpportunityDetail/Index?noticeUID=CO1.NTC.4166480&amp;isFromPublicArea=True&amp;isModal=true&amp;asPopupView=true" TargetMode="External"/><Relationship Id="rId1" Type="http://schemas.openxmlformats.org/officeDocument/2006/relationships/hyperlink" Target="https://community.secop.gov.co/Public/Tendering/OpportunityDetail/Index?noticeUID=CO1.NTC.3692571&amp;isFromPublicArea=True&amp;isModal=true&amp;asPopupView=true" TargetMode="External"/><Relationship Id="rId6" Type="http://schemas.openxmlformats.org/officeDocument/2006/relationships/drawing" Target="../drawings/drawing2.xml"/><Relationship Id="rId5" Type="http://schemas.openxmlformats.org/officeDocument/2006/relationships/hyperlink" Target="https://community.secop.gov.co/Public/Tendering/ContractNoticePhases/View?PPI=CO1.PPI.27372447&amp;isFromPublicArea=True&amp;isModal=False" TargetMode="External"/><Relationship Id="rId4" Type="http://schemas.openxmlformats.org/officeDocument/2006/relationships/hyperlink" Target="https://community.secop.gov.co/Public/Tendering/ContractNoticePhases/View?PPI=CO1.PPI.28378537&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V86"/>
  <sheetViews>
    <sheetView tabSelected="1" topLeftCell="H1" zoomScale="30" zoomScaleNormal="30" workbookViewId="0">
      <pane xSplit="3" ySplit="8" topLeftCell="K35" activePane="bottomRight" state="frozen"/>
      <selection activeCell="H1" sqref="H1"/>
      <selection pane="topRight" activeCell="K1" sqref="K1"/>
      <selection pane="bottomLeft" activeCell="H9" sqref="H9"/>
      <selection pane="bottomRight" activeCell="T7" sqref="T7:T8"/>
    </sheetView>
  </sheetViews>
  <sheetFormatPr baseColWidth="10" defaultColWidth="11.42578125" defaultRowHeight="26.25" x14ac:dyDescent="0.4"/>
  <cols>
    <col min="1" max="1" width="17.42578125" style="32" customWidth="1"/>
    <col min="2" max="2" width="16.5703125" style="32" customWidth="1"/>
    <col min="3" max="3" width="18" style="32" customWidth="1"/>
    <col min="4" max="4" width="20.28515625" style="32" customWidth="1"/>
    <col min="5" max="5" width="23.28515625" style="32" customWidth="1"/>
    <col min="6" max="6" width="21" style="32" customWidth="1"/>
    <col min="7" max="7" width="17.5703125" style="32" customWidth="1"/>
    <col min="8" max="8" width="21.7109375" style="32" customWidth="1"/>
    <col min="9" max="9" width="24.140625" style="32" customWidth="1"/>
    <col min="10" max="10" width="19.7109375" style="32" customWidth="1"/>
    <col min="11" max="11" width="21.85546875" style="32" customWidth="1"/>
    <col min="12" max="12" width="17.28515625" style="32" customWidth="1"/>
    <col min="13" max="13" width="17.85546875" style="32" customWidth="1"/>
    <col min="14" max="14" width="23.28515625" style="90" customWidth="1"/>
    <col min="15" max="15" width="15.5703125" style="90" customWidth="1"/>
    <col min="16" max="16" width="17.7109375" style="90" customWidth="1"/>
    <col min="17" max="17" width="22" style="90" customWidth="1"/>
    <col min="18" max="18" width="31.28515625" style="90" customWidth="1"/>
    <col min="19" max="19" width="25.5703125" style="91" customWidth="1"/>
    <col min="20" max="20" width="23.5703125" style="92" customWidth="1"/>
    <col min="21" max="21" width="23.85546875" style="92" customWidth="1"/>
    <col min="22" max="22" width="20.28515625" style="92" customWidth="1"/>
    <col min="23" max="24" width="26.140625" style="92" customWidth="1"/>
    <col min="25" max="26" width="28.85546875" style="201" customWidth="1"/>
    <col min="27" max="27" width="33" style="120" customWidth="1"/>
    <col min="28" max="28" width="33.42578125" style="120" customWidth="1"/>
    <col min="29" max="29" width="23.28515625" style="91" customWidth="1"/>
    <col min="30" max="30" width="24.7109375" style="93" customWidth="1"/>
    <col min="31" max="31" width="21.7109375" style="94" customWidth="1"/>
    <col min="32" max="32" width="24.7109375" style="95" customWidth="1"/>
    <col min="33" max="33" width="21.42578125" style="95" customWidth="1"/>
    <col min="34" max="34" width="25.140625" style="96" customWidth="1"/>
    <col min="35" max="35" width="22.7109375" style="96" customWidth="1"/>
    <col min="36" max="36" width="22.28515625" style="32" customWidth="1"/>
    <col min="37" max="37" width="21.85546875" style="32" customWidth="1"/>
    <col min="38" max="38" width="30.5703125" style="32" customWidth="1"/>
    <col min="39" max="40" width="23" style="32" customWidth="1"/>
    <col min="41" max="42" width="27" style="32" customWidth="1"/>
    <col min="43" max="43" width="33" style="123" customWidth="1"/>
    <col min="44" max="44" width="32.7109375" style="120" customWidth="1"/>
    <col min="45" max="45" width="20.42578125" style="97" customWidth="1"/>
    <col min="46" max="46" width="20.28515625" style="98" customWidth="1"/>
    <col min="47" max="47" width="25.7109375" style="99" customWidth="1"/>
    <col min="48" max="48" width="22.5703125" style="32" customWidth="1"/>
    <col min="49" max="49" width="24.140625" style="32" customWidth="1"/>
    <col min="50" max="50" width="38.5703125" style="32" customWidth="1"/>
    <col min="51" max="51" width="23" style="32" customWidth="1"/>
    <col min="52" max="53" width="23.42578125" style="32" customWidth="1"/>
    <col min="54" max="54" width="36.5703125" style="32" bestFit="1" customWidth="1"/>
    <col min="55" max="55" width="25" style="32" customWidth="1"/>
    <col min="56" max="56" width="25.5703125" style="32" customWidth="1"/>
    <col min="57" max="57" width="25.7109375" style="32" customWidth="1"/>
    <col min="58" max="58" width="40" style="32" customWidth="1"/>
    <col min="59" max="59" width="39.85546875" style="32" customWidth="1"/>
    <col min="60" max="60" width="63.5703125" style="32" customWidth="1"/>
    <col min="61" max="61" width="57.5703125" style="32" customWidth="1"/>
    <col min="62" max="62" width="60.42578125" style="32" customWidth="1"/>
    <col min="63" max="63" width="45.140625" style="32" customWidth="1"/>
    <col min="64" max="64" width="28.28515625" style="32" customWidth="1"/>
    <col min="65" max="65" width="63.85546875" style="32" customWidth="1"/>
    <col min="66" max="66" width="19.42578125" style="32" customWidth="1"/>
    <col min="67" max="67" width="18.85546875" style="32" customWidth="1"/>
    <col min="68" max="68" width="25.5703125" style="32" customWidth="1"/>
    <col min="69" max="71" width="36.42578125" style="32" customWidth="1"/>
    <col min="72" max="72" width="44.7109375" style="32" customWidth="1"/>
    <col min="73" max="73" width="20.42578125" style="32" customWidth="1"/>
    <col min="74" max="74" width="27" style="32" customWidth="1"/>
    <col min="75" max="16384" width="11.42578125" style="32"/>
  </cols>
  <sheetData>
    <row r="1" spans="1:74" ht="29.25" customHeight="1" x14ac:dyDescent="0.4">
      <c r="B1" s="346" t="s">
        <v>0</v>
      </c>
      <c r="C1" s="346"/>
      <c r="D1" s="343" t="s">
        <v>1</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344"/>
      <c r="BJ1" s="344"/>
      <c r="BK1" s="344"/>
      <c r="BL1" s="345"/>
      <c r="BM1" s="33" t="s">
        <v>2</v>
      </c>
    </row>
    <row r="2" spans="1:74" ht="30" customHeight="1" x14ac:dyDescent="0.4">
      <c r="B2" s="346"/>
      <c r="C2" s="346"/>
      <c r="D2" s="343" t="s">
        <v>3</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c r="BC2" s="344"/>
      <c r="BD2" s="344"/>
      <c r="BE2" s="344"/>
      <c r="BF2" s="344"/>
      <c r="BG2" s="344"/>
      <c r="BH2" s="344"/>
      <c r="BI2" s="344"/>
      <c r="BJ2" s="344"/>
      <c r="BK2" s="344"/>
      <c r="BL2" s="345"/>
      <c r="BM2" s="33" t="s">
        <v>4</v>
      </c>
    </row>
    <row r="3" spans="1:74" ht="30.75" customHeight="1" x14ac:dyDescent="0.4">
      <c r="B3" s="346"/>
      <c r="C3" s="346"/>
      <c r="D3" s="343" t="s">
        <v>5</v>
      </c>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5"/>
      <c r="BM3" s="33" t="s">
        <v>6</v>
      </c>
    </row>
    <row r="4" spans="1:74" ht="24.75" customHeight="1" x14ac:dyDescent="0.4">
      <c r="B4" s="346"/>
      <c r="C4" s="346"/>
      <c r="D4" s="343" t="s">
        <v>7</v>
      </c>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c r="BD4" s="344"/>
      <c r="BE4" s="344"/>
      <c r="BF4" s="344"/>
      <c r="BG4" s="344"/>
      <c r="BH4" s="344"/>
      <c r="BI4" s="344"/>
      <c r="BJ4" s="344"/>
      <c r="BK4" s="344"/>
      <c r="BL4" s="345"/>
      <c r="BM4" s="33" t="s">
        <v>8</v>
      </c>
    </row>
    <row r="5" spans="1:74" ht="27" customHeight="1" x14ac:dyDescent="0.4">
      <c r="B5" s="340" t="s">
        <v>9</v>
      </c>
      <c r="C5" s="340"/>
      <c r="D5" s="341" t="s">
        <v>10</v>
      </c>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2"/>
    </row>
    <row r="6" spans="1:74" ht="30.75" customHeight="1" x14ac:dyDescent="0.4">
      <c r="A6" s="350" t="s">
        <v>11</v>
      </c>
      <c r="B6" s="351"/>
      <c r="C6" s="351"/>
      <c r="D6" s="351"/>
      <c r="E6" s="351"/>
      <c r="F6" s="351"/>
      <c r="G6" s="351"/>
      <c r="H6" s="351"/>
      <c r="I6" s="351"/>
      <c r="J6" s="351"/>
      <c r="K6" s="351"/>
      <c r="L6" s="351"/>
      <c r="M6" s="351"/>
      <c r="N6" s="351"/>
      <c r="O6" s="351"/>
      <c r="P6" s="351"/>
      <c r="Q6" s="351"/>
      <c r="R6" s="351"/>
      <c r="S6" s="351"/>
      <c r="T6" s="351"/>
      <c r="U6" s="351"/>
      <c r="V6" s="351"/>
      <c r="W6" s="351"/>
      <c r="X6" s="190"/>
      <c r="Y6" s="195"/>
      <c r="Z6" s="195"/>
      <c r="AA6" s="119"/>
      <c r="AB6" s="119"/>
      <c r="AC6" s="355" t="s">
        <v>12</v>
      </c>
      <c r="AD6" s="355"/>
      <c r="AE6" s="355"/>
      <c r="AF6" s="356"/>
      <c r="AG6" s="346" t="s">
        <v>13</v>
      </c>
      <c r="AH6" s="346"/>
      <c r="AI6" s="346"/>
      <c r="AJ6" s="346"/>
      <c r="AK6" s="346"/>
      <c r="AL6" s="346"/>
      <c r="AM6" s="346"/>
      <c r="AN6" s="346"/>
      <c r="AO6" s="346"/>
      <c r="AP6" s="346"/>
      <c r="AQ6" s="346"/>
      <c r="AR6" s="346"/>
      <c r="AS6" s="346"/>
      <c r="AT6" s="346"/>
      <c r="AU6" s="346"/>
      <c r="AV6" s="346"/>
      <c r="AW6" s="346"/>
      <c r="AX6" s="346"/>
      <c r="AY6" s="346"/>
      <c r="AZ6" s="346"/>
      <c r="BA6" s="350" t="s">
        <v>14</v>
      </c>
      <c r="BB6" s="351"/>
      <c r="BC6" s="351"/>
      <c r="BD6" s="351"/>
      <c r="BE6" s="351"/>
      <c r="BF6" s="351"/>
      <c r="BG6" s="352"/>
      <c r="BH6" s="34"/>
      <c r="BI6" s="34"/>
      <c r="BJ6" s="34"/>
      <c r="BK6" s="34"/>
      <c r="BL6" s="361" t="s">
        <v>15</v>
      </c>
      <c r="BM6" s="362"/>
      <c r="BN6" s="362"/>
      <c r="BO6" s="362"/>
      <c r="BP6" s="363"/>
      <c r="BQ6" s="35"/>
      <c r="BR6" s="35"/>
      <c r="BS6" s="35"/>
      <c r="BT6" s="35"/>
      <c r="BU6" s="353" t="s">
        <v>16</v>
      </c>
      <c r="BV6" s="353"/>
    </row>
    <row r="7" spans="1:74" s="36" customFormat="1" ht="96" customHeight="1" x14ac:dyDescent="0.35">
      <c r="A7" s="338" t="s">
        <v>17</v>
      </c>
      <c r="B7" s="264" t="s">
        <v>18</v>
      </c>
      <c r="C7" s="264" t="s">
        <v>19</v>
      </c>
      <c r="D7" s="264" t="s">
        <v>20</v>
      </c>
      <c r="E7" s="264" t="s">
        <v>21</v>
      </c>
      <c r="F7" s="264" t="s">
        <v>22</v>
      </c>
      <c r="G7" s="264" t="s">
        <v>23</v>
      </c>
      <c r="H7" s="264" t="s">
        <v>24</v>
      </c>
      <c r="I7" s="264" t="s">
        <v>25</v>
      </c>
      <c r="J7" s="264" t="s">
        <v>26</v>
      </c>
      <c r="K7" s="264" t="s">
        <v>27</v>
      </c>
      <c r="L7" s="264" t="s">
        <v>28</v>
      </c>
      <c r="M7" s="264" t="s">
        <v>29</v>
      </c>
      <c r="N7" s="264" t="s">
        <v>30</v>
      </c>
      <c r="O7" s="264" t="s">
        <v>31</v>
      </c>
      <c r="P7" s="264"/>
      <c r="Q7" s="264" t="s">
        <v>32</v>
      </c>
      <c r="R7" s="264" t="s">
        <v>33</v>
      </c>
      <c r="S7" s="264" t="s">
        <v>34</v>
      </c>
      <c r="T7" s="529" t="s">
        <v>35</v>
      </c>
      <c r="U7" s="264" t="s">
        <v>36</v>
      </c>
      <c r="V7" s="264" t="s">
        <v>37</v>
      </c>
      <c r="W7" s="264" t="s">
        <v>38</v>
      </c>
      <c r="X7" s="241" t="s">
        <v>1012</v>
      </c>
      <c r="Y7" s="234" t="s">
        <v>1013</v>
      </c>
      <c r="Z7" s="234" t="s">
        <v>1070</v>
      </c>
      <c r="AA7" s="297" t="s">
        <v>1014</v>
      </c>
      <c r="AB7" s="297" t="s">
        <v>39</v>
      </c>
      <c r="AC7" s="354" t="s">
        <v>40</v>
      </c>
      <c r="AD7" s="264" t="s">
        <v>41</v>
      </c>
      <c r="AE7" s="264" t="s">
        <v>42</v>
      </c>
      <c r="AF7" s="264" t="s">
        <v>43</v>
      </c>
      <c r="AG7" s="264" t="s">
        <v>44</v>
      </c>
      <c r="AH7" s="264" t="s">
        <v>45</v>
      </c>
      <c r="AI7" s="264" t="s">
        <v>46</v>
      </c>
      <c r="AJ7" s="296" t="s">
        <v>47</v>
      </c>
      <c r="AK7" s="296" t="s">
        <v>48</v>
      </c>
      <c r="AL7" s="296" t="s">
        <v>49</v>
      </c>
      <c r="AM7" s="296" t="s">
        <v>50</v>
      </c>
      <c r="AN7" s="296" t="s">
        <v>51</v>
      </c>
      <c r="AO7" s="296" t="s">
        <v>52</v>
      </c>
      <c r="AP7" s="270" t="s">
        <v>1016</v>
      </c>
      <c r="AQ7" s="374" t="s">
        <v>1017</v>
      </c>
      <c r="AR7" s="376" t="s">
        <v>1018</v>
      </c>
      <c r="AS7" s="296" t="s">
        <v>53</v>
      </c>
      <c r="AT7" s="296" t="s">
        <v>54</v>
      </c>
      <c r="AU7" s="296" t="s">
        <v>55</v>
      </c>
      <c r="AV7" s="320" t="s">
        <v>56</v>
      </c>
      <c r="AW7" s="320" t="s">
        <v>57</v>
      </c>
      <c r="AX7" s="270" t="s">
        <v>1045</v>
      </c>
      <c r="AY7" s="320" t="s">
        <v>59</v>
      </c>
      <c r="AZ7" s="320" t="s">
        <v>60</v>
      </c>
      <c r="BA7" s="304" t="s">
        <v>61</v>
      </c>
      <c r="BB7" s="304" t="s">
        <v>62</v>
      </c>
      <c r="BC7" s="304" t="s">
        <v>63</v>
      </c>
      <c r="BD7" s="304" t="s">
        <v>64</v>
      </c>
      <c r="BE7" s="347" t="s">
        <v>65</v>
      </c>
      <c r="BF7" s="270" t="s">
        <v>1033</v>
      </c>
      <c r="BG7" s="270" t="s">
        <v>1044</v>
      </c>
      <c r="BH7" s="390" t="s">
        <v>1034</v>
      </c>
      <c r="BI7" s="390" t="s">
        <v>1035</v>
      </c>
      <c r="BJ7" s="390" t="s">
        <v>1036</v>
      </c>
      <c r="BK7" s="390" t="s">
        <v>1037</v>
      </c>
      <c r="BL7" s="348" t="s">
        <v>66</v>
      </c>
      <c r="BM7" s="357" t="s">
        <v>67</v>
      </c>
      <c r="BN7" s="359" t="s">
        <v>68</v>
      </c>
      <c r="BO7" s="357" t="s">
        <v>69</v>
      </c>
      <c r="BP7" s="359" t="s">
        <v>70</v>
      </c>
      <c r="BQ7" s="264" t="s">
        <v>71</v>
      </c>
      <c r="BR7" s="264" t="s">
        <v>72</v>
      </c>
      <c r="BS7" s="264" t="s">
        <v>73</v>
      </c>
      <c r="BT7" s="241" t="s">
        <v>1020</v>
      </c>
      <c r="BU7" s="338" t="s">
        <v>74</v>
      </c>
      <c r="BV7" s="338" t="s">
        <v>75</v>
      </c>
    </row>
    <row r="8" spans="1:74" s="36" customFormat="1" ht="78.75" customHeight="1" x14ac:dyDescent="0.35">
      <c r="A8" s="338"/>
      <c r="B8" s="264"/>
      <c r="C8" s="264"/>
      <c r="D8" s="264"/>
      <c r="E8" s="264"/>
      <c r="F8" s="264"/>
      <c r="G8" s="264"/>
      <c r="H8" s="264"/>
      <c r="I8" s="264"/>
      <c r="J8" s="264"/>
      <c r="K8" s="264"/>
      <c r="L8" s="264"/>
      <c r="M8" s="264"/>
      <c r="N8" s="264"/>
      <c r="O8" s="35" t="s">
        <v>76</v>
      </c>
      <c r="P8" s="35" t="s">
        <v>77</v>
      </c>
      <c r="Q8" s="264"/>
      <c r="R8" s="264"/>
      <c r="S8" s="264"/>
      <c r="T8" s="529"/>
      <c r="U8" s="264"/>
      <c r="V8" s="264"/>
      <c r="W8" s="264"/>
      <c r="X8" s="241"/>
      <c r="Y8" s="235"/>
      <c r="Z8" s="235"/>
      <c r="AA8" s="298"/>
      <c r="AB8" s="298"/>
      <c r="AC8" s="354"/>
      <c r="AD8" s="264"/>
      <c r="AE8" s="264"/>
      <c r="AF8" s="264"/>
      <c r="AG8" s="264"/>
      <c r="AH8" s="264"/>
      <c r="AI8" s="264"/>
      <c r="AJ8" s="296"/>
      <c r="AK8" s="296"/>
      <c r="AL8" s="296"/>
      <c r="AM8" s="296"/>
      <c r="AN8" s="296"/>
      <c r="AO8" s="296"/>
      <c r="AP8" s="270"/>
      <c r="AQ8" s="375"/>
      <c r="AR8" s="377"/>
      <c r="AS8" s="296"/>
      <c r="AT8" s="296"/>
      <c r="AU8" s="296"/>
      <c r="AV8" s="320"/>
      <c r="AW8" s="320"/>
      <c r="AX8" s="270"/>
      <c r="AY8" s="320"/>
      <c r="AZ8" s="320"/>
      <c r="BA8" s="321"/>
      <c r="BB8" s="321"/>
      <c r="BC8" s="304"/>
      <c r="BD8" s="304"/>
      <c r="BE8" s="347"/>
      <c r="BF8" s="308"/>
      <c r="BG8" s="308"/>
      <c r="BH8" s="391"/>
      <c r="BI8" s="391"/>
      <c r="BJ8" s="391"/>
      <c r="BK8" s="391"/>
      <c r="BL8" s="349"/>
      <c r="BM8" s="358"/>
      <c r="BN8" s="360"/>
      <c r="BO8" s="358"/>
      <c r="BP8" s="360"/>
      <c r="BQ8" s="265"/>
      <c r="BR8" s="265"/>
      <c r="BS8" s="265"/>
      <c r="BT8" s="242"/>
      <c r="BU8" s="339"/>
      <c r="BV8" s="339"/>
    </row>
    <row r="9" spans="1:74" ht="132.75" customHeight="1" x14ac:dyDescent="0.4">
      <c r="A9" s="257" t="s">
        <v>78</v>
      </c>
      <c r="B9" s="275" t="s">
        <v>79</v>
      </c>
      <c r="C9" s="275" t="s">
        <v>80</v>
      </c>
      <c r="D9" s="39" t="s">
        <v>81</v>
      </c>
      <c r="E9" s="39" t="s">
        <v>82</v>
      </c>
      <c r="F9" s="39" t="s">
        <v>83</v>
      </c>
      <c r="G9" s="40">
        <v>0.2</v>
      </c>
      <c r="H9" s="39" t="s">
        <v>84</v>
      </c>
      <c r="I9" s="40">
        <v>0.2</v>
      </c>
      <c r="J9" s="258" t="s">
        <v>85</v>
      </c>
      <c r="K9" s="39" t="s">
        <v>86</v>
      </c>
      <c r="L9" s="39" t="s">
        <v>87</v>
      </c>
      <c r="M9" s="39" t="s">
        <v>88</v>
      </c>
      <c r="N9" s="39" t="s">
        <v>89</v>
      </c>
      <c r="O9" s="283">
        <v>1</v>
      </c>
      <c r="P9" s="283"/>
      <c r="Q9" s="39" t="s">
        <v>90</v>
      </c>
      <c r="R9" s="41">
        <v>1</v>
      </c>
      <c r="S9" s="41">
        <v>1</v>
      </c>
      <c r="T9" s="42">
        <v>0</v>
      </c>
      <c r="U9" s="42">
        <v>0</v>
      </c>
      <c r="V9" s="100">
        <v>0</v>
      </c>
      <c r="W9" s="100">
        <v>0</v>
      </c>
      <c r="X9" s="100">
        <v>0</v>
      </c>
      <c r="Y9" s="196">
        <f>SUM(U9:X9)</f>
        <v>0</v>
      </c>
      <c r="Z9" s="196">
        <v>0</v>
      </c>
      <c r="AA9" s="116">
        <f>+Y9/S9</f>
        <v>0</v>
      </c>
      <c r="AB9" s="116">
        <f>+(T9+Y9)/R9</f>
        <v>0</v>
      </c>
      <c r="AC9" s="322" t="s">
        <v>91</v>
      </c>
      <c r="AD9" s="322" t="s">
        <v>91</v>
      </c>
      <c r="AE9" s="273" t="s">
        <v>92</v>
      </c>
      <c r="AF9" s="273" t="s">
        <v>93</v>
      </c>
      <c r="AG9" s="273" t="s">
        <v>94</v>
      </c>
      <c r="AH9" s="273" t="s">
        <v>95</v>
      </c>
      <c r="AI9" s="367" t="s">
        <v>96</v>
      </c>
      <c r="AJ9" s="243" t="s">
        <v>97</v>
      </c>
      <c r="AK9" s="243" t="s">
        <v>98</v>
      </c>
      <c r="AL9" s="368">
        <v>1</v>
      </c>
      <c r="AM9" s="243" t="s">
        <v>99</v>
      </c>
      <c r="AN9" s="368">
        <v>0</v>
      </c>
      <c r="AO9" s="368">
        <v>0</v>
      </c>
      <c r="AP9" s="271">
        <v>0</v>
      </c>
      <c r="AQ9" s="378">
        <f>SUM(AM9:AP10)</f>
        <v>0</v>
      </c>
      <c r="AR9" s="379">
        <f>+AQ9/AL9</f>
        <v>0</v>
      </c>
      <c r="AS9" s="369">
        <f>BB9*100/6405181017.78</f>
        <v>9.1327178478828746</v>
      </c>
      <c r="AT9" s="279" t="s">
        <v>100</v>
      </c>
      <c r="AU9" s="279" t="s">
        <v>101</v>
      </c>
      <c r="AV9" s="279" t="s">
        <v>102</v>
      </c>
      <c r="AW9" s="246" t="s">
        <v>103</v>
      </c>
      <c r="AX9" s="246" t="s">
        <v>104</v>
      </c>
      <c r="AY9" s="243" t="s">
        <v>105</v>
      </c>
      <c r="AZ9" s="243" t="s">
        <v>106</v>
      </c>
      <c r="BA9" s="52" t="s">
        <v>1038</v>
      </c>
      <c r="BB9" s="381">
        <v>584967110</v>
      </c>
      <c r="BC9" s="243" t="s">
        <v>107</v>
      </c>
      <c r="BD9" s="243" t="s">
        <v>108</v>
      </c>
      <c r="BE9" s="243" t="s">
        <v>109</v>
      </c>
      <c r="BF9" s="381">
        <v>584967110</v>
      </c>
      <c r="BG9" s="212">
        <v>492921942.35000002</v>
      </c>
      <c r="BH9" s="398">
        <v>23189149673.779999</v>
      </c>
      <c r="BI9" s="398">
        <v>1141022639</v>
      </c>
      <c r="BJ9" s="398">
        <v>701255275.35000002</v>
      </c>
      <c r="BK9" s="401">
        <f>+BJ9/BH9</f>
        <v>3.0240663638602939E-2</v>
      </c>
      <c r="BL9" s="256" t="s">
        <v>110</v>
      </c>
      <c r="BM9" s="243" t="s">
        <v>111</v>
      </c>
      <c r="BN9" s="243" t="s">
        <v>112</v>
      </c>
      <c r="BO9" s="243">
        <v>0</v>
      </c>
      <c r="BP9" s="244">
        <v>45017</v>
      </c>
      <c r="BQ9" s="307"/>
      <c r="BR9" s="243" t="s">
        <v>113</v>
      </c>
      <c r="BS9" s="243"/>
      <c r="BT9" s="243"/>
      <c r="BU9" s="380" t="s">
        <v>114</v>
      </c>
      <c r="BV9" s="380" t="s">
        <v>114</v>
      </c>
    </row>
    <row r="10" spans="1:74" ht="105.75" customHeight="1" x14ac:dyDescent="0.4">
      <c r="A10" s="243"/>
      <c r="B10" s="275"/>
      <c r="C10" s="275"/>
      <c r="D10" s="47" t="s">
        <v>115</v>
      </c>
      <c r="E10" s="47" t="s">
        <v>116</v>
      </c>
      <c r="F10" s="47" t="s">
        <v>117</v>
      </c>
      <c r="G10" s="47" t="s">
        <v>118</v>
      </c>
      <c r="H10" s="47" t="s">
        <v>119</v>
      </c>
      <c r="I10" s="47">
        <v>10</v>
      </c>
      <c r="J10" s="275"/>
      <c r="K10" s="47" t="s">
        <v>120</v>
      </c>
      <c r="L10" s="47" t="s">
        <v>87</v>
      </c>
      <c r="M10" s="47" t="s">
        <v>121</v>
      </c>
      <c r="N10" s="47" t="s">
        <v>122</v>
      </c>
      <c r="O10" s="289">
        <v>1</v>
      </c>
      <c r="P10" s="289"/>
      <c r="Q10" s="47" t="s">
        <v>123</v>
      </c>
      <c r="R10" s="53">
        <v>1</v>
      </c>
      <c r="S10" s="47" t="s">
        <v>124</v>
      </c>
      <c r="T10" s="54">
        <v>0</v>
      </c>
      <c r="U10" s="101" t="s">
        <v>124</v>
      </c>
      <c r="V10" s="101" t="s">
        <v>124</v>
      </c>
      <c r="W10" s="101" t="s">
        <v>124</v>
      </c>
      <c r="X10" s="101" t="s">
        <v>124</v>
      </c>
      <c r="Y10" s="197" t="s">
        <v>125</v>
      </c>
      <c r="Z10" s="196">
        <v>0</v>
      </c>
      <c r="AA10" s="116" t="s">
        <v>125</v>
      </c>
      <c r="AB10" s="116">
        <v>0</v>
      </c>
      <c r="AC10" s="322"/>
      <c r="AD10" s="322"/>
      <c r="AE10" s="288"/>
      <c r="AF10" s="288"/>
      <c r="AG10" s="288"/>
      <c r="AH10" s="288"/>
      <c r="AI10" s="367"/>
      <c r="AJ10" s="243"/>
      <c r="AK10" s="243"/>
      <c r="AL10" s="368"/>
      <c r="AM10" s="243"/>
      <c r="AN10" s="368"/>
      <c r="AO10" s="368"/>
      <c r="AP10" s="272"/>
      <c r="AQ10" s="378"/>
      <c r="AR10" s="379"/>
      <c r="AS10" s="370"/>
      <c r="AT10" s="279"/>
      <c r="AU10" s="279"/>
      <c r="AV10" s="279"/>
      <c r="AW10" s="246"/>
      <c r="AX10" s="246"/>
      <c r="AY10" s="243"/>
      <c r="AZ10" s="243" t="s">
        <v>106</v>
      </c>
      <c r="BA10" s="52" t="s">
        <v>1039</v>
      </c>
      <c r="BB10" s="381"/>
      <c r="BC10" s="243"/>
      <c r="BD10" s="243"/>
      <c r="BE10" s="243"/>
      <c r="BF10" s="381"/>
      <c r="BG10" s="212">
        <v>0</v>
      </c>
      <c r="BH10" s="399"/>
      <c r="BI10" s="399"/>
      <c r="BJ10" s="399"/>
      <c r="BK10" s="402"/>
      <c r="BL10" s="257"/>
      <c r="BM10" s="243"/>
      <c r="BN10" s="243"/>
      <c r="BO10" s="243"/>
      <c r="BP10" s="244"/>
      <c r="BQ10" s="307"/>
      <c r="BR10" s="243"/>
      <c r="BS10" s="243"/>
      <c r="BT10" s="243"/>
      <c r="BU10" s="380"/>
      <c r="BV10" s="380"/>
    </row>
    <row r="11" spans="1:74" ht="144" customHeight="1" x14ac:dyDescent="0.4">
      <c r="A11" s="243"/>
      <c r="B11" s="275"/>
      <c r="C11" s="275"/>
      <c r="D11" s="258" t="s">
        <v>126</v>
      </c>
      <c r="E11" s="258" t="s">
        <v>127</v>
      </c>
      <c r="F11" s="258" t="s">
        <v>128</v>
      </c>
      <c r="G11" s="332">
        <v>0.8</v>
      </c>
      <c r="H11" s="258" t="s">
        <v>84</v>
      </c>
      <c r="I11" s="332">
        <v>0.8</v>
      </c>
      <c r="J11" s="275"/>
      <c r="K11" s="258" t="s">
        <v>129</v>
      </c>
      <c r="L11" s="258" t="s">
        <v>87</v>
      </c>
      <c r="M11" s="258" t="s">
        <v>130</v>
      </c>
      <c r="N11" s="258" t="s">
        <v>131</v>
      </c>
      <c r="O11" s="289">
        <v>2</v>
      </c>
      <c r="P11" s="289"/>
      <c r="Q11" s="258" t="s">
        <v>132</v>
      </c>
      <c r="R11" s="280">
        <v>3</v>
      </c>
      <c r="S11" s="280">
        <v>3</v>
      </c>
      <c r="T11" s="280">
        <v>3</v>
      </c>
      <c r="U11" s="280">
        <v>0</v>
      </c>
      <c r="V11" s="280">
        <v>3</v>
      </c>
      <c r="W11" s="280">
        <v>0</v>
      </c>
      <c r="X11" s="280">
        <v>0</v>
      </c>
      <c r="Y11" s="232">
        <f>SUM(U11:X14)</f>
        <v>3</v>
      </c>
      <c r="Z11" s="232">
        <v>3</v>
      </c>
      <c r="AA11" s="276">
        <f>+Y11/S11</f>
        <v>1</v>
      </c>
      <c r="AB11" s="276">
        <f>+Y11/R11</f>
        <v>1</v>
      </c>
      <c r="AC11" s="322"/>
      <c r="AD11" s="322"/>
      <c r="AE11" s="288"/>
      <c r="AF11" s="288"/>
      <c r="AG11" s="288"/>
      <c r="AH11" s="288"/>
      <c r="AI11" s="364" t="s">
        <v>133</v>
      </c>
      <c r="AJ11" s="57" t="s">
        <v>134</v>
      </c>
      <c r="AK11" s="44" t="s">
        <v>135</v>
      </c>
      <c r="AL11" s="44">
        <v>9</v>
      </c>
      <c r="AM11" s="44">
        <v>6</v>
      </c>
      <c r="AN11" s="44">
        <v>0</v>
      </c>
      <c r="AO11" s="44">
        <v>1</v>
      </c>
      <c r="AP11" s="44">
        <v>4</v>
      </c>
      <c r="AQ11" s="102">
        <f>SUM(AM11:AP11)</f>
        <v>11</v>
      </c>
      <c r="AR11" s="125">
        <v>1</v>
      </c>
      <c r="AS11" s="58">
        <f>BB11*100/6405181017.78</f>
        <v>3.6166034864115146</v>
      </c>
      <c r="AT11" s="46" t="s">
        <v>136</v>
      </c>
      <c r="AU11" s="46" t="s">
        <v>101</v>
      </c>
      <c r="AV11" s="46" t="s">
        <v>137</v>
      </c>
      <c r="AW11" s="47" t="s">
        <v>138</v>
      </c>
      <c r="AX11" s="47" t="s">
        <v>138</v>
      </c>
      <c r="AY11" s="44" t="s">
        <v>105</v>
      </c>
      <c r="AZ11" s="44" t="s">
        <v>106</v>
      </c>
      <c r="BA11" s="44" t="s">
        <v>1040</v>
      </c>
      <c r="BB11" s="48">
        <v>231650000</v>
      </c>
      <c r="BC11" s="44" t="s">
        <v>107</v>
      </c>
      <c r="BD11" s="44" t="s">
        <v>108</v>
      </c>
      <c r="BE11" s="44" t="s">
        <v>109</v>
      </c>
      <c r="BF11" s="48">
        <v>221126547</v>
      </c>
      <c r="BG11" s="48">
        <v>190200000</v>
      </c>
      <c r="BH11" s="399"/>
      <c r="BI11" s="399"/>
      <c r="BJ11" s="399"/>
      <c r="BK11" s="402"/>
      <c r="BL11" s="44" t="s">
        <v>110</v>
      </c>
      <c r="BM11" s="52" t="s">
        <v>139</v>
      </c>
      <c r="BN11" s="44" t="s">
        <v>140</v>
      </c>
      <c r="BO11" s="44">
        <v>0</v>
      </c>
      <c r="BP11" s="59">
        <v>44927</v>
      </c>
      <c r="BQ11" s="44" t="s">
        <v>141</v>
      </c>
      <c r="BR11" s="44"/>
      <c r="BS11" s="44" t="s">
        <v>142</v>
      </c>
      <c r="BT11" s="44" t="s">
        <v>1021</v>
      </c>
      <c r="BU11" s="60" t="s">
        <v>114</v>
      </c>
      <c r="BV11" s="60" t="s">
        <v>114</v>
      </c>
    </row>
    <row r="12" spans="1:74" ht="95.25" customHeight="1" x14ac:dyDescent="0.4">
      <c r="A12" s="243"/>
      <c r="B12" s="275"/>
      <c r="C12" s="275"/>
      <c r="D12" s="275"/>
      <c r="E12" s="275"/>
      <c r="F12" s="275"/>
      <c r="G12" s="333"/>
      <c r="H12" s="275"/>
      <c r="I12" s="333"/>
      <c r="J12" s="275"/>
      <c r="K12" s="275"/>
      <c r="L12" s="275"/>
      <c r="M12" s="275"/>
      <c r="N12" s="275"/>
      <c r="O12" s="289"/>
      <c r="P12" s="289"/>
      <c r="Q12" s="275"/>
      <c r="R12" s="281"/>
      <c r="S12" s="281"/>
      <c r="T12" s="281"/>
      <c r="U12" s="281"/>
      <c r="V12" s="281"/>
      <c r="W12" s="281"/>
      <c r="X12" s="281"/>
      <c r="Y12" s="236"/>
      <c r="Z12" s="236"/>
      <c r="AA12" s="278"/>
      <c r="AB12" s="278"/>
      <c r="AC12" s="322"/>
      <c r="AD12" s="322"/>
      <c r="AE12" s="288"/>
      <c r="AF12" s="288"/>
      <c r="AG12" s="288"/>
      <c r="AH12" s="288"/>
      <c r="AI12" s="365"/>
      <c r="AJ12" s="57" t="s">
        <v>143</v>
      </c>
      <c r="AK12" s="57" t="s">
        <v>144</v>
      </c>
      <c r="AL12" s="44">
        <v>2</v>
      </c>
      <c r="AM12" s="44" t="s">
        <v>99</v>
      </c>
      <c r="AN12" s="44">
        <v>0</v>
      </c>
      <c r="AO12" s="44">
        <v>0</v>
      </c>
      <c r="AP12" s="44">
        <v>0</v>
      </c>
      <c r="AQ12" s="102">
        <f>SUM(AM12:AP12)</f>
        <v>0</v>
      </c>
      <c r="AR12" s="125">
        <f t="shared" ref="AR12" si="0">+AQ12/AL12</f>
        <v>0</v>
      </c>
      <c r="AS12" s="58">
        <f t="shared" ref="AS12:AS14" si="1">BB12*100/6405181017.78</f>
        <v>17.316521912044678</v>
      </c>
      <c r="AT12" s="46" t="s">
        <v>145</v>
      </c>
      <c r="AU12" s="46" t="s">
        <v>101</v>
      </c>
      <c r="AV12" s="46" t="s">
        <v>146</v>
      </c>
      <c r="AW12" s="47" t="s">
        <v>138</v>
      </c>
      <c r="AX12" s="47">
        <v>0</v>
      </c>
      <c r="AY12" s="44" t="s">
        <v>105</v>
      </c>
      <c r="AZ12" s="44" t="s">
        <v>106</v>
      </c>
      <c r="BA12" s="44" t="s">
        <v>1041</v>
      </c>
      <c r="BB12" s="48">
        <v>1109154574.45</v>
      </c>
      <c r="BC12" s="44" t="s">
        <v>107</v>
      </c>
      <c r="BD12" s="44" t="s">
        <v>108</v>
      </c>
      <c r="BE12" s="44" t="s">
        <v>109</v>
      </c>
      <c r="BF12" s="203">
        <v>0</v>
      </c>
      <c r="BG12" s="203">
        <v>6600000</v>
      </c>
      <c r="BH12" s="399"/>
      <c r="BI12" s="399"/>
      <c r="BJ12" s="399"/>
      <c r="BK12" s="402"/>
      <c r="BL12" s="44" t="s">
        <v>110</v>
      </c>
      <c r="BM12" s="52" t="s">
        <v>147</v>
      </c>
      <c r="BN12" s="44" t="s">
        <v>148</v>
      </c>
      <c r="BO12" s="44">
        <v>0</v>
      </c>
      <c r="BP12" s="59">
        <v>45078</v>
      </c>
      <c r="BQ12" s="44"/>
      <c r="BR12" s="44"/>
      <c r="BS12" s="44"/>
      <c r="BT12" s="44"/>
      <c r="BU12" s="60"/>
      <c r="BV12" s="60"/>
    </row>
    <row r="13" spans="1:74" ht="140.25" customHeight="1" x14ac:dyDescent="0.4">
      <c r="A13" s="243"/>
      <c r="B13" s="275"/>
      <c r="C13" s="275"/>
      <c r="D13" s="275"/>
      <c r="E13" s="275"/>
      <c r="F13" s="275"/>
      <c r="G13" s="333"/>
      <c r="H13" s="275"/>
      <c r="I13" s="333"/>
      <c r="J13" s="275"/>
      <c r="K13" s="275"/>
      <c r="L13" s="275"/>
      <c r="M13" s="275"/>
      <c r="N13" s="275"/>
      <c r="O13" s="289"/>
      <c r="P13" s="289"/>
      <c r="Q13" s="275"/>
      <c r="R13" s="281"/>
      <c r="S13" s="281"/>
      <c r="T13" s="281"/>
      <c r="U13" s="281"/>
      <c r="V13" s="281"/>
      <c r="W13" s="281"/>
      <c r="X13" s="281"/>
      <c r="Y13" s="236"/>
      <c r="Z13" s="236"/>
      <c r="AA13" s="278"/>
      <c r="AB13" s="278"/>
      <c r="AC13" s="322"/>
      <c r="AD13" s="322"/>
      <c r="AE13" s="288"/>
      <c r="AF13" s="288"/>
      <c r="AG13" s="288"/>
      <c r="AH13" s="288"/>
      <c r="AI13" s="365"/>
      <c r="AJ13" s="57" t="s">
        <v>149</v>
      </c>
      <c r="AK13" s="57" t="s">
        <v>150</v>
      </c>
      <c r="AL13" s="44">
        <v>16</v>
      </c>
      <c r="AM13" s="44" t="s">
        <v>99</v>
      </c>
      <c r="AN13" s="44">
        <v>16</v>
      </c>
      <c r="AO13" s="44">
        <v>0</v>
      </c>
      <c r="AP13" s="44">
        <v>0</v>
      </c>
      <c r="AQ13" s="102">
        <f>SUM(AM13:AP13)</f>
        <v>16</v>
      </c>
      <c r="AR13" s="125">
        <f t="shared" ref="AR13:AR75" si="2">+AQ13/AL13</f>
        <v>1</v>
      </c>
      <c r="AS13" s="58">
        <f t="shared" si="1"/>
        <v>5.6204500544275637</v>
      </c>
      <c r="AT13" s="46" t="s">
        <v>145</v>
      </c>
      <c r="AU13" s="46" t="s">
        <v>101</v>
      </c>
      <c r="AV13" s="46" t="s">
        <v>146</v>
      </c>
      <c r="AW13" s="47" t="s">
        <v>151</v>
      </c>
      <c r="AX13" s="47" t="s">
        <v>152</v>
      </c>
      <c r="AY13" s="44" t="s">
        <v>105</v>
      </c>
      <c r="AZ13" s="44" t="s">
        <v>106</v>
      </c>
      <c r="BA13" s="44" t="s">
        <v>1042</v>
      </c>
      <c r="BB13" s="48">
        <v>360000000</v>
      </c>
      <c r="BC13" s="44" t="s">
        <v>107</v>
      </c>
      <c r="BD13" s="44" t="s">
        <v>108</v>
      </c>
      <c r="BE13" s="44" t="s">
        <v>109</v>
      </c>
      <c r="BF13" s="203">
        <v>334928982</v>
      </c>
      <c r="BG13" s="203">
        <v>0</v>
      </c>
      <c r="BH13" s="399"/>
      <c r="BI13" s="399"/>
      <c r="BJ13" s="399"/>
      <c r="BK13" s="402"/>
      <c r="BL13" s="44" t="s">
        <v>110</v>
      </c>
      <c r="BM13" s="52" t="s">
        <v>153</v>
      </c>
      <c r="BN13" s="44" t="s">
        <v>154</v>
      </c>
      <c r="BO13" s="44">
        <v>0</v>
      </c>
      <c r="BP13" s="59">
        <v>45078</v>
      </c>
      <c r="BQ13" s="44"/>
      <c r="BR13" s="44" t="s">
        <v>155</v>
      </c>
      <c r="BS13" s="44"/>
      <c r="BT13" s="44"/>
      <c r="BU13" s="60"/>
      <c r="BV13" s="60"/>
    </row>
    <row r="14" spans="1:74" ht="111" customHeight="1" x14ac:dyDescent="0.4">
      <c r="A14" s="243"/>
      <c r="B14" s="275"/>
      <c r="C14" s="275"/>
      <c r="D14" s="275"/>
      <c r="E14" s="275"/>
      <c r="F14" s="275"/>
      <c r="G14" s="333"/>
      <c r="H14" s="275"/>
      <c r="I14" s="333"/>
      <c r="J14" s="275"/>
      <c r="K14" s="275"/>
      <c r="L14" s="275"/>
      <c r="M14" s="275"/>
      <c r="N14" s="275"/>
      <c r="O14" s="280"/>
      <c r="P14" s="280"/>
      <c r="Q14" s="275"/>
      <c r="R14" s="281"/>
      <c r="S14" s="281"/>
      <c r="T14" s="281"/>
      <c r="U14" s="281"/>
      <c r="V14" s="281"/>
      <c r="W14" s="281"/>
      <c r="X14" s="281"/>
      <c r="Y14" s="236"/>
      <c r="Z14" s="236"/>
      <c r="AA14" s="277"/>
      <c r="AB14" s="277"/>
      <c r="AC14" s="322"/>
      <c r="AD14" s="322"/>
      <c r="AE14" s="288"/>
      <c r="AF14" s="288"/>
      <c r="AG14" s="288"/>
      <c r="AH14" s="288"/>
      <c r="AI14" s="365"/>
      <c r="AJ14" s="134" t="s">
        <v>156</v>
      </c>
      <c r="AK14" s="134" t="s">
        <v>150</v>
      </c>
      <c r="AL14" s="49">
        <v>3</v>
      </c>
      <c r="AM14" s="49" t="s">
        <v>99</v>
      </c>
      <c r="AN14" s="49">
        <v>0</v>
      </c>
      <c r="AO14" s="49">
        <v>0</v>
      </c>
      <c r="AP14" s="49">
        <v>0</v>
      </c>
      <c r="AQ14" s="103">
        <f>SUM(AM14:AP14)</f>
        <v>0</v>
      </c>
      <c r="AR14" s="125">
        <f t="shared" si="2"/>
        <v>0</v>
      </c>
      <c r="AS14" s="58">
        <f t="shared" si="1"/>
        <v>64.313706699233379</v>
      </c>
      <c r="AT14" s="46" t="s">
        <v>145</v>
      </c>
      <c r="AU14" s="46" t="s">
        <v>101</v>
      </c>
      <c r="AV14" s="46" t="s">
        <v>146</v>
      </c>
      <c r="AW14" s="47" t="s">
        <v>138</v>
      </c>
      <c r="AX14" s="47">
        <v>0</v>
      </c>
      <c r="AY14" s="44" t="s">
        <v>105</v>
      </c>
      <c r="AZ14" s="44" t="s">
        <v>106</v>
      </c>
      <c r="BA14" s="44" t="s">
        <v>1043</v>
      </c>
      <c r="BB14" s="210">
        <v>4119409333.3299999</v>
      </c>
      <c r="BC14" s="44" t="s">
        <v>107</v>
      </c>
      <c r="BD14" s="44" t="s">
        <v>108</v>
      </c>
      <c r="BE14" s="44" t="s">
        <v>109</v>
      </c>
      <c r="BF14" s="203">
        <v>0</v>
      </c>
      <c r="BG14" s="203">
        <v>0</v>
      </c>
      <c r="BH14" s="400"/>
      <c r="BI14" s="400"/>
      <c r="BJ14" s="400"/>
      <c r="BK14" s="403"/>
      <c r="BL14" s="44" t="s">
        <v>110</v>
      </c>
      <c r="BM14" s="52" t="s">
        <v>157</v>
      </c>
      <c r="BN14" s="44" t="s">
        <v>148</v>
      </c>
      <c r="BO14" s="44">
        <v>0</v>
      </c>
      <c r="BP14" s="59">
        <v>45078</v>
      </c>
      <c r="BQ14" s="44"/>
      <c r="BR14" s="44"/>
      <c r="BS14" s="44" t="s">
        <v>158</v>
      </c>
      <c r="BT14" s="44"/>
      <c r="BU14" s="60"/>
      <c r="BV14" s="60"/>
    </row>
    <row r="15" spans="1:74" ht="111" customHeight="1" x14ac:dyDescent="0.4">
      <c r="A15" s="243"/>
      <c r="B15" s="38"/>
      <c r="C15" s="38"/>
      <c r="D15" s="38"/>
      <c r="E15" s="38"/>
      <c r="F15" s="38"/>
      <c r="G15" s="61"/>
      <c r="H15" s="38"/>
      <c r="I15" s="61"/>
      <c r="J15" s="259"/>
      <c r="K15" s="246"/>
      <c r="L15" s="246"/>
      <c r="M15" s="246"/>
      <c r="N15" s="246"/>
      <c r="O15" s="246"/>
      <c r="P15" s="246"/>
      <c r="Q15" s="246"/>
      <c r="R15" s="237" t="s">
        <v>159</v>
      </c>
      <c r="S15" s="237"/>
      <c r="T15" s="237"/>
      <c r="U15" s="237"/>
      <c r="V15" s="237"/>
      <c r="W15" s="237"/>
      <c r="X15" s="237"/>
      <c r="Y15" s="237"/>
      <c r="Z15" s="237"/>
      <c r="AA15" s="142">
        <f>AVERAGE(AA9:AA14)</f>
        <v>0.5</v>
      </c>
      <c r="AB15" s="142">
        <f>AVERAGE(AB9:AB14)</f>
        <v>0.33333333333333331</v>
      </c>
      <c r="AC15" s="322"/>
      <c r="AD15" s="322"/>
      <c r="AE15" s="55"/>
      <c r="AF15" s="55"/>
      <c r="AG15" s="55"/>
      <c r="AH15" s="284" t="s">
        <v>160</v>
      </c>
      <c r="AI15" s="284"/>
      <c r="AJ15" s="284"/>
      <c r="AK15" s="284"/>
      <c r="AL15" s="284"/>
      <c r="AM15" s="284"/>
      <c r="AN15" s="284"/>
      <c r="AO15" s="284"/>
      <c r="AP15" s="284"/>
      <c r="AQ15" s="284"/>
      <c r="AR15" s="144">
        <f>AVERAGE(AR9:AR14)</f>
        <v>0.4</v>
      </c>
      <c r="AS15" s="58"/>
      <c r="AT15" s="46"/>
      <c r="AU15" s="46"/>
      <c r="AV15" s="46"/>
      <c r="AW15" s="47"/>
      <c r="AX15" s="44"/>
      <c r="AY15" s="49"/>
      <c r="AZ15" s="44"/>
      <c r="BA15" s="284" t="s">
        <v>1001</v>
      </c>
      <c r="BB15" s="284"/>
      <c r="BC15" s="284"/>
      <c r="BD15" s="284"/>
      <c r="BE15" s="284"/>
      <c r="BF15" s="284"/>
      <c r="BG15" s="284"/>
      <c r="BH15" s="171">
        <f>+BH9</f>
        <v>23189149673.779999</v>
      </c>
      <c r="BI15" s="171">
        <f>+BI9</f>
        <v>1141022639</v>
      </c>
      <c r="BJ15" s="171">
        <f>+BJ9</f>
        <v>701255275.35000002</v>
      </c>
      <c r="BK15" s="172">
        <f t="shared" ref="BK15" si="3">+BK9</f>
        <v>3.0240663638602939E-2</v>
      </c>
      <c r="BL15" s="44"/>
      <c r="BM15" s="52"/>
      <c r="BN15" s="44"/>
      <c r="BO15" s="44"/>
      <c r="BP15" s="59"/>
      <c r="BQ15" s="44"/>
      <c r="BR15" s="44"/>
      <c r="BS15" s="44"/>
      <c r="BT15" s="44"/>
      <c r="BU15" s="60"/>
      <c r="BV15" s="60"/>
    </row>
    <row r="16" spans="1:74" ht="91.5" customHeight="1" x14ac:dyDescent="0.4">
      <c r="A16" s="243"/>
      <c r="B16" s="246" t="s">
        <v>161</v>
      </c>
      <c r="C16" s="246" t="s">
        <v>162</v>
      </c>
      <c r="D16" s="47" t="s">
        <v>163</v>
      </c>
      <c r="E16" s="47" t="s">
        <v>164</v>
      </c>
      <c r="F16" s="47" t="s">
        <v>165</v>
      </c>
      <c r="G16" s="47">
        <v>567.9</v>
      </c>
      <c r="H16" s="47" t="s">
        <v>166</v>
      </c>
      <c r="I16" s="47">
        <v>567.9</v>
      </c>
      <c r="J16" s="258" t="s">
        <v>167</v>
      </c>
      <c r="K16" s="62" t="s">
        <v>168</v>
      </c>
      <c r="L16" s="47" t="s">
        <v>87</v>
      </c>
      <c r="M16" s="62" t="s">
        <v>169</v>
      </c>
      <c r="N16" s="62" t="s">
        <v>170</v>
      </c>
      <c r="O16" s="289">
        <v>2</v>
      </c>
      <c r="P16" s="289"/>
      <c r="Q16" s="47" t="s">
        <v>171</v>
      </c>
      <c r="R16" s="53">
        <v>60</v>
      </c>
      <c r="S16" s="53">
        <v>15</v>
      </c>
      <c r="T16" s="54">
        <v>2714</v>
      </c>
      <c r="U16" s="54">
        <v>36</v>
      </c>
      <c r="V16" s="54">
        <v>114</v>
      </c>
      <c r="W16" s="54">
        <v>104</v>
      </c>
      <c r="X16" s="42">
        <v>49</v>
      </c>
      <c r="Y16" s="196">
        <f>SUM(U16:X16)</f>
        <v>303</v>
      </c>
      <c r="Z16" s="196">
        <f>+T16+Y16</f>
        <v>3017</v>
      </c>
      <c r="AA16" s="116">
        <v>1</v>
      </c>
      <c r="AB16" s="116">
        <v>1</v>
      </c>
      <c r="AC16" s="322"/>
      <c r="AD16" s="322"/>
      <c r="AE16" s="273" t="s">
        <v>172</v>
      </c>
      <c r="AF16" s="273" t="s">
        <v>173</v>
      </c>
      <c r="AG16" s="273" t="s">
        <v>174</v>
      </c>
      <c r="AH16" s="273" t="s">
        <v>175</v>
      </c>
      <c r="AI16" s="279" t="s">
        <v>176</v>
      </c>
      <c r="AJ16" s="279" t="s">
        <v>177</v>
      </c>
      <c r="AK16" s="279" t="s">
        <v>178</v>
      </c>
      <c r="AL16" s="279">
        <v>12</v>
      </c>
      <c r="AM16" s="279">
        <v>9</v>
      </c>
      <c r="AN16" s="279">
        <v>3</v>
      </c>
      <c r="AO16" s="279">
        <v>0</v>
      </c>
      <c r="AP16" s="273">
        <v>2</v>
      </c>
      <c r="AQ16" s="327">
        <f>SUM(AM16:AP17)</f>
        <v>14</v>
      </c>
      <c r="AR16" s="326">
        <v>1</v>
      </c>
      <c r="AS16" s="366">
        <v>0.64</v>
      </c>
      <c r="AT16" s="279" t="s">
        <v>136</v>
      </c>
      <c r="AU16" s="279" t="s">
        <v>101</v>
      </c>
      <c r="AV16" s="279" t="s">
        <v>137</v>
      </c>
      <c r="AW16" s="279" t="s">
        <v>179</v>
      </c>
      <c r="AX16" s="279" t="s">
        <v>180</v>
      </c>
      <c r="AY16" s="273" t="s">
        <v>10</v>
      </c>
      <c r="AZ16" s="279" t="s">
        <v>181</v>
      </c>
      <c r="BA16" s="208" t="s">
        <v>182</v>
      </c>
      <c r="BB16" s="404">
        <v>400000000</v>
      </c>
      <c r="BC16" s="279" t="s">
        <v>107</v>
      </c>
      <c r="BD16" s="279" t="s">
        <v>183</v>
      </c>
      <c r="BE16" s="279" t="s">
        <v>184</v>
      </c>
      <c r="BF16" s="309">
        <v>331900000</v>
      </c>
      <c r="BG16" s="212">
        <v>312600000</v>
      </c>
      <c r="BH16" s="382">
        <f>+BB16+BB17+BB18</f>
        <v>623268913.76999998</v>
      </c>
      <c r="BI16" s="382">
        <v>331900000</v>
      </c>
      <c r="BJ16" s="382">
        <v>317900000</v>
      </c>
      <c r="BK16" s="385">
        <f>+BJ16/BH16</f>
        <v>0.51005271236311356</v>
      </c>
      <c r="BL16" s="279" t="s">
        <v>110</v>
      </c>
      <c r="BM16" s="279" t="s">
        <v>185</v>
      </c>
      <c r="BN16" s="243" t="s">
        <v>140</v>
      </c>
      <c r="BO16" s="243">
        <v>0</v>
      </c>
      <c r="BP16" s="313">
        <v>44927</v>
      </c>
      <c r="BQ16" s="244" t="s">
        <v>186</v>
      </c>
      <c r="BR16" s="244" t="s">
        <v>187</v>
      </c>
      <c r="BS16" s="244" t="s">
        <v>188</v>
      </c>
      <c r="BT16" s="244" t="s">
        <v>1022</v>
      </c>
      <c r="BU16" s="60" t="s">
        <v>114</v>
      </c>
      <c r="BV16" s="60" t="s">
        <v>114</v>
      </c>
    </row>
    <row r="17" spans="1:74" ht="87" customHeight="1" x14ac:dyDescent="0.4">
      <c r="A17" s="243"/>
      <c r="B17" s="246"/>
      <c r="C17" s="246"/>
      <c r="D17" s="258" t="s">
        <v>189</v>
      </c>
      <c r="E17" s="258" t="s">
        <v>190</v>
      </c>
      <c r="F17" s="258" t="s">
        <v>191</v>
      </c>
      <c r="G17" s="258">
        <v>51.7</v>
      </c>
      <c r="H17" s="258" t="s">
        <v>166</v>
      </c>
      <c r="I17" s="258">
        <v>51.7</v>
      </c>
      <c r="J17" s="275"/>
      <c r="K17" s="335" t="s">
        <v>192</v>
      </c>
      <c r="L17" s="258" t="s">
        <v>87</v>
      </c>
      <c r="M17" s="335" t="s">
        <v>193</v>
      </c>
      <c r="N17" s="256" t="s">
        <v>194</v>
      </c>
      <c r="O17" s="289">
        <v>2</v>
      </c>
      <c r="P17" s="289"/>
      <c r="Q17" s="256" t="s">
        <v>171</v>
      </c>
      <c r="R17" s="268">
        <v>60</v>
      </c>
      <c r="S17" s="268">
        <v>15</v>
      </c>
      <c r="T17" s="268">
        <v>157</v>
      </c>
      <c r="U17" s="268">
        <v>7</v>
      </c>
      <c r="V17" s="268">
        <v>1</v>
      </c>
      <c r="W17" s="268">
        <v>0</v>
      </c>
      <c r="X17" s="268">
        <v>0</v>
      </c>
      <c r="Y17" s="232">
        <f>SUM(U17:X18)</f>
        <v>8</v>
      </c>
      <c r="Z17" s="232">
        <f>+T17+Y17</f>
        <v>165</v>
      </c>
      <c r="AA17" s="276">
        <f>+Y17/S17</f>
        <v>0.53333333333333333</v>
      </c>
      <c r="AB17" s="276">
        <v>1</v>
      </c>
      <c r="AC17" s="322"/>
      <c r="AD17" s="322"/>
      <c r="AE17" s="288"/>
      <c r="AF17" s="288"/>
      <c r="AG17" s="288"/>
      <c r="AH17" s="288"/>
      <c r="AI17" s="279"/>
      <c r="AJ17" s="279"/>
      <c r="AK17" s="279"/>
      <c r="AL17" s="279"/>
      <c r="AM17" s="279"/>
      <c r="AN17" s="279"/>
      <c r="AO17" s="279"/>
      <c r="AP17" s="274"/>
      <c r="AQ17" s="329"/>
      <c r="AR17" s="326" t="e">
        <f t="shared" si="2"/>
        <v>#DIV/0!</v>
      </c>
      <c r="AS17" s="279"/>
      <c r="AT17" s="279"/>
      <c r="AU17" s="279"/>
      <c r="AV17" s="279" t="s">
        <v>137</v>
      </c>
      <c r="AW17" s="279"/>
      <c r="AX17" s="279"/>
      <c r="AY17" s="274"/>
      <c r="AZ17" s="279"/>
      <c r="BA17" s="208" t="s">
        <v>1046</v>
      </c>
      <c r="BB17" s="404"/>
      <c r="BC17" s="279"/>
      <c r="BD17" s="279"/>
      <c r="BE17" s="279"/>
      <c r="BF17" s="310"/>
      <c r="BG17" s="212">
        <v>0</v>
      </c>
      <c r="BH17" s="383"/>
      <c r="BI17" s="383"/>
      <c r="BJ17" s="383"/>
      <c r="BK17" s="386"/>
      <c r="BL17" s="279"/>
      <c r="BM17" s="279"/>
      <c r="BN17" s="243"/>
      <c r="BO17" s="243"/>
      <c r="BP17" s="314">
        <v>44927</v>
      </c>
      <c r="BQ17" s="243"/>
      <c r="BR17" s="243"/>
      <c r="BS17" s="243"/>
      <c r="BT17" s="243"/>
      <c r="BU17" s="60" t="s">
        <v>114</v>
      </c>
      <c r="BV17" s="60" t="s">
        <v>114</v>
      </c>
    </row>
    <row r="18" spans="1:74" ht="144" customHeight="1" x14ac:dyDescent="0.4">
      <c r="A18" s="243"/>
      <c r="B18" s="246"/>
      <c r="C18" s="246"/>
      <c r="D18" s="259"/>
      <c r="E18" s="259"/>
      <c r="F18" s="259"/>
      <c r="G18" s="259"/>
      <c r="H18" s="259"/>
      <c r="I18" s="259"/>
      <c r="J18" s="275"/>
      <c r="K18" s="336"/>
      <c r="L18" s="259"/>
      <c r="M18" s="336"/>
      <c r="N18" s="257"/>
      <c r="O18" s="289"/>
      <c r="P18" s="289"/>
      <c r="Q18" s="257"/>
      <c r="R18" s="269"/>
      <c r="S18" s="269"/>
      <c r="T18" s="269"/>
      <c r="U18" s="269"/>
      <c r="V18" s="269"/>
      <c r="W18" s="269"/>
      <c r="X18" s="269"/>
      <c r="Y18" s="233"/>
      <c r="Z18" s="233"/>
      <c r="AA18" s="277"/>
      <c r="AB18" s="277"/>
      <c r="AC18" s="322"/>
      <c r="AD18" s="322"/>
      <c r="AE18" s="288"/>
      <c r="AF18" s="288"/>
      <c r="AG18" s="288"/>
      <c r="AH18" s="274"/>
      <c r="AI18" s="46" t="s">
        <v>195</v>
      </c>
      <c r="AJ18" s="46" t="s">
        <v>196</v>
      </c>
      <c r="AK18" s="46" t="s">
        <v>197</v>
      </c>
      <c r="AL18" s="46">
        <v>1</v>
      </c>
      <c r="AM18" s="44" t="s">
        <v>99</v>
      </c>
      <c r="AN18" s="44">
        <v>0</v>
      </c>
      <c r="AO18" s="44">
        <v>0</v>
      </c>
      <c r="AP18" s="44">
        <v>0</v>
      </c>
      <c r="AQ18" s="102">
        <f>SUM(AM18:AP18)</f>
        <v>0</v>
      </c>
      <c r="AR18" s="125">
        <f t="shared" si="2"/>
        <v>0</v>
      </c>
      <c r="AS18" s="63">
        <v>0.36</v>
      </c>
      <c r="AT18" s="46" t="s">
        <v>145</v>
      </c>
      <c r="AU18" s="46" t="s">
        <v>101</v>
      </c>
      <c r="AV18" s="46" t="s">
        <v>146</v>
      </c>
      <c r="AW18" s="46" t="s">
        <v>198</v>
      </c>
      <c r="AX18" s="44">
        <v>0</v>
      </c>
      <c r="AY18" s="68" t="s">
        <v>10</v>
      </c>
      <c r="AZ18" s="68" t="s">
        <v>181</v>
      </c>
      <c r="BA18" s="46" t="s">
        <v>199</v>
      </c>
      <c r="BB18" s="64">
        <v>223268913.77000001</v>
      </c>
      <c r="BC18" s="44" t="s">
        <v>107</v>
      </c>
      <c r="BD18" s="46" t="s">
        <v>183</v>
      </c>
      <c r="BE18" s="46" t="s">
        <v>184</v>
      </c>
      <c r="BF18" s="204">
        <v>0</v>
      </c>
      <c r="BG18" s="204">
        <v>0</v>
      </c>
      <c r="BH18" s="384"/>
      <c r="BI18" s="384"/>
      <c r="BJ18" s="384"/>
      <c r="BK18" s="387"/>
      <c r="BL18" s="46" t="s">
        <v>200</v>
      </c>
      <c r="BM18" s="46" t="s">
        <v>91</v>
      </c>
      <c r="BN18" s="46" t="s">
        <v>91</v>
      </c>
      <c r="BO18" s="46" t="s">
        <v>91</v>
      </c>
      <c r="BP18" s="46" t="s">
        <v>91</v>
      </c>
      <c r="BQ18" s="44"/>
      <c r="BR18" s="44" t="s">
        <v>201</v>
      </c>
      <c r="BS18" s="44" t="s">
        <v>201</v>
      </c>
      <c r="BT18" s="44" t="s">
        <v>201</v>
      </c>
      <c r="BU18" s="60"/>
      <c r="BV18" s="60"/>
    </row>
    <row r="19" spans="1:74" ht="144" customHeight="1" x14ac:dyDescent="0.4">
      <c r="A19" s="243"/>
      <c r="B19" s="246"/>
      <c r="C19" s="246"/>
      <c r="D19" s="39"/>
      <c r="E19" s="39"/>
      <c r="F19" s="39"/>
      <c r="G19" s="39"/>
      <c r="H19" s="39"/>
      <c r="I19" s="39"/>
      <c r="J19" s="259"/>
      <c r="K19" s="285"/>
      <c r="L19" s="286"/>
      <c r="M19" s="286"/>
      <c r="N19" s="286"/>
      <c r="O19" s="286"/>
      <c r="P19" s="286"/>
      <c r="Q19" s="287"/>
      <c r="R19" s="229" t="s">
        <v>202</v>
      </c>
      <c r="S19" s="230"/>
      <c r="T19" s="230"/>
      <c r="U19" s="230"/>
      <c r="V19" s="230"/>
      <c r="W19" s="230"/>
      <c r="X19" s="230"/>
      <c r="Y19" s="230"/>
      <c r="Z19" s="231"/>
      <c r="AA19" s="142">
        <f>AVERAGE(AA16:AA18)</f>
        <v>0.76666666666666661</v>
      </c>
      <c r="AB19" s="142">
        <f>AVERAGE(AB16:AB18)</f>
        <v>1</v>
      </c>
      <c r="AC19" s="322"/>
      <c r="AD19" s="322"/>
      <c r="AE19" s="288"/>
      <c r="AF19" s="288"/>
      <c r="AG19" s="274"/>
      <c r="AH19" s="284" t="s">
        <v>203</v>
      </c>
      <c r="AI19" s="284"/>
      <c r="AJ19" s="284"/>
      <c r="AK19" s="284"/>
      <c r="AL19" s="284"/>
      <c r="AM19" s="284"/>
      <c r="AN19" s="284"/>
      <c r="AO19" s="284"/>
      <c r="AP19" s="284"/>
      <c r="AQ19" s="284"/>
      <c r="AR19" s="143">
        <f>+(AR16+AR18)/2</f>
        <v>0.5</v>
      </c>
      <c r="AS19" s="63"/>
      <c r="AT19" s="46"/>
      <c r="AU19" s="46"/>
      <c r="AV19" s="46"/>
      <c r="AW19" s="46"/>
      <c r="AX19" s="44"/>
      <c r="AY19" s="68"/>
      <c r="AZ19" s="68"/>
      <c r="BA19" s="284" t="s">
        <v>1000</v>
      </c>
      <c r="BB19" s="284"/>
      <c r="BC19" s="284"/>
      <c r="BD19" s="284"/>
      <c r="BE19" s="284"/>
      <c r="BF19" s="284"/>
      <c r="BG19" s="284"/>
      <c r="BH19" s="173">
        <f>+BH16</f>
        <v>623268913.76999998</v>
      </c>
      <c r="BI19" s="173">
        <f t="shared" ref="BI19:BJ19" si="4">+BI16</f>
        <v>331900000</v>
      </c>
      <c r="BJ19" s="173">
        <f t="shared" si="4"/>
        <v>317900000</v>
      </c>
      <c r="BK19" s="174">
        <f>+BK16</f>
        <v>0.51005271236311356</v>
      </c>
      <c r="BL19" s="46"/>
      <c r="BM19" s="46"/>
      <c r="BN19" s="46"/>
      <c r="BO19" s="46"/>
      <c r="BP19" s="145"/>
      <c r="BQ19" s="44"/>
      <c r="BR19" s="44"/>
      <c r="BS19" s="44"/>
      <c r="BT19" s="44"/>
      <c r="BU19" s="60"/>
      <c r="BV19" s="60"/>
    </row>
    <row r="20" spans="1:74" ht="409.5" x14ac:dyDescent="0.4">
      <c r="A20" s="243"/>
      <c r="B20" s="246"/>
      <c r="C20" s="246"/>
      <c r="D20" s="246" t="s">
        <v>204</v>
      </c>
      <c r="E20" s="246" t="s">
        <v>205</v>
      </c>
      <c r="F20" s="246" t="s">
        <v>206</v>
      </c>
      <c r="G20" s="246">
        <v>1195</v>
      </c>
      <c r="H20" s="246" t="s">
        <v>87</v>
      </c>
      <c r="I20" s="246">
        <v>1195</v>
      </c>
      <c r="J20" s="246" t="s">
        <v>207</v>
      </c>
      <c r="K20" s="62" t="s">
        <v>208</v>
      </c>
      <c r="L20" s="47" t="s">
        <v>87</v>
      </c>
      <c r="M20" s="62" t="s">
        <v>209</v>
      </c>
      <c r="N20" s="62" t="s">
        <v>210</v>
      </c>
      <c r="O20" s="289">
        <v>1</v>
      </c>
      <c r="P20" s="289"/>
      <c r="Q20" s="47" t="s">
        <v>211</v>
      </c>
      <c r="R20" s="53">
        <v>1</v>
      </c>
      <c r="S20" s="53">
        <v>1</v>
      </c>
      <c r="T20" s="54">
        <v>0</v>
      </c>
      <c r="U20" s="54">
        <v>0</v>
      </c>
      <c r="V20" s="54">
        <v>0</v>
      </c>
      <c r="W20" s="54">
        <v>0</v>
      </c>
      <c r="X20" s="42">
        <v>0</v>
      </c>
      <c r="Y20" s="196">
        <f>SUM(U20:X20)</f>
        <v>0</v>
      </c>
      <c r="Z20" s="196">
        <v>0</v>
      </c>
      <c r="AA20" s="116">
        <f>+Y20/S20</f>
        <v>0</v>
      </c>
      <c r="AB20" s="116">
        <f>+(T20+W20)/R20</f>
        <v>0</v>
      </c>
      <c r="AC20" s="322"/>
      <c r="AD20" s="322"/>
      <c r="AE20" s="288"/>
      <c r="AF20" s="288"/>
      <c r="AG20" s="279" t="s">
        <v>212</v>
      </c>
      <c r="AH20" s="279" t="s">
        <v>213</v>
      </c>
      <c r="AI20" s="373" t="s">
        <v>214</v>
      </c>
      <c r="AJ20" s="68" t="s">
        <v>215</v>
      </c>
      <c r="AK20" s="44" t="s">
        <v>135</v>
      </c>
      <c r="AL20" s="45">
        <v>54</v>
      </c>
      <c r="AM20" s="45">
        <v>35</v>
      </c>
      <c r="AN20" s="45">
        <v>13</v>
      </c>
      <c r="AO20" s="45">
        <v>2</v>
      </c>
      <c r="AP20" s="45">
        <v>0</v>
      </c>
      <c r="AQ20" s="104">
        <f>SUM(AM20:AP20)</f>
        <v>50</v>
      </c>
      <c r="AR20" s="124">
        <f t="shared" si="2"/>
        <v>0.92592592592592593</v>
      </c>
      <c r="AS20" s="69">
        <v>0.49</v>
      </c>
      <c r="AT20" s="46" t="s">
        <v>136</v>
      </c>
      <c r="AU20" s="46" t="s">
        <v>101</v>
      </c>
      <c r="AV20" s="46" t="s">
        <v>137</v>
      </c>
      <c r="AW20" s="68" t="s">
        <v>216</v>
      </c>
      <c r="AX20" s="68" t="s">
        <v>216</v>
      </c>
      <c r="AY20" s="68" t="s">
        <v>10</v>
      </c>
      <c r="AZ20" s="68" t="s">
        <v>181</v>
      </c>
      <c r="BA20" s="68" t="s">
        <v>1038</v>
      </c>
      <c r="BB20" s="48">
        <f>1381100000+72666666.67</f>
        <v>1453766666.6700001</v>
      </c>
      <c r="BC20" s="44" t="s">
        <v>107</v>
      </c>
      <c r="BD20" s="44" t="s">
        <v>217</v>
      </c>
      <c r="BE20" s="44" t="s">
        <v>218</v>
      </c>
      <c r="BF20" s="48">
        <v>1449853333.6700001</v>
      </c>
      <c r="BG20" s="48">
        <v>1423026667</v>
      </c>
      <c r="BH20" s="382">
        <f>+BB20+BB21+BB22+BB23+BB24</f>
        <v>2952678626.73</v>
      </c>
      <c r="BI20" s="382">
        <v>1606464585.03</v>
      </c>
      <c r="BJ20" s="382">
        <v>1490860652.03</v>
      </c>
      <c r="BK20" s="385">
        <f>+BJ20/BH20</f>
        <v>0.50491802207444492</v>
      </c>
      <c r="BL20" s="44" t="s">
        <v>110</v>
      </c>
      <c r="BM20" s="44" t="s">
        <v>219</v>
      </c>
      <c r="BN20" s="44" t="s">
        <v>140</v>
      </c>
      <c r="BO20" s="44">
        <v>0</v>
      </c>
      <c r="BP20" s="59">
        <v>44927</v>
      </c>
      <c r="BQ20" s="44" t="s">
        <v>220</v>
      </c>
      <c r="BR20" s="44" t="s">
        <v>221</v>
      </c>
      <c r="BS20" s="44" t="s">
        <v>222</v>
      </c>
      <c r="BT20" s="44"/>
      <c r="BU20" s="60" t="s">
        <v>114</v>
      </c>
      <c r="BV20" s="60" t="s">
        <v>114</v>
      </c>
    </row>
    <row r="21" spans="1:74" ht="409.5" x14ac:dyDescent="0.4">
      <c r="A21" s="243"/>
      <c r="B21" s="246"/>
      <c r="C21" s="246"/>
      <c r="D21" s="246"/>
      <c r="E21" s="246"/>
      <c r="F21" s="246"/>
      <c r="G21" s="246"/>
      <c r="H21" s="246"/>
      <c r="I21" s="246"/>
      <c r="J21" s="246"/>
      <c r="K21" s="56" t="s">
        <v>223</v>
      </c>
      <c r="L21" s="56" t="s">
        <v>87</v>
      </c>
      <c r="M21" s="56" t="s">
        <v>224</v>
      </c>
      <c r="N21" s="56" t="s">
        <v>225</v>
      </c>
      <c r="O21" s="289">
        <v>2</v>
      </c>
      <c r="P21" s="289"/>
      <c r="Q21" s="56" t="s">
        <v>226</v>
      </c>
      <c r="R21" s="53">
        <v>8</v>
      </c>
      <c r="S21" s="53">
        <v>2</v>
      </c>
      <c r="T21" s="54">
        <v>20</v>
      </c>
      <c r="U21" s="54">
        <v>8</v>
      </c>
      <c r="V21" s="54">
        <v>0</v>
      </c>
      <c r="W21" s="54">
        <v>0</v>
      </c>
      <c r="X21" s="42">
        <v>0</v>
      </c>
      <c r="Y21" s="196">
        <f>SUM(U21:X21)</f>
        <v>8</v>
      </c>
      <c r="Z21" s="196">
        <f>+T21+Y21</f>
        <v>28</v>
      </c>
      <c r="AA21" s="116">
        <v>1</v>
      </c>
      <c r="AB21" s="116">
        <v>1</v>
      </c>
      <c r="AC21" s="322"/>
      <c r="AD21" s="322"/>
      <c r="AE21" s="288"/>
      <c r="AF21" s="288"/>
      <c r="AG21" s="279"/>
      <c r="AH21" s="279"/>
      <c r="AI21" s="373"/>
      <c r="AJ21" s="68" t="s">
        <v>227</v>
      </c>
      <c r="AK21" s="44" t="s">
        <v>228</v>
      </c>
      <c r="AL21" s="45">
        <v>1</v>
      </c>
      <c r="AM21" s="45">
        <v>0</v>
      </c>
      <c r="AN21" s="45">
        <v>0</v>
      </c>
      <c r="AO21" s="45">
        <v>0</v>
      </c>
      <c r="AP21" s="45">
        <v>0</v>
      </c>
      <c r="AQ21" s="104">
        <f>SUM(AM21:AP21)</f>
        <v>0</v>
      </c>
      <c r="AR21" s="124">
        <f>+AQ21/AL21</f>
        <v>0</v>
      </c>
      <c r="AS21" s="70">
        <v>3.3999999999999998E-3</v>
      </c>
      <c r="AT21" s="46" t="s">
        <v>136</v>
      </c>
      <c r="AU21" s="46" t="s">
        <v>101</v>
      </c>
      <c r="AV21" s="46" t="s">
        <v>137</v>
      </c>
      <c r="AW21" s="68" t="s">
        <v>216</v>
      </c>
      <c r="AX21" s="68">
        <v>0</v>
      </c>
      <c r="AY21" s="68" t="s">
        <v>10</v>
      </c>
      <c r="AZ21" s="68" t="s">
        <v>181</v>
      </c>
      <c r="BA21" s="68" t="s">
        <v>1047</v>
      </c>
      <c r="BB21" s="48">
        <v>10083333.33</v>
      </c>
      <c r="BC21" s="44" t="s">
        <v>107</v>
      </c>
      <c r="BD21" s="44" t="s">
        <v>217</v>
      </c>
      <c r="BE21" s="44" t="s">
        <v>218</v>
      </c>
      <c r="BF21" s="48">
        <v>0</v>
      </c>
      <c r="BG21" s="48">
        <v>22212776.109999999</v>
      </c>
      <c r="BH21" s="383"/>
      <c r="BI21" s="383"/>
      <c r="BJ21" s="383"/>
      <c r="BK21" s="386"/>
      <c r="BL21" s="44" t="s">
        <v>110</v>
      </c>
      <c r="BM21" s="44" t="s">
        <v>229</v>
      </c>
      <c r="BN21" s="44" t="s">
        <v>230</v>
      </c>
      <c r="BO21" s="44">
        <v>0</v>
      </c>
      <c r="BP21" s="59">
        <v>44927</v>
      </c>
      <c r="BQ21" s="51"/>
      <c r="BR21" s="44" t="s">
        <v>231</v>
      </c>
      <c r="BS21" s="44" t="s">
        <v>232</v>
      </c>
      <c r="BT21" s="44"/>
      <c r="BU21" s="60" t="s">
        <v>114</v>
      </c>
      <c r="BV21" s="60" t="s">
        <v>114</v>
      </c>
    </row>
    <row r="22" spans="1:74" ht="409.5" x14ac:dyDescent="0.4">
      <c r="A22" s="243"/>
      <c r="B22" s="246"/>
      <c r="C22" s="246"/>
      <c r="D22" s="246"/>
      <c r="E22" s="246"/>
      <c r="F22" s="246"/>
      <c r="G22" s="246"/>
      <c r="H22" s="246"/>
      <c r="I22" s="246"/>
      <c r="J22" s="246"/>
      <c r="K22" s="258" t="s">
        <v>233</v>
      </c>
      <c r="L22" s="258" t="s">
        <v>87</v>
      </c>
      <c r="M22" s="258" t="s">
        <v>234</v>
      </c>
      <c r="N22" s="258" t="s">
        <v>235</v>
      </c>
      <c r="O22" s="290">
        <v>1</v>
      </c>
      <c r="P22" s="291"/>
      <c r="Q22" s="258" t="s">
        <v>211</v>
      </c>
      <c r="R22" s="254" t="s">
        <v>236</v>
      </c>
      <c r="S22" s="254" t="s">
        <v>237</v>
      </c>
      <c r="T22" s="258" t="s">
        <v>238</v>
      </c>
      <c r="U22" s="260" t="s">
        <v>239</v>
      </c>
      <c r="V22" s="260" t="s">
        <v>240</v>
      </c>
      <c r="W22" s="260" t="s">
        <v>240</v>
      </c>
      <c r="X22" s="260" t="s">
        <v>240</v>
      </c>
      <c r="Y22" s="238">
        <f>+(12.5%/4)*4</f>
        <v>0.125</v>
      </c>
      <c r="Z22" s="238">
        <f>37.5%+12.5%</f>
        <v>0.5</v>
      </c>
      <c r="AA22" s="276">
        <f>+Y22/12.5%</f>
        <v>1</v>
      </c>
      <c r="AB22" s="276">
        <f>37.5%+Y22</f>
        <v>0.5</v>
      </c>
      <c r="AC22" s="322"/>
      <c r="AD22" s="322"/>
      <c r="AE22" s="288"/>
      <c r="AF22" s="288"/>
      <c r="AG22" s="279"/>
      <c r="AH22" s="279"/>
      <c r="AI22" s="373" t="s">
        <v>241</v>
      </c>
      <c r="AJ22" s="68" t="s">
        <v>242</v>
      </c>
      <c r="AK22" s="44" t="s">
        <v>243</v>
      </c>
      <c r="AL22" s="45">
        <v>2</v>
      </c>
      <c r="AM22" s="45">
        <v>8</v>
      </c>
      <c r="AN22" s="45">
        <v>0</v>
      </c>
      <c r="AO22" s="45">
        <v>0</v>
      </c>
      <c r="AP22" s="45">
        <v>0</v>
      </c>
      <c r="AQ22" s="104">
        <f>SUM(AM22:AP22)</f>
        <v>8</v>
      </c>
      <c r="AR22" s="124">
        <v>1</v>
      </c>
      <c r="AS22" s="70">
        <v>0.08</v>
      </c>
      <c r="AT22" s="46" t="s">
        <v>136</v>
      </c>
      <c r="AU22" s="46" t="s">
        <v>101</v>
      </c>
      <c r="AV22" s="46" t="s">
        <v>137</v>
      </c>
      <c r="AW22" s="68" t="s">
        <v>244</v>
      </c>
      <c r="AX22" s="68">
        <v>5047</v>
      </c>
      <c r="AY22" s="68" t="s">
        <v>10</v>
      </c>
      <c r="AZ22" s="68" t="s">
        <v>181</v>
      </c>
      <c r="BA22" s="68" t="s">
        <v>1048</v>
      </c>
      <c r="BB22" s="48">
        <v>236150000</v>
      </c>
      <c r="BC22" s="44" t="s">
        <v>107</v>
      </c>
      <c r="BD22" s="44" t="s">
        <v>217</v>
      </c>
      <c r="BE22" s="44" t="s">
        <v>218</v>
      </c>
      <c r="BF22" s="48">
        <v>117000000</v>
      </c>
      <c r="BG22" s="48">
        <v>0</v>
      </c>
      <c r="BH22" s="383"/>
      <c r="BI22" s="383"/>
      <c r="BJ22" s="383"/>
      <c r="BK22" s="386"/>
      <c r="BL22" s="44" t="s">
        <v>110</v>
      </c>
      <c r="BM22" s="44" t="s">
        <v>219</v>
      </c>
      <c r="BN22" s="44" t="s">
        <v>140</v>
      </c>
      <c r="BO22" s="44">
        <v>0</v>
      </c>
      <c r="BP22" s="59">
        <v>44927</v>
      </c>
      <c r="BQ22" s="44" t="s">
        <v>245</v>
      </c>
      <c r="BR22" s="44" t="s">
        <v>246</v>
      </c>
      <c r="BS22" s="44" t="s">
        <v>247</v>
      </c>
      <c r="BT22" s="44"/>
      <c r="BU22" s="60" t="s">
        <v>114</v>
      </c>
      <c r="BV22" s="60" t="s">
        <v>114</v>
      </c>
    </row>
    <row r="23" spans="1:74" ht="132" customHeight="1" x14ac:dyDescent="0.4">
      <c r="A23" s="243"/>
      <c r="B23" s="246"/>
      <c r="C23" s="246"/>
      <c r="D23" s="246"/>
      <c r="E23" s="246"/>
      <c r="F23" s="246"/>
      <c r="G23" s="246"/>
      <c r="H23" s="246"/>
      <c r="I23" s="246"/>
      <c r="J23" s="246"/>
      <c r="K23" s="275"/>
      <c r="L23" s="275"/>
      <c r="M23" s="275"/>
      <c r="N23" s="275"/>
      <c r="O23" s="292"/>
      <c r="P23" s="293"/>
      <c r="Q23" s="275"/>
      <c r="R23" s="281"/>
      <c r="S23" s="281"/>
      <c r="T23" s="275"/>
      <c r="U23" s="282"/>
      <c r="V23" s="282"/>
      <c r="W23" s="282"/>
      <c r="X23" s="282"/>
      <c r="Y23" s="239"/>
      <c r="Z23" s="239"/>
      <c r="AA23" s="278"/>
      <c r="AB23" s="278"/>
      <c r="AC23" s="322"/>
      <c r="AD23" s="322"/>
      <c r="AE23" s="288"/>
      <c r="AF23" s="288"/>
      <c r="AG23" s="279"/>
      <c r="AH23" s="279"/>
      <c r="AI23" s="373"/>
      <c r="AJ23" s="68" t="s">
        <v>248</v>
      </c>
      <c r="AK23" s="44" t="s">
        <v>249</v>
      </c>
      <c r="AL23" s="45">
        <v>5</v>
      </c>
      <c r="AM23" s="47" t="s">
        <v>250</v>
      </c>
      <c r="AN23" s="47" t="s">
        <v>250</v>
      </c>
      <c r="AO23" s="45">
        <v>0</v>
      </c>
      <c r="AP23" s="45">
        <v>3</v>
      </c>
      <c r="AQ23" s="104">
        <f>SUM(AM23:AP23)</f>
        <v>3</v>
      </c>
      <c r="AR23" s="124">
        <f t="shared" si="2"/>
        <v>0.6</v>
      </c>
      <c r="AS23" s="70">
        <v>0.01</v>
      </c>
      <c r="AT23" s="46" t="s">
        <v>251</v>
      </c>
      <c r="AU23" s="46" t="s">
        <v>101</v>
      </c>
      <c r="AV23" s="46" t="s">
        <v>252</v>
      </c>
      <c r="AW23" s="68" t="s">
        <v>253</v>
      </c>
      <c r="AX23" s="68">
        <v>0</v>
      </c>
      <c r="AY23" s="68" t="s">
        <v>10</v>
      </c>
      <c r="AZ23" s="68" t="s">
        <v>181</v>
      </c>
      <c r="BA23" s="68" t="s">
        <v>1049</v>
      </c>
      <c r="BB23" s="48">
        <v>15000000</v>
      </c>
      <c r="BC23" s="44" t="s">
        <v>107</v>
      </c>
      <c r="BD23" s="44" t="s">
        <v>217</v>
      </c>
      <c r="BE23" s="44" t="s">
        <v>218</v>
      </c>
      <c r="BF23" s="48">
        <v>8483412</v>
      </c>
      <c r="BG23" s="48">
        <v>3594542.25</v>
      </c>
      <c r="BH23" s="383"/>
      <c r="BI23" s="383"/>
      <c r="BJ23" s="383"/>
      <c r="BK23" s="386"/>
      <c r="BL23" s="44" t="s">
        <v>200</v>
      </c>
      <c r="BM23" s="44" t="s">
        <v>254</v>
      </c>
      <c r="BN23" s="44" t="s">
        <v>91</v>
      </c>
      <c r="BO23" s="44" t="s">
        <v>91</v>
      </c>
      <c r="BP23" s="67" t="s">
        <v>91</v>
      </c>
      <c r="BQ23" s="44"/>
      <c r="BR23" s="44"/>
      <c r="BS23" s="44" t="s">
        <v>255</v>
      </c>
      <c r="BT23" s="44"/>
      <c r="BU23" s="60"/>
      <c r="BV23" s="60"/>
    </row>
    <row r="24" spans="1:74" ht="409.5" x14ac:dyDescent="0.4">
      <c r="A24" s="243"/>
      <c r="B24" s="246"/>
      <c r="C24" s="246"/>
      <c r="D24" s="246"/>
      <c r="E24" s="246"/>
      <c r="F24" s="246"/>
      <c r="G24" s="246"/>
      <c r="H24" s="246"/>
      <c r="I24" s="246"/>
      <c r="J24" s="246"/>
      <c r="K24" s="259"/>
      <c r="L24" s="259"/>
      <c r="M24" s="259"/>
      <c r="N24" s="259"/>
      <c r="O24" s="294"/>
      <c r="P24" s="295"/>
      <c r="Q24" s="259"/>
      <c r="R24" s="283"/>
      <c r="S24" s="283"/>
      <c r="T24" s="259"/>
      <c r="U24" s="261"/>
      <c r="V24" s="261"/>
      <c r="W24" s="261"/>
      <c r="X24" s="261"/>
      <c r="Y24" s="240"/>
      <c r="Z24" s="240"/>
      <c r="AA24" s="277"/>
      <c r="AB24" s="277"/>
      <c r="AC24" s="322"/>
      <c r="AD24" s="322"/>
      <c r="AE24" s="288"/>
      <c r="AF24" s="288"/>
      <c r="AG24" s="279"/>
      <c r="AH24" s="279"/>
      <c r="AI24" s="373"/>
      <c r="AJ24" s="68" t="s">
        <v>256</v>
      </c>
      <c r="AK24" s="44" t="s">
        <v>249</v>
      </c>
      <c r="AL24" s="45">
        <v>12</v>
      </c>
      <c r="AM24" s="45">
        <v>1</v>
      </c>
      <c r="AN24" s="45">
        <v>5</v>
      </c>
      <c r="AO24" s="45">
        <v>2</v>
      </c>
      <c r="AP24" s="45">
        <v>4</v>
      </c>
      <c r="AQ24" s="104">
        <f>SUM(AM24:AP24)</f>
        <v>12</v>
      </c>
      <c r="AR24" s="124">
        <f t="shared" si="2"/>
        <v>1</v>
      </c>
      <c r="AS24" s="70">
        <v>0.42</v>
      </c>
      <c r="AT24" s="46" t="s">
        <v>136</v>
      </c>
      <c r="AU24" s="46" t="s">
        <v>101</v>
      </c>
      <c r="AV24" s="46" t="s">
        <v>137</v>
      </c>
      <c r="AW24" s="68" t="s">
        <v>253</v>
      </c>
      <c r="AX24" s="68" t="s">
        <v>253</v>
      </c>
      <c r="AY24" s="68" t="s">
        <v>10</v>
      </c>
      <c r="AZ24" s="68" t="s">
        <v>181</v>
      </c>
      <c r="BA24" s="68" t="s">
        <v>1050</v>
      </c>
      <c r="BB24" s="48">
        <v>1237678626.73</v>
      </c>
      <c r="BC24" s="44" t="s">
        <v>107</v>
      </c>
      <c r="BD24" s="44" t="s">
        <v>217</v>
      </c>
      <c r="BE24" s="44" t="s">
        <v>218</v>
      </c>
      <c r="BF24" s="48">
        <v>24896675.359999999</v>
      </c>
      <c r="BG24" s="48">
        <v>0</v>
      </c>
      <c r="BH24" s="384"/>
      <c r="BI24" s="384"/>
      <c r="BJ24" s="384"/>
      <c r="BK24" s="387"/>
      <c r="BL24" s="44" t="s">
        <v>200</v>
      </c>
      <c r="BM24" s="44" t="s">
        <v>254</v>
      </c>
      <c r="BN24" s="44" t="s">
        <v>91</v>
      </c>
      <c r="BO24" s="44" t="s">
        <v>91</v>
      </c>
      <c r="BP24" s="67" t="s">
        <v>91</v>
      </c>
      <c r="BQ24" s="44" t="s">
        <v>257</v>
      </c>
      <c r="BR24" s="44" t="s">
        <v>258</v>
      </c>
      <c r="BS24" s="44" t="s">
        <v>259</v>
      </c>
      <c r="BT24" s="44"/>
      <c r="BU24" s="60" t="s">
        <v>114</v>
      </c>
      <c r="BV24" s="60" t="s">
        <v>114</v>
      </c>
    </row>
    <row r="25" spans="1:74" ht="137.25" customHeight="1" x14ac:dyDescent="0.4">
      <c r="A25" s="243"/>
      <c r="B25" s="246"/>
      <c r="C25" s="246"/>
      <c r="D25" s="47"/>
      <c r="E25" s="47"/>
      <c r="F25" s="47"/>
      <c r="G25" s="47"/>
      <c r="H25" s="47"/>
      <c r="I25" s="47"/>
      <c r="J25" s="47"/>
      <c r="K25" s="285"/>
      <c r="L25" s="286"/>
      <c r="M25" s="286"/>
      <c r="N25" s="286"/>
      <c r="O25" s="286"/>
      <c r="P25" s="286"/>
      <c r="Q25" s="287"/>
      <c r="R25" s="229" t="s">
        <v>260</v>
      </c>
      <c r="S25" s="230"/>
      <c r="T25" s="230"/>
      <c r="U25" s="230"/>
      <c r="V25" s="230"/>
      <c r="W25" s="230"/>
      <c r="X25" s="230"/>
      <c r="Y25" s="230"/>
      <c r="Z25" s="231"/>
      <c r="AA25" s="142">
        <f>AVERAGE(AA20:AA24)</f>
        <v>0.66666666666666663</v>
      </c>
      <c r="AB25" s="142">
        <f>AVERAGE(AB20:AB24)</f>
        <v>0.5</v>
      </c>
      <c r="AC25" s="322"/>
      <c r="AD25" s="322"/>
      <c r="AE25" s="288"/>
      <c r="AF25" s="288"/>
      <c r="AG25" s="46"/>
      <c r="AH25" s="284" t="s">
        <v>261</v>
      </c>
      <c r="AI25" s="284"/>
      <c r="AJ25" s="284"/>
      <c r="AK25" s="284"/>
      <c r="AL25" s="284"/>
      <c r="AM25" s="284"/>
      <c r="AN25" s="284"/>
      <c r="AO25" s="284"/>
      <c r="AP25" s="284"/>
      <c r="AQ25" s="284"/>
      <c r="AR25" s="139">
        <f>AVERAGE(AR20:AR24)</f>
        <v>0.70518518518518525</v>
      </c>
      <c r="AS25" s="70"/>
      <c r="AT25" s="46"/>
      <c r="AU25" s="46"/>
      <c r="AV25" s="46"/>
      <c r="AW25" s="68"/>
      <c r="AX25" s="68"/>
      <c r="AY25" s="68"/>
      <c r="AZ25" s="68"/>
      <c r="BA25" s="284" t="s">
        <v>1002</v>
      </c>
      <c r="BB25" s="284"/>
      <c r="BC25" s="284"/>
      <c r="BD25" s="284"/>
      <c r="BE25" s="284"/>
      <c r="BF25" s="284"/>
      <c r="BG25" s="284"/>
      <c r="BH25" s="177">
        <f>+BH20</f>
        <v>2952678626.73</v>
      </c>
      <c r="BI25" s="177">
        <f t="shared" ref="BI25:BJ25" si="5">+BI20</f>
        <v>1606464585.03</v>
      </c>
      <c r="BJ25" s="177">
        <f t="shared" si="5"/>
        <v>1490860652.03</v>
      </c>
      <c r="BK25" s="139">
        <f>+BK20</f>
        <v>0.50491802207444492</v>
      </c>
      <c r="BL25" s="44"/>
      <c r="BM25" s="44"/>
      <c r="BN25" s="44"/>
      <c r="BO25" s="44"/>
      <c r="BP25" s="67"/>
      <c r="BQ25" s="44"/>
      <c r="BR25" s="44"/>
      <c r="BS25" s="44"/>
      <c r="BT25" s="44"/>
      <c r="BU25" s="60"/>
      <c r="BV25" s="60"/>
    </row>
    <row r="26" spans="1:74" ht="409.5" x14ac:dyDescent="0.4">
      <c r="A26" s="243"/>
      <c r="B26" s="246"/>
      <c r="C26" s="246"/>
      <c r="D26" s="62" t="s">
        <v>262</v>
      </c>
      <c r="E26" s="62" t="s">
        <v>263</v>
      </c>
      <c r="F26" s="62" t="s">
        <v>264</v>
      </c>
      <c r="G26" s="47">
        <v>2228.8000000000002</v>
      </c>
      <c r="H26" s="47" t="s">
        <v>87</v>
      </c>
      <c r="I26" s="47">
        <v>2228.8000000000002</v>
      </c>
      <c r="J26" s="258" t="s">
        <v>265</v>
      </c>
      <c r="K26" s="62" t="s">
        <v>266</v>
      </c>
      <c r="L26" s="47" t="s">
        <v>87</v>
      </c>
      <c r="M26" s="62" t="s">
        <v>267</v>
      </c>
      <c r="N26" s="62" t="s">
        <v>268</v>
      </c>
      <c r="O26" s="289">
        <v>2</v>
      </c>
      <c r="P26" s="289"/>
      <c r="Q26" s="47" t="s">
        <v>269</v>
      </c>
      <c r="R26" s="53">
        <v>260</v>
      </c>
      <c r="S26" s="53">
        <v>29</v>
      </c>
      <c r="T26" s="54">
        <v>231</v>
      </c>
      <c r="U26" s="54">
        <v>20</v>
      </c>
      <c r="V26" s="54">
        <v>38</v>
      </c>
      <c r="W26" s="54">
        <v>40</v>
      </c>
      <c r="X26" s="42">
        <v>42</v>
      </c>
      <c r="Y26" s="196">
        <f>SUM(U26:X26)</f>
        <v>140</v>
      </c>
      <c r="Z26" s="196">
        <f>+T26+Y26</f>
        <v>371</v>
      </c>
      <c r="AA26" s="116">
        <v>1</v>
      </c>
      <c r="AB26" s="116">
        <v>1</v>
      </c>
      <c r="AC26" s="322"/>
      <c r="AD26" s="322"/>
      <c r="AE26" s="274"/>
      <c r="AF26" s="274"/>
      <c r="AG26" s="62" t="s">
        <v>270</v>
      </c>
      <c r="AH26" s="62" t="s">
        <v>271</v>
      </c>
      <c r="AI26" s="47" t="s">
        <v>272</v>
      </c>
      <c r="AJ26" s="47" t="s">
        <v>273</v>
      </c>
      <c r="AK26" s="47" t="s">
        <v>135</v>
      </c>
      <c r="AL26" s="47">
        <v>6</v>
      </c>
      <c r="AM26" s="47">
        <v>5</v>
      </c>
      <c r="AN26" s="47">
        <v>1</v>
      </c>
      <c r="AO26" s="47">
        <v>0</v>
      </c>
      <c r="AP26" s="47">
        <v>0</v>
      </c>
      <c r="AQ26" s="104">
        <f>SUM(AM26:AP26)</f>
        <v>6</v>
      </c>
      <c r="AR26" s="125">
        <f t="shared" si="2"/>
        <v>1</v>
      </c>
      <c r="AS26" s="71">
        <v>1</v>
      </c>
      <c r="AT26" s="46" t="s">
        <v>136</v>
      </c>
      <c r="AU26" s="46" t="s">
        <v>101</v>
      </c>
      <c r="AV26" s="46" t="s">
        <v>137</v>
      </c>
      <c r="AW26" s="47" t="s">
        <v>274</v>
      </c>
      <c r="AX26" s="47" t="s">
        <v>274</v>
      </c>
      <c r="AY26" s="68" t="s">
        <v>10</v>
      </c>
      <c r="AZ26" s="68" t="s">
        <v>181</v>
      </c>
      <c r="BA26" s="46" t="s">
        <v>182</v>
      </c>
      <c r="BB26" s="72">
        <v>200000000</v>
      </c>
      <c r="BC26" s="44" t="s">
        <v>107</v>
      </c>
      <c r="BD26" s="47" t="s">
        <v>275</v>
      </c>
      <c r="BE26" s="47" t="s">
        <v>276</v>
      </c>
      <c r="BF26" s="48">
        <v>189000000</v>
      </c>
      <c r="BG26" s="48">
        <v>189813332</v>
      </c>
      <c r="BH26" s="175">
        <v>200000000</v>
      </c>
      <c r="BI26" s="175">
        <v>192813332</v>
      </c>
      <c r="BJ26" s="175">
        <v>192813332</v>
      </c>
      <c r="BK26" s="176">
        <f>+BJ26/BH26</f>
        <v>0.96406665999999996</v>
      </c>
      <c r="BL26" s="44" t="s">
        <v>110</v>
      </c>
      <c r="BM26" s="47" t="s">
        <v>277</v>
      </c>
      <c r="BN26" s="44" t="s">
        <v>140</v>
      </c>
      <c r="BO26" s="44">
        <v>0</v>
      </c>
      <c r="BP26" s="59">
        <v>44927</v>
      </c>
      <c r="BQ26" s="47" t="s">
        <v>278</v>
      </c>
      <c r="BR26" s="47" t="s">
        <v>279</v>
      </c>
      <c r="BS26" s="47"/>
      <c r="BT26" s="47"/>
      <c r="BU26" s="60" t="s">
        <v>114</v>
      </c>
      <c r="BV26" s="60" t="s">
        <v>114</v>
      </c>
    </row>
    <row r="27" spans="1:74" ht="123.75" customHeight="1" x14ac:dyDescent="0.4">
      <c r="A27" s="243"/>
      <c r="B27" s="246"/>
      <c r="C27" s="246"/>
      <c r="D27" s="62"/>
      <c r="E27" s="62"/>
      <c r="F27" s="62"/>
      <c r="G27" s="47"/>
      <c r="H27" s="47"/>
      <c r="I27" s="47"/>
      <c r="J27" s="259"/>
      <c r="K27" s="285"/>
      <c r="L27" s="286"/>
      <c r="M27" s="286"/>
      <c r="N27" s="286"/>
      <c r="O27" s="286"/>
      <c r="P27" s="286"/>
      <c r="Q27" s="287"/>
      <c r="R27" s="229" t="s">
        <v>280</v>
      </c>
      <c r="S27" s="230"/>
      <c r="T27" s="230"/>
      <c r="U27" s="230"/>
      <c r="V27" s="230"/>
      <c r="W27" s="230"/>
      <c r="X27" s="230"/>
      <c r="Y27" s="230"/>
      <c r="Z27" s="231"/>
      <c r="AA27" s="142">
        <f>+AA26</f>
        <v>1</v>
      </c>
      <c r="AB27" s="142">
        <f>+AB26</f>
        <v>1</v>
      </c>
      <c r="AC27" s="322"/>
      <c r="AD27" s="322"/>
      <c r="AE27" s="66"/>
      <c r="AF27" s="66"/>
      <c r="AG27" s="62"/>
      <c r="AH27" s="284" t="s">
        <v>281</v>
      </c>
      <c r="AI27" s="284"/>
      <c r="AJ27" s="284"/>
      <c r="AK27" s="284"/>
      <c r="AL27" s="284"/>
      <c r="AM27" s="284"/>
      <c r="AN27" s="284"/>
      <c r="AO27" s="284"/>
      <c r="AP27" s="284"/>
      <c r="AQ27" s="284"/>
      <c r="AR27" s="144">
        <f>+AR26</f>
        <v>1</v>
      </c>
      <c r="AS27" s="71"/>
      <c r="AT27" s="46"/>
      <c r="AU27" s="46"/>
      <c r="AV27" s="46"/>
      <c r="AW27" s="47"/>
      <c r="AX27" s="47"/>
      <c r="AY27" s="68"/>
      <c r="AZ27" s="68"/>
      <c r="BA27" s="284" t="s">
        <v>1003</v>
      </c>
      <c r="BB27" s="284"/>
      <c r="BC27" s="284"/>
      <c r="BD27" s="284"/>
      <c r="BE27" s="284"/>
      <c r="BF27" s="284"/>
      <c r="BG27" s="284"/>
      <c r="BH27" s="178">
        <f>+BH26</f>
        <v>200000000</v>
      </c>
      <c r="BI27" s="178">
        <f t="shared" ref="BI27:BJ27" si="6">+BI26</f>
        <v>192813332</v>
      </c>
      <c r="BJ27" s="178">
        <f t="shared" si="6"/>
        <v>192813332</v>
      </c>
      <c r="BK27" s="138">
        <f>+BK26</f>
        <v>0.96406665999999996</v>
      </c>
      <c r="BL27" s="44"/>
      <c r="BM27" s="47"/>
      <c r="BN27" s="73"/>
      <c r="BO27" s="44"/>
      <c r="BP27" s="59"/>
      <c r="BQ27" s="47"/>
      <c r="BR27" s="47"/>
      <c r="BS27" s="38"/>
      <c r="BT27" s="38"/>
      <c r="BU27" s="60"/>
      <c r="BV27" s="60"/>
    </row>
    <row r="28" spans="1:74" ht="409.5" x14ac:dyDescent="0.4">
      <c r="A28" s="243"/>
      <c r="B28" s="246"/>
      <c r="C28" s="246"/>
      <c r="D28" s="62" t="s">
        <v>282</v>
      </c>
      <c r="E28" s="62" t="s">
        <v>283</v>
      </c>
      <c r="F28" s="62" t="s">
        <v>284</v>
      </c>
      <c r="G28" s="47">
        <v>1051</v>
      </c>
      <c r="H28" s="47" t="s">
        <v>87</v>
      </c>
      <c r="I28" s="47">
        <v>1051</v>
      </c>
      <c r="J28" s="258" t="s">
        <v>285</v>
      </c>
      <c r="K28" s="62" t="s">
        <v>286</v>
      </c>
      <c r="L28" s="47" t="s">
        <v>87</v>
      </c>
      <c r="M28" s="62" t="s">
        <v>287</v>
      </c>
      <c r="N28" s="62" t="s">
        <v>288</v>
      </c>
      <c r="O28" s="289">
        <v>1</v>
      </c>
      <c r="P28" s="289"/>
      <c r="Q28" s="47" t="s">
        <v>289</v>
      </c>
      <c r="R28" s="68" t="s">
        <v>290</v>
      </c>
      <c r="S28" s="68" t="s">
        <v>291</v>
      </c>
      <c r="T28" s="193" t="s">
        <v>292</v>
      </c>
      <c r="U28" s="101" t="s">
        <v>293</v>
      </c>
      <c r="V28" s="101" t="s">
        <v>293</v>
      </c>
      <c r="W28" s="101">
        <v>3</v>
      </c>
      <c r="X28" s="100">
        <v>3</v>
      </c>
      <c r="Y28" s="197">
        <f>+(12.5%/4)*4</f>
        <v>0.125</v>
      </c>
      <c r="Z28" s="197">
        <f>+Y28+37.5%</f>
        <v>0.5</v>
      </c>
      <c r="AA28" s="116">
        <f>+Y28/12.5%</f>
        <v>1</v>
      </c>
      <c r="AB28" s="116">
        <v>0.5</v>
      </c>
      <c r="AC28" s="322"/>
      <c r="AD28" s="322"/>
      <c r="AE28" s="279" t="s">
        <v>294</v>
      </c>
      <c r="AF28" s="279" t="s">
        <v>295</v>
      </c>
      <c r="AG28" s="279" t="s">
        <v>296</v>
      </c>
      <c r="AH28" s="279" t="s">
        <v>297</v>
      </c>
      <c r="AI28" s="279" t="s">
        <v>298</v>
      </c>
      <c r="AJ28" s="68" t="s">
        <v>299</v>
      </c>
      <c r="AK28" s="47" t="s">
        <v>300</v>
      </c>
      <c r="AL28" s="47">
        <v>1</v>
      </c>
      <c r="AM28" s="47">
        <v>0</v>
      </c>
      <c r="AN28" s="47">
        <v>0</v>
      </c>
      <c r="AO28" s="47">
        <v>1</v>
      </c>
      <c r="AP28" s="47">
        <v>0</v>
      </c>
      <c r="AQ28" s="104">
        <f>SUM(AM28:AP28)</f>
        <v>1</v>
      </c>
      <c r="AR28" s="125">
        <f t="shared" si="2"/>
        <v>1</v>
      </c>
      <c r="AS28" s="71">
        <v>3.8999999999999998E-3</v>
      </c>
      <c r="AT28" s="46" t="s">
        <v>136</v>
      </c>
      <c r="AU28" s="46" t="s">
        <v>101</v>
      </c>
      <c r="AV28" s="46" t="s">
        <v>137</v>
      </c>
      <c r="AW28" s="44" t="s">
        <v>301</v>
      </c>
      <c r="AX28" s="44" t="s">
        <v>301</v>
      </c>
      <c r="AY28" s="68" t="s">
        <v>10</v>
      </c>
      <c r="AZ28" s="68" t="s">
        <v>181</v>
      </c>
      <c r="BA28" s="250" t="s">
        <v>182</v>
      </c>
      <c r="BB28" s="205">
        <v>18303415</v>
      </c>
      <c r="BC28" s="254" t="s">
        <v>107</v>
      </c>
      <c r="BD28" s="260" t="s">
        <v>303</v>
      </c>
      <c r="BE28" s="262" t="s">
        <v>304</v>
      </c>
      <c r="BF28" s="205">
        <v>0</v>
      </c>
      <c r="BG28" s="388">
        <v>2164135953</v>
      </c>
      <c r="BH28" s="371">
        <v>5052876515</v>
      </c>
      <c r="BI28" s="371">
        <v>4671237458.9399996</v>
      </c>
      <c r="BJ28" s="371">
        <v>4314412468.0600004</v>
      </c>
      <c r="BK28" s="372">
        <f>+BJ28/BH28</f>
        <v>0.85385274214642082</v>
      </c>
      <c r="BL28" s="44" t="s">
        <v>110</v>
      </c>
      <c r="BM28" s="47" t="s">
        <v>305</v>
      </c>
      <c r="BN28" s="73" t="s">
        <v>230</v>
      </c>
      <c r="BO28" s="44">
        <v>0</v>
      </c>
      <c r="BP28" s="59">
        <v>44927</v>
      </c>
      <c r="BQ28" s="51" t="s">
        <v>306</v>
      </c>
      <c r="BR28" s="47" t="s">
        <v>307</v>
      </c>
      <c r="BS28" s="73" t="s">
        <v>308</v>
      </c>
      <c r="BT28" s="73"/>
      <c r="BU28" s="60" t="s">
        <v>114</v>
      </c>
      <c r="BV28" s="60" t="s">
        <v>114</v>
      </c>
    </row>
    <row r="29" spans="1:74" ht="409.5" x14ac:dyDescent="0.4">
      <c r="A29" s="243"/>
      <c r="B29" s="246"/>
      <c r="C29" s="246"/>
      <c r="D29" s="62" t="s">
        <v>309</v>
      </c>
      <c r="E29" s="62" t="s">
        <v>169</v>
      </c>
      <c r="F29" s="62" t="s">
        <v>310</v>
      </c>
      <c r="G29" s="71">
        <v>0.3</v>
      </c>
      <c r="H29" s="47" t="s">
        <v>84</v>
      </c>
      <c r="I29" s="71">
        <v>0.3</v>
      </c>
      <c r="J29" s="275"/>
      <c r="K29" s="62" t="s">
        <v>311</v>
      </c>
      <c r="L29" s="47" t="s">
        <v>87</v>
      </c>
      <c r="M29" s="62" t="s">
        <v>312</v>
      </c>
      <c r="N29" s="62" t="s">
        <v>313</v>
      </c>
      <c r="O29" s="289">
        <v>2</v>
      </c>
      <c r="P29" s="289"/>
      <c r="Q29" s="47" t="s">
        <v>314</v>
      </c>
      <c r="R29" s="53">
        <v>3000</v>
      </c>
      <c r="S29" s="68" t="s">
        <v>315</v>
      </c>
      <c r="T29" s="54">
        <v>6126</v>
      </c>
      <c r="U29" s="68" t="s">
        <v>315</v>
      </c>
      <c r="V29" s="68" t="s">
        <v>315</v>
      </c>
      <c r="W29" s="68" t="s">
        <v>315</v>
      </c>
      <c r="X29" s="68" t="s">
        <v>315</v>
      </c>
      <c r="Y29" s="196" t="s">
        <v>125</v>
      </c>
      <c r="Z29" s="196">
        <f>+T29</f>
        <v>6126</v>
      </c>
      <c r="AA29" s="116" t="s">
        <v>125</v>
      </c>
      <c r="AB29" s="116">
        <v>1</v>
      </c>
      <c r="AC29" s="322"/>
      <c r="AD29" s="322"/>
      <c r="AE29" s="279"/>
      <c r="AF29" s="279"/>
      <c r="AG29" s="279"/>
      <c r="AH29" s="279"/>
      <c r="AI29" s="279"/>
      <c r="AJ29" s="68" t="s">
        <v>316</v>
      </c>
      <c r="AK29" s="47" t="s">
        <v>317</v>
      </c>
      <c r="AL29" s="47">
        <v>1</v>
      </c>
      <c r="AM29" s="47" t="s">
        <v>99</v>
      </c>
      <c r="AN29" s="47">
        <v>0</v>
      </c>
      <c r="AO29" s="47">
        <v>1</v>
      </c>
      <c r="AP29" s="47">
        <v>0</v>
      </c>
      <c r="AQ29" s="104">
        <f>SUM(AM29:AP29)</f>
        <v>1</v>
      </c>
      <c r="AR29" s="125">
        <f t="shared" si="2"/>
        <v>1</v>
      </c>
      <c r="AS29" s="71">
        <v>0.52610000000000001</v>
      </c>
      <c r="AT29" s="46" t="s">
        <v>136</v>
      </c>
      <c r="AU29" s="46" t="s">
        <v>101</v>
      </c>
      <c r="AV29" s="46" t="s">
        <v>137</v>
      </c>
      <c r="AW29" s="44" t="s">
        <v>301</v>
      </c>
      <c r="AX29" s="44" t="s">
        <v>301</v>
      </c>
      <c r="AY29" s="68" t="s">
        <v>10</v>
      </c>
      <c r="AZ29" s="68" t="s">
        <v>181</v>
      </c>
      <c r="BA29" s="251"/>
      <c r="BB29" s="74">
        <v>2489576515</v>
      </c>
      <c r="BC29" s="255"/>
      <c r="BD29" s="261"/>
      <c r="BE29" s="263"/>
      <c r="BF29" s="205">
        <f>1767879930+251901284.94+200259659</f>
        <v>2220040873.9400001</v>
      </c>
      <c r="BG29" s="389"/>
      <c r="BH29" s="371"/>
      <c r="BI29" s="371"/>
      <c r="BJ29" s="371"/>
      <c r="BK29" s="372"/>
      <c r="BL29" s="44" t="s">
        <v>110</v>
      </c>
      <c r="BM29" s="73" t="s">
        <v>318</v>
      </c>
      <c r="BN29" s="44" t="s">
        <v>319</v>
      </c>
      <c r="BO29" s="44">
        <v>0</v>
      </c>
      <c r="BP29" s="59">
        <v>44927</v>
      </c>
      <c r="BQ29" s="51" t="s">
        <v>306</v>
      </c>
      <c r="BR29" s="47" t="s">
        <v>320</v>
      </c>
      <c r="BS29" s="47" t="s">
        <v>321</v>
      </c>
      <c r="BT29" s="47"/>
      <c r="BU29" s="60" t="s">
        <v>114</v>
      </c>
      <c r="BV29" s="60" t="s">
        <v>114</v>
      </c>
    </row>
    <row r="30" spans="1:74" ht="367.5" customHeight="1" x14ac:dyDescent="0.4">
      <c r="A30" s="243"/>
      <c r="B30" s="246"/>
      <c r="C30" s="246"/>
      <c r="D30" s="62" t="s">
        <v>322</v>
      </c>
      <c r="E30" s="62" t="s">
        <v>323</v>
      </c>
      <c r="F30" s="62" t="s">
        <v>324</v>
      </c>
      <c r="G30" s="47">
        <v>313</v>
      </c>
      <c r="H30" s="47" t="s">
        <v>87</v>
      </c>
      <c r="I30" s="47">
        <v>313</v>
      </c>
      <c r="J30" s="275"/>
      <c r="K30" s="62" t="s">
        <v>325</v>
      </c>
      <c r="L30" s="47" t="s">
        <v>87</v>
      </c>
      <c r="M30" s="62" t="s">
        <v>326</v>
      </c>
      <c r="N30" s="62" t="s">
        <v>327</v>
      </c>
      <c r="O30" s="289">
        <v>1</v>
      </c>
      <c r="P30" s="289"/>
      <c r="Q30" s="47" t="s">
        <v>328</v>
      </c>
      <c r="R30" s="68" t="s">
        <v>329</v>
      </c>
      <c r="S30" s="68" t="s">
        <v>330</v>
      </c>
      <c r="T30" s="47" t="s">
        <v>331</v>
      </c>
      <c r="U30" s="101" t="s">
        <v>332</v>
      </c>
      <c r="V30" s="101" t="s">
        <v>333</v>
      </c>
      <c r="W30" s="101">
        <v>6</v>
      </c>
      <c r="X30" s="100">
        <v>6</v>
      </c>
      <c r="Y30" s="198">
        <f>+(12.5%/4)*4</f>
        <v>0.125</v>
      </c>
      <c r="Z30" s="198">
        <f>+Y30+37.5%</f>
        <v>0.5</v>
      </c>
      <c r="AA30" s="191">
        <f>+Y30/12.5%</f>
        <v>1</v>
      </c>
      <c r="AB30" s="116">
        <v>0.5</v>
      </c>
      <c r="AC30" s="322"/>
      <c r="AD30" s="322"/>
      <c r="AE30" s="279"/>
      <c r="AF30" s="279"/>
      <c r="AG30" s="279"/>
      <c r="AH30" s="279"/>
      <c r="AI30" s="279"/>
      <c r="AJ30" s="47" t="s">
        <v>334</v>
      </c>
      <c r="AK30" s="47" t="s">
        <v>335</v>
      </c>
      <c r="AL30" s="47">
        <v>1</v>
      </c>
      <c r="AM30" s="47">
        <v>0</v>
      </c>
      <c r="AN30" s="47">
        <v>1</v>
      </c>
      <c r="AO30" s="47">
        <v>0</v>
      </c>
      <c r="AP30" s="47">
        <v>0</v>
      </c>
      <c r="AQ30" s="104">
        <f>SUM(AM30:AP30)</f>
        <v>1</v>
      </c>
      <c r="AR30" s="125">
        <f t="shared" si="2"/>
        <v>1</v>
      </c>
      <c r="AS30" s="71">
        <v>4.7500000000000001E-2</v>
      </c>
      <c r="AT30" s="46" t="s">
        <v>136</v>
      </c>
      <c r="AU30" s="46" t="s">
        <v>101</v>
      </c>
      <c r="AV30" s="46" t="s">
        <v>137</v>
      </c>
      <c r="AW30" s="44" t="s">
        <v>336</v>
      </c>
      <c r="AX30" s="44" t="s">
        <v>336</v>
      </c>
      <c r="AY30" s="68" t="s">
        <v>10</v>
      </c>
      <c r="AZ30" s="68" t="s">
        <v>181</v>
      </c>
      <c r="BA30" s="252" t="s">
        <v>302</v>
      </c>
      <c r="BB30" s="74">
        <v>224696585</v>
      </c>
      <c r="BC30" s="256" t="s">
        <v>107</v>
      </c>
      <c r="BD30" s="258" t="s">
        <v>303</v>
      </c>
      <c r="BE30" s="252" t="s">
        <v>304</v>
      </c>
      <c r="BF30" s="205">
        <f>144546184.99+80150400.01</f>
        <v>224696585</v>
      </c>
      <c r="BG30" s="205">
        <v>1992576515</v>
      </c>
      <c r="BH30" s="371"/>
      <c r="BI30" s="371"/>
      <c r="BJ30" s="371"/>
      <c r="BK30" s="372"/>
      <c r="BL30" s="44" t="s">
        <v>110</v>
      </c>
      <c r="BM30" s="47" t="s">
        <v>337</v>
      </c>
      <c r="BN30" s="44" t="s">
        <v>338</v>
      </c>
      <c r="BO30" s="44">
        <v>0</v>
      </c>
      <c r="BP30" s="59">
        <v>44927</v>
      </c>
      <c r="BQ30" s="47" t="s">
        <v>339</v>
      </c>
      <c r="BR30" s="47" t="s">
        <v>340</v>
      </c>
      <c r="BS30" s="47"/>
      <c r="BT30" s="47"/>
      <c r="BU30" s="60" t="s">
        <v>114</v>
      </c>
      <c r="BV30" s="60" t="s">
        <v>114</v>
      </c>
    </row>
    <row r="31" spans="1:74" ht="409.5" x14ac:dyDescent="0.4">
      <c r="A31" s="243"/>
      <c r="B31" s="246"/>
      <c r="C31" s="246"/>
      <c r="D31" s="62" t="s">
        <v>341</v>
      </c>
      <c r="E31" s="62" t="s">
        <v>342</v>
      </c>
      <c r="F31" s="62" t="s">
        <v>343</v>
      </c>
      <c r="G31" s="47">
        <v>656</v>
      </c>
      <c r="H31" s="47" t="s">
        <v>87</v>
      </c>
      <c r="I31" s="47">
        <v>656</v>
      </c>
      <c r="J31" s="275"/>
      <c r="K31" s="62" t="s">
        <v>344</v>
      </c>
      <c r="L31" s="47" t="s">
        <v>87</v>
      </c>
      <c r="M31" s="62" t="s">
        <v>169</v>
      </c>
      <c r="N31" s="62" t="s">
        <v>345</v>
      </c>
      <c r="O31" s="289">
        <v>2</v>
      </c>
      <c r="P31" s="289"/>
      <c r="Q31" s="47" t="s">
        <v>314</v>
      </c>
      <c r="R31" s="53">
        <v>8</v>
      </c>
      <c r="S31" s="68" t="s">
        <v>315</v>
      </c>
      <c r="T31" s="54">
        <v>21</v>
      </c>
      <c r="U31" s="68" t="s">
        <v>315</v>
      </c>
      <c r="V31" s="68" t="s">
        <v>315</v>
      </c>
      <c r="W31" s="68" t="s">
        <v>315</v>
      </c>
      <c r="X31" s="68" t="s">
        <v>315</v>
      </c>
      <c r="Y31" s="196" t="s">
        <v>125</v>
      </c>
      <c r="Z31" s="196">
        <f>+T31</f>
        <v>21</v>
      </c>
      <c r="AA31" s="116" t="s">
        <v>125</v>
      </c>
      <c r="AB31" s="116">
        <v>1</v>
      </c>
      <c r="AC31" s="322"/>
      <c r="AD31" s="322"/>
      <c r="AE31" s="279"/>
      <c r="AF31" s="279"/>
      <c r="AG31" s="279"/>
      <c r="AH31" s="279"/>
      <c r="AI31" s="279"/>
      <c r="AJ31" s="44" t="s">
        <v>346</v>
      </c>
      <c r="AK31" s="47" t="s">
        <v>135</v>
      </c>
      <c r="AL31" s="47">
        <v>73</v>
      </c>
      <c r="AM31" s="47">
        <v>54</v>
      </c>
      <c r="AN31" s="47">
        <v>14</v>
      </c>
      <c r="AO31" s="47">
        <v>4</v>
      </c>
      <c r="AP31" s="47">
        <v>38</v>
      </c>
      <c r="AQ31" s="104">
        <f>SUM(AM31:AP31)</f>
        <v>110</v>
      </c>
      <c r="AR31" s="125">
        <v>1</v>
      </c>
      <c r="AS31" s="71">
        <v>0.42259999999999998</v>
      </c>
      <c r="AT31" s="46" t="s">
        <v>136</v>
      </c>
      <c r="AU31" s="46" t="s">
        <v>101</v>
      </c>
      <c r="AV31" s="46" t="s">
        <v>137</v>
      </c>
      <c r="AW31" s="44" t="s">
        <v>347</v>
      </c>
      <c r="AX31" s="44" t="s">
        <v>347</v>
      </c>
      <c r="AY31" s="68" t="s">
        <v>10</v>
      </c>
      <c r="AZ31" s="68" t="s">
        <v>181</v>
      </c>
      <c r="BA31" s="253"/>
      <c r="BB31" s="74">
        <v>2000000000</v>
      </c>
      <c r="BC31" s="257"/>
      <c r="BD31" s="259"/>
      <c r="BE31" s="253"/>
      <c r="BF31" s="205">
        <v>2226500000</v>
      </c>
      <c r="BG31" s="205">
        <v>2500000</v>
      </c>
      <c r="BH31" s="371"/>
      <c r="BI31" s="371"/>
      <c r="BJ31" s="371"/>
      <c r="BK31" s="372"/>
      <c r="BL31" s="44" t="s">
        <v>110</v>
      </c>
      <c r="BM31" s="47" t="s">
        <v>348</v>
      </c>
      <c r="BN31" s="44" t="s">
        <v>140</v>
      </c>
      <c r="BO31" s="44">
        <v>0</v>
      </c>
      <c r="BP31" s="59">
        <v>44927</v>
      </c>
      <c r="BQ31" s="47" t="s">
        <v>349</v>
      </c>
      <c r="BR31" s="47" t="s">
        <v>350</v>
      </c>
      <c r="BS31" s="47" t="s">
        <v>351</v>
      </c>
      <c r="BT31" s="47" t="s">
        <v>1023</v>
      </c>
      <c r="BU31" s="60" t="s">
        <v>114</v>
      </c>
      <c r="BV31" s="60" t="s">
        <v>114</v>
      </c>
    </row>
    <row r="32" spans="1:74" ht="99" customHeight="1" x14ac:dyDescent="0.4">
      <c r="A32" s="243"/>
      <c r="B32" s="246"/>
      <c r="C32" s="246"/>
      <c r="D32" s="62"/>
      <c r="E32" s="62"/>
      <c r="F32" s="62"/>
      <c r="G32" s="47"/>
      <c r="H32" s="47"/>
      <c r="I32" s="47"/>
      <c r="J32" s="259"/>
      <c r="K32" s="285"/>
      <c r="L32" s="286"/>
      <c r="M32" s="286"/>
      <c r="N32" s="286"/>
      <c r="O32" s="286"/>
      <c r="P32" s="286"/>
      <c r="Q32" s="287"/>
      <c r="R32" s="229" t="s">
        <v>352</v>
      </c>
      <c r="S32" s="230"/>
      <c r="T32" s="230"/>
      <c r="U32" s="230"/>
      <c r="V32" s="230"/>
      <c r="W32" s="230"/>
      <c r="X32" s="230"/>
      <c r="Y32" s="230"/>
      <c r="Z32" s="231"/>
      <c r="AA32" s="142">
        <f>AVERAGE(AA28:AA31)</f>
        <v>1</v>
      </c>
      <c r="AB32" s="142">
        <f>AVERAGE(AB28:AB31)</f>
        <v>0.75</v>
      </c>
      <c r="AC32" s="322"/>
      <c r="AD32" s="322"/>
      <c r="AE32" s="43"/>
      <c r="AF32" s="43"/>
      <c r="AG32" s="43"/>
      <c r="AH32" s="284" t="s">
        <v>353</v>
      </c>
      <c r="AI32" s="284"/>
      <c r="AJ32" s="284"/>
      <c r="AK32" s="284"/>
      <c r="AL32" s="284"/>
      <c r="AM32" s="284"/>
      <c r="AN32" s="284"/>
      <c r="AO32" s="284"/>
      <c r="AP32" s="284"/>
      <c r="AQ32" s="284"/>
      <c r="AR32" s="144">
        <f>AVERAGE(AR28:AR31)</f>
        <v>1</v>
      </c>
      <c r="AS32" s="71"/>
      <c r="AT32" s="75"/>
      <c r="AU32" s="75"/>
      <c r="AV32" s="75"/>
      <c r="AW32" s="44"/>
      <c r="AX32" s="44"/>
      <c r="AY32" s="121"/>
      <c r="AZ32" s="68"/>
      <c r="BA32" s="284" t="s">
        <v>1004</v>
      </c>
      <c r="BB32" s="284"/>
      <c r="BC32" s="284"/>
      <c r="BD32" s="284"/>
      <c r="BE32" s="284"/>
      <c r="BF32" s="284"/>
      <c r="BG32" s="284"/>
      <c r="BH32" s="177">
        <f>+BH28</f>
        <v>5052876515</v>
      </c>
      <c r="BI32" s="177">
        <f t="shared" ref="BI32:BJ32" si="7">+BI28</f>
        <v>4671237458.9399996</v>
      </c>
      <c r="BJ32" s="177">
        <f t="shared" si="7"/>
        <v>4314412468.0600004</v>
      </c>
      <c r="BK32" s="139">
        <f>+BK28</f>
        <v>0.85385274214642082</v>
      </c>
      <c r="BL32" s="44"/>
      <c r="BM32" s="56"/>
      <c r="BN32" s="44"/>
      <c r="BO32" s="44"/>
      <c r="BP32" s="59"/>
      <c r="BQ32" s="47"/>
      <c r="BR32" s="47"/>
      <c r="BS32" s="47"/>
      <c r="BT32" s="47"/>
      <c r="BU32" s="60"/>
      <c r="BV32" s="60"/>
    </row>
    <row r="33" spans="1:74" ht="90" customHeight="1" x14ac:dyDescent="0.4">
      <c r="A33" s="243"/>
      <c r="B33" s="246"/>
      <c r="C33" s="246"/>
      <c r="D33" s="246" t="s">
        <v>354</v>
      </c>
      <c r="E33" s="246" t="s">
        <v>355</v>
      </c>
      <c r="F33" s="246" t="s">
        <v>356</v>
      </c>
      <c r="G33" s="246">
        <v>141</v>
      </c>
      <c r="H33" s="246" t="s">
        <v>87</v>
      </c>
      <c r="I33" s="246">
        <v>141</v>
      </c>
      <c r="J33" s="258" t="s">
        <v>357</v>
      </c>
      <c r="K33" s="62" t="s">
        <v>358</v>
      </c>
      <c r="L33" s="47" t="s">
        <v>87</v>
      </c>
      <c r="M33" s="62" t="s">
        <v>169</v>
      </c>
      <c r="N33" s="62" t="s">
        <v>359</v>
      </c>
      <c r="O33" s="289">
        <v>2</v>
      </c>
      <c r="P33" s="289"/>
      <c r="Q33" s="47" t="s">
        <v>360</v>
      </c>
      <c r="R33" s="53">
        <v>1</v>
      </c>
      <c r="S33" s="68" t="s">
        <v>315</v>
      </c>
      <c r="T33" s="47" t="s">
        <v>361</v>
      </c>
      <c r="U33" s="68" t="s">
        <v>315</v>
      </c>
      <c r="V33" s="68" t="s">
        <v>315</v>
      </c>
      <c r="W33" s="68" t="s">
        <v>315</v>
      </c>
      <c r="X33" s="68" t="s">
        <v>315</v>
      </c>
      <c r="Y33" s="196" t="s">
        <v>125</v>
      </c>
      <c r="Z33" s="196">
        <v>1</v>
      </c>
      <c r="AA33" s="116" t="s">
        <v>125</v>
      </c>
      <c r="AB33" s="116">
        <v>1</v>
      </c>
      <c r="AC33" s="322"/>
      <c r="AD33" s="322"/>
      <c r="AE33" s="273" t="s">
        <v>172</v>
      </c>
      <c r="AF33" s="273" t="s">
        <v>173</v>
      </c>
      <c r="AG33" s="273" t="s">
        <v>362</v>
      </c>
      <c r="AH33" s="273" t="s">
        <v>363</v>
      </c>
      <c r="AI33" s="273" t="s">
        <v>364</v>
      </c>
      <c r="AJ33" s="246" t="s">
        <v>365</v>
      </c>
      <c r="AK33" s="246" t="s">
        <v>366</v>
      </c>
      <c r="AL33" s="246">
        <v>5</v>
      </c>
      <c r="AM33" s="246">
        <v>3</v>
      </c>
      <c r="AN33" s="246">
        <v>2</v>
      </c>
      <c r="AO33" s="246">
        <v>1</v>
      </c>
      <c r="AP33" s="258">
        <v>2</v>
      </c>
      <c r="AQ33" s="325">
        <f>SUM(AM33:AP34)</f>
        <v>8</v>
      </c>
      <c r="AR33" s="326">
        <v>1</v>
      </c>
      <c r="AS33" s="324">
        <v>0.22420000000000001</v>
      </c>
      <c r="AT33" s="330" t="s">
        <v>136</v>
      </c>
      <c r="AU33" s="330" t="s">
        <v>101</v>
      </c>
      <c r="AV33" s="330" t="s">
        <v>137</v>
      </c>
      <c r="AW33" s="246" t="s">
        <v>367</v>
      </c>
      <c r="AX33" s="246" t="s">
        <v>368</v>
      </c>
      <c r="AY33" s="258" t="s">
        <v>10</v>
      </c>
      <c r="AZ33" s="246" t="s">
        <v>181</v>
      </c>
      <c r="BA33" s="246" t="s">
        <v>182</v>
      </c>
      <c r="BB33" s="311">
        <v>135900000</v>
      </c>
      <c r="BC33" s="246" t="s">
        <v>107</v>
      </c>
      <c r="BD33" s="246" t="s">
        <v>369</v>
      </c>
      <c r="BE33" s="246" t="s">
        <v>370</v>
      </c>
      <c r="BF33" s="311">
        <v>122120000</v>
      </c>
      <c r="BG33" s="266">
        <v>229199999</v>
      </c>
      <c r="BH33" s="371">
        <v>335900000</v>
      </c>
      <c r="BI33" s="371">
        <v>322120000</v>
      </c>
      <c r="BJ33" s="371">
        <v>233199999</v>
      </c>
      <c r="BK33" s="372">
        <f>+BJ33/BH33</f>
        <v>0.69425423935695152</v>
      </c>
      <c r="BL33" s="246" t="s">
        <v>371</v>
      </c>
      <c r="BM33" s="258" t="s">
        <v>372</v>
      </c>
      <c r="BN33" s="246" t="s">
        <v>140</v>
      </c>
      <c r="BO33" s="246">
        <v>0</v>
      </c>
      <c r="BP33" s="300">
        <v>44927</v>
      </c>
      <c r="BQ33" s="245" t="s">
        <v>373</v>
      </c>
      <c r="BR33" s="245" t="s">
        <v>374</v>
      </c>
      <c r="BS33" s="245" t="s">
        <v>375</v>
      </c>
      <c r="BT33" s="245" t="s">
        <v>1024</v>
      </c>
      <c r="BU33" s="60" t="s">
        <v>114</v>
      </c>
      <c r="BV33" s="60" t="s">
        <v>114</v>
      </c>
    </row>
    <row r="34" spans="1:74" ht="367.5" x14ac:dyDescent="0.4">
      <c r="A34" s="243"/>
      <c r="B34" s="246"/>
      <c r="C34" s="246"/>
      <c r="D34" s="246"/>
      <c r="E34" s="246"/>
      <c r="F34" s="246"/>
      <c r="G34" s="246"/>
      <c r="H34" s="246"/>
      <c r="I34" s="246"/>
      <c r="J34" s="275"/>
      <c r="K34" s="62" t="s">
        <v>376</v>
      </c>
      <c r="L34" s="47" t="s">
        <v>87</v>
      </c>
      <c r="M34" s="62" t="s">
        <v>377</v>
      </c>
      <c r="N34" s="62" t="s">
        <v>378</v>
      </c>
      <c r="O34" s="289">
        <v>2</v>
      </c>
      <c r="P34" s="289"/>
      <c r="Q34" s="47" t="s">
        <v>379</v>
      </c>
      <c r="R34" s="53">
        <v>2500</v>
      </c>
      <c r="S34" s="53">
        <v>250</v>
      </c>
      <c r="T34" s="54">
        <v>3960</v>
      </c>
      <c r="U34" s="54">
        <v>49</v>
      </c>
      <c r="V34" s="54">
        <v>40</v>
      </c>
      <c r="W34" s="54">
        <v>18</v>
      </c>
      <c r="X34" s="42">
        <v>0</v>
      </c>
      <c r="Y34" s="196">
        <f>SUM(U34:X34)</f>
        <v>107</v>
      </c>
      <c r="Z34" s="196">
        <f>+T34+Y34</f>
        <v>4067</v>
      </c>
      <c r="AA34" s="116">
        <f>+Y34/S34</f>
        <v>0.42799999999999999</v>
      </c>
      <c r="AB34" s="116">
        <v>1</v>
      </c>
      <c r="AC34" s="322"/>
      <c r="AD34" s="322"/>
      <c r="AE34" s="288"/>
      <c r="AF34" s="288"/>
      <c r="AG34" s="288"/>
      <c r="AH34" s="288"/>
      <c r="AI34" s="288"/>
      <c r="AJ34" s="246"/>
      <c r="AK34" s="246"/>
      <c r="AL34" s="246"/>
      <c r="AM34" s="246"/>
      <c r="AN34" s="246"/>
      <c r="AO34" s="246"/>
      <c r="AP34" s="259"/>
      <c r="AQ34" s="325"/>
      <c r="AR34" s="326" t="e">
        <f t="shared" si="2"/>
        <v>#DIV/0!</v>
      </c>
      <c r="AS34" s="246"/>
      <c r="AT34" s="331"/>
      <c r="AU34" s="331"/>
      <c r="AV34" s="331" t="s">
        <v>137</v>
      </c>
      <c r="AW34" s="246"/>
      <c r="AX34" s="246"/>
      <c r="AY34" s="259"/>
      <c r="AZ34" s="246"/>
      <c r="BA34" s="246"/>
      <c r="BB34" s="312"/>
      <c r="BC34" s="246"/>
      <c r="BD34" s="246"/>
      <c r="BE34" s="246"/>
      <c r="BF34" s="312"/>
      <c r="BG34" s="267"/>
      <c r="BH34" s="371"/>
      <c r="BI34" s="371"/>
      <c r="BJ34" s="371"/>
      <c r="BK34" s="372"/>
      <c r="BL34" s="246"/>
      <c r="BM34" s="259"/>
      <c r="BN34" s="246"/>
      <c r="BO34" s="246"/>
      <c r="BP34" s="285">
        <v>44927</v>
      </c>
      <c r="BQ34" s="246"/>
      <c r="BR34" s="246"/>
      <c r="BS34" s="246"/>
      <c r="BT34" s="246"/>
      <c r="BU34" s="60" t="s">
        <v>114</v>
      </c>
      <c r="BV34" s="60" t="s">
        <v>114</v>
      </c>
    </row>
    <row r="35" spans="1:74" ht="409.5" x14ac:dyDescent="0.4">
      <c r="A35" s="243"/>
      <c r="B35" s="246"/>
      <c r="C35" s="246"/>
      <c r="D35" s="246"/>
      <c r="E35" s="246"/>
      <c r="F35" s="246"/>
      <c r="G35" s="246"/>
      <c r="H35" s="246"/>
      <c r="I35" s="246"/>
      <c r="J35" s="275"/>
      <c r="K35" s="62" t="s">
        <v>380</v>
      </c>
      <c r="L35" s="47" t="s">
        <v>87</v>
      </c>
      <c r="M35" s="62" t="s">
        <v>381</v>
      </c>
      <c r="N35" s="62" t="s">
        <v>382</v>
      </c>
      <c r="O35" s="289">
        <v>2</v>
      </c>
      <c r="P35" s="289"/>
      <c r="Q35" s="47" t="s">
        <v>383</v>
      </c>
      <c r="R35" s="53">
        <v>120</v>
      </c>
      <c r="S35" s="53">
        <v>40</v>
      </c>
      <c r="T35" s="54">
        <v>80</v>
      </c>
      <c r="U35" s="54">
        <v>0</v>
      </c>
      <c r="V35" s="54">
        <v>16</v>
      </c>
      <c r="W35" s="54">
        <v>40</v>
      </c>
      <c r="X35" s="42">
        <v>0</v>
      </c>
      <c r="Y35" s="196">
        <f>SUM(U35:X35)</f>
        <v>56</v>
      </c>
      <c r="Z35" s="196">
        <f>+T35+Y35</f>
        <v>136</v>
      </c>
      <c r="AA35" s="116">
        <v>1</v>
      </c>
      <c r="AB35" s="116">
        <v>1</v>
      </c>
      <c r="AC35" s="322"/>
      <c r="AD35" s="322"/>
      <c r="AE35" s="288"/>
      <c r="AF35" s="288"/>
      <c r="AG35" s="274"/>
      <c r="AH35" s="274"/>
      <c r="AI35" s="274"/>
      <c r="AJ35" s="47" t="s">
        <v>384</v>
      </c>
      <c r="AK35" s="47" t="s">
        <v>385</v>
      </c>
      <c r="AL35" s="47">
        <v>40</v>
      </c>
      <c r="AM35" s="47">
        <v>0</v>
      </c>
      <c r="AN35" s="47">
        <v>16</v>
      </c>
      <c r="AO35" s="47">
        <v>40</v>
      </c>
      <c r="AP35" s="47">
        <v>0</v>
      </c>
      <c r="AQ35" s="102">
        <f>SUM(AM35:AP35)</f>
        <v>56</v>
      </c>
      <c r="AR35" s="125">
        <v>1</v>
      </c>
      <c r="AS35" s="71">
        <v>0.78</v>
      </c>
      <c r="AT35" s="46" t="s">
        <v>136</v>
      </c>
      <c r="AU35" s="46" t="s">
        <v>101</v>
      </c>
      <c r="AV35" s="46" t="s">
        <v>137</v>
      </c>
      <c r="AW35" s="47" t="s">
        <v>386</v>
      </c>
      <c r="AX35" s="47" t="s">
        <v>387</v>
      </c>
      <c r="AY35" s="68" t="s">
        <v>10</v>
      </c>
      <c r="AZ35" s="68" t="s">
        <v>181</v>
      </c>
      <c r="BA35" s="46" t="s">
        <v>388</v>
      </c>
      <c r="BB35" s="74">
        <v>470300000</v>
      </c>
      <c r="BC35" s="44" t="s">
        <v>107</v>
      </c>
      <c r="BD35" s="47" t="s">
        <v>369</v>
      </c>
      <c r="BE35" s="47" t="s">
        <v>370</v>
      </c>
      <c r="BF35" s="205">
        <v>200000000</v>
      </c>
      <c r="BG35" s="213">
        <v>0</v>
      </c>
      <c r="BH35" s="371"/>
      <c r="BI35" s="371"/>
      <c r="BJ35" s="371"/>
      <c r="BK35" s="372"/>
      <c r="BL35" s="47" t="s">
        <v>371</v>
      </c>
      <c r="BM35" s="47" t="s">
        <v>389</v>
      </c>
      <c r="BN35" s="44" t="s">
        <v>390</v>
      </c>
      <c r="BO35" s="44">
        <v>0</v>
      </c>
      <c r="BP35" s="59">
        <v>44927</v>
      </c>
      <c r="BQ35" s="51" t="s">
        <v>306</v>
      </c>
      <c r="BR35" s="47" t="s">
        <v>391</v>
      </c>
      <c r="BS35" s="77" t="s">
        <v>392</v>
      </c>
      <c r="BT35" s="202"/>
      <c r="BU35" s="60" t="s">
        <v>114</v>
      </c>
      <c r="BV35" s="60" t="s">
        <v>114</v>
      </c>
    </row>
    <row r="36" spans="1:74" ht="99" customHeight="1" x14ac:dyDescent="0.4">
      <c r="A36" s="243"/>
      <c r="B36" s="246"/>
      <c r="C36" s="246"/>
      <c r="D36" s="246"/>
      <c r="E36" s="246"/>
      <c r="F36" s="246"/>
      <c r="G36" s="246"/>
      <c r="H36" s="246"/>
      <c r="I36" s="246"/>
      <c r="J36" s="259"/>
      <c r="K36" s="285"/>
      <c r="L36" s="286"/>
      <c r="M36" s="286"/>
      <c r="N36" s="286"/>
      <c r="O36" s="286"/>
      <c r="P36" s="286"/>
      <c r="Q36" s="287"/>
      <c r="R36" s="229" t="s">
        <v>393</v>
      </c>
      <c r="S36" s="230"/>
      <c r="T36" s="230"/>
      <c r="U36" s="230"/>
      <c r="V36" s="230"/>
      <c r="W36" s="230"/>
      <c r="X36" s="230"/>
      <c r="Y36" s="230"/>
      <c r="Z36" s="231"/>
      <c r="AA36" s="142">
        <f>AVERAGE(AA34:AA35)</f>
        <v>0.71399999999999997</v>
      </c>
      <c r="AB36" s="142">
        <f>AVERAGE(AB34:AB35)</f>
        <v>1</v>
      </c>
      <c r="AC36" s="322"/>
      <c r="AD36" s="322"/>
      <c r="AE36" s="288"/>
      <c r="AF36" s="288"/>
      <c r="AG36" s="66"/>
      <c r="AH36" s="284" t="s">
        <v>394</v>
      </c>
      <c r="AI36" s="284"/>
      <c r="AJ36" s="284"/>
      <c r="AK36" s="284"/>
      <c r="AL36" s="284"/>
      <c r="AM36" s="284"/>
      <c r="AN36" s="284"/>
      <c r="AO36" s="284"/>
      <c r="AP36" s="284"/>
      <c r="AQ36" s="284"/>
      <c r="AR36" s="144">
        <f>+(AR33+AR35)/2</f>
        <v>1</v>
      </c>
      <c r="AS36" s="71"/>
      <c r="AT36" s="46"/>
      <c r="AU36" s="46"/>
      <c r="AV36" s="46"/>
      <c r="AW36" s="47"/>
      <c r="AX36" s="47"/>
      <c r="AY36" s="68"/>
      <c r="AZ36" s="68"/>
      <c r="BA36" s="284" t="s">
        <v>393</v>
      </c>
      <c r="BB36" s="284"/>
      <c r="BC36" s="284"/>
      <c r="BD36" s="284"/>
      <c r="BE36" s="284"/>
      <c r="BF36" s="284"/>
      <c r="BG36" s="284"/>
      <c r="BH36" s="177">
        <f>+BH33</f>
        <v>335900000</v>
      </c>
      <c r="BI36" s="177">
        <f t="shared" ref="BI36:BK36" si="8">+BI33</f>
        <v>322120000</v>
      </c>
      <c r="BJ36" s="177">
        <f t="shared" si="8"/>
        <v>233199999</v>
      </c>
      <c r="BK36" s="139">
        <f t="shared" si="8"/>
        <v>0.69425423935695152</v>
      </c>
      <c r="BL36" s="47"/>
      <c r="BM36" s="47"/>
      <c r="BN36" s="44"/>
      <c r="BO36" s="44"/>
      <c r="BP36" s="59"/>
      <c r="BQ36" s="51"/>
      <c r="BR36" s="47"/>
      <c r="BS36" s="77"/>
      <c r="BT36" s="202"/>
      <c r="BU36" s="60"/>
      <c r="BV36" s="60"/>
    </row>
    <row r="37" spans="1:74" ht="409.5" x14ac:dyDescent="0.4">
      <c r="A37" s="243"/>
      <c r="B37" s="246"/>
      <c r="C37" s="246"/>
      <c r="D37" s="246"/>
      <c r="E37" s="246"/>
      <c r="F37" s="246"/>
      <c r="G37" s="246"/>
      <c r="H37" s="246"/>
      <c r="I37" s="246"/>
      <c r="J37" s="258" t="s">
        <v>395</v>
      </c>
      <c r="K37" s="62" t="s">
        <v>396</v>
      </c>
      <c r="L37" s="47" t="s">
        <v>87</v>
      </c>
      <c r="M37" s="62" t="s">
        <v>397</v>
      </c>
      <c r="N37" s="62" t="s">
        <v>398</v>
      </c>
      <c r="O37" s="289">
        <v>2</v>
      </c>
      <c r="P37" s="289"/>
      <c r="Q37" s="47" t="s">
        <v>399</v>
      </c>
      <c r="R37" s="53">
        <v>4</v>
      </c>
      <c r="S37" s="53">
        <v>1</v>
      </c>
      <c r="T37" s="54">
        <v>1</v>
      </c>
      <c r="U37" s="54">
        <v>0</v>
      </c>
      <c r="V37" s="54">
        <v>0</v>
      </c>
      <c r="W37" s="54">
        <v>1</v>
      </c>
      <c r="X37" s="42">
        <v>0</v>
      </c>
      <c r="Y37" s="196">
        <f>SUM(U37:X37)</f>
        <v>1</v>
      </c>
      <c r="Z37" s="196">
        <f>+T37+Y37</f>
        <v>2</v>
      </c>
      <c r="AA37" s="116">
        <f>+Y37/S37</f>
        <v>1</v>
      </c>
      <c r="AB37" s="116">
        <f>+(T37+Y37)/R37</f>
        <v>0.5</v>
      </c>
      <c r="AC37" s="322"/>
      <c r="AD37" s="322"/>
      <c r="AE37" s="274"/>
      <c r="AF37" s="274"/>
      <c r="AG37" s="47" t="s">
        <v>400</v>
      </c>
      <c r="AH37" s="47" t="s">
        <v>401</v>
      </c>
      <c r="AI37" s="47" t="s">
        <v>402</v>
      </c>
      <c r="AJ37" s="47" t="s">
        <v>403</v>
      </c>
      <c r="AK37" s="47" t="s">
        <v>385</v>
      </c>
      <c r="AL37" s="47">
        <v>1</v>
      </c>
      <c r="AM37" s="47">
        <v>0</v>
      </c>
      <c r="AN37" s="47">
        <v>0</v>
      </c>
      <c r="AO37" s="47">
        <v>1</v>
      </c>
      <c r="AP37" s="47">
        <v>0</v>
      </c>
      <c r="AQ37" s="102">
        <f>SUM(AM37:AP37)</f>
        <v>1</v>
      </c>
      <c r="AR37" s="125">
        <f t="shared" si="2"/>
        <v>1</v>
      </c>
      <c r="AS37" s="71">
        <v>1</v>
      </c>
      <c r="AT37" s="46" t="s">
        <v>136</v>
      </c>
      <c r="AU37" s="46" t="s">
        <v>101</v>
      </c>
      <c r="AV37" s="46" t="s">
        <v>137</v>
      </c>
      <c r="AW37" s="47" t="s">
        <v>404</v>
      </c>
      <c r="AX37" s="47" t="s">
        <v>405</v>
      </c>
      <c r="AY37" s="68" t="s">
        <v>10</v>
      </c>
      <c r="AZ37" s="68" t="s">
        <v>181</v>
      </c>
      <c r="BA37" s="46" t="s">
        <v>182</v>
      </c>
      <c r="BB37" s="72">
        <v>250000000</v>
      </c>
      <c r="BC37" s="44" t="s">
        <v>107</v>
      </c>
      <c r="BD37" s="47" t="s">
        <v>406</v>
      </c>
      <c r="BE37" s="47" t="s">
        <v>407</v>
      </c>
      <c r="BF37" s="205">
        <v>199999998</v>
      </c>
      <c r="BG37" s="213">
        <v>159999999</v>
      </c>
      <c r="BH37" s="175">
        <v>200000000</v>
      </c>
      <c r="BI37" s="175">
        <v>199999998</v>
      </c>
      <c r="BJ37" s="175">
        <v>159999999</v>
      </c>
      <c r="BK37" s="176">
        <f>+BJ37/BH37</f>
        <v>0.79999999499999996</v>
      </c>
      <c r="BL37" s="47" t="s">
        <v>371</v>
      </c>
      <c r="BM37" s="47" t="s">
        <v>403</v>
      </c>
      <c r="BN37" s="44" t="s">
        <v>390</v>
      </c>
      <c r="BO37" s="44">
        <v>0</v>
      </c>
      <c r="BP37" s="59">
        <v>44927</v>
      </c>
      <c r="BQ37" s="47" t="s">
        <v>408</v>
      </c>
      <c r="BR37" s="47" t="s">
        <v>409</v>
      </c>
      <c r="BS37" s="77" t="s">
        <v>392</v>
      </c>
      <c r="BT37" s="202"/>
      <c r="BU37" s="60" t="s">
        <v>114</v>
      </c>
      <c r="BV37" s="60" t="s">
        <v>114</v>
      </c>
    </row>
    <row r="38" spans="1:74" ht="126" customHeight="1" x14ac:dyDescent="0.4">
      <c r="A38" s="243"/>
      <c r="B38" s="246"/>
      <c r="C38" s="47"/>
      <c r="D38" s="47"/>
      <c r="E38" s="47"/>
      <c r="F38" s="47"/>
      <c r="G38" s="47"/>
      <c r="H38" s="47"/>
      <c r="I38" s="47"/>
      <c r="J38" s="259"/>
      <c r="K38" s="285"/>
      <c r="L38" s="286"/>
      <c r="M38" s="286"/>
      <c r="N38" s="286"/>
      <c r="O38" s="286"/>
      <c r="P38" s="286"/>
      <c r="Q38" s="287"/>
      <c r="R38" s="229" t="s">
        <v>410</v>
      </c>
      <c r="S38" s="230"/>
      <c r="T38" s="230"/>
      <c r="U38" s="230"/>
      <c r="V38" s="230"/>
      <c r="W38" s="230"/>
      <c r="X38" s="230"/>
      <c r="Y38" s="230"/>
      <c r="Z38" s="231"/>
      <c r="AA38" s="142">
        <f>+AA37</f>
        <v>1</v>
      </c>
      <c r="AB38" s="142">
        <f>+AB37</f>
        <v>0.5</v>
      </c>
      <c r="AC38" s="322"/>
      <c r="AD38" s="322"/>
      <c r="AE38" s="55"/>
      <c r="AF38" s="55"/>
      <c r="AG38" s="56"/>
      <c r="AH38" s="284" t="s">
        <v>1071</v>
      </c>
      <c r="AI38" s="284"/>
      <c r="AJ38" s="284"/>
      <c r="AK38" s="284"/>
      <c r="AL38" s="284"/>
      <c r="AM38" s="284"/>
      <c r="AN38" s="284"/>
      <c r="AO38" s="284"/>
      <c r="AP38" s="284"/>
      <c r="AQ38" s="284"/>
      <c r="AR38" s="144">
        <f>+AR37</f>
        <v>1</v>
      </c>
      <c r="AS38" s="71"/>
      <c r="AT38" s="46"/>
      <c r="AU38" s="46"/>
      <c r="AV38" s="46"/>
      <c r="AW38" s="47"/>
      <c r="AX38" s="47"/>
      <c r="AY38" s="68"/>
      <c r="AZ38" s="68"/>
      <c r="BA38" s="284" t="s">
        <v>1005</v>
      </c>
      <c r="BB38" s="284"/>
      <c r="BC38" s="284"/>
      <c r="BD38" s="284"/>
      <c r="BE38" s="284"/>
      <c r="BF38" s="284"/>
      <c r="BG38" s="229"/>
      <c r="BH38" s="177">
        <f>+BH37</f>
        <v>200000000</v>
      </c>
      <c r="BI38" s="177">
        <f t="shared" ref="BI38:BK38" si="9">+BI37</f>
        <v>199999998</v>
      </c>
      <c r="BJ38" s="177">
        <f t="shared" si="9"/>
        <v>159999999</v>
      </c>
      <c r="BK38" s="139">
        <f t="shared" si="9"/>
        <v>0.79999999499999996</v>
      </c>
      <c r="BL38" s="39"/>
      <c r="BM38" s="47"/>
      <c r="BN38" s="44"/>
      <c r="BO38" s="44"/>
      <c r="BP38" s="59"/>
      <c r="BQ38" s="47"/>
      <c r="BR38" s="47"/>
      <c r="BS38" s="77"/>
      <c r="BT38" s="202"/>
      <c r="BU38" s="60"/>
      <c r="BV38" s="60"/>
    </row>
    <row r="39" spans="1:74" ht="409.5" x14ac:dyDescent="0.4">
      <c r="A39" s="243"/>
      <c r="B39" s="246"/>
      <c r="C39" s="246" t="s">
        <v>411</v>
      </c>
      <c r="D39" s="62" t="s">
        <v>412</v>
      </c>
      <c r="E39" s="62" t="s">
        <v>413</v>
      </c>
      <c r="F39" s="62" t="s">
        <v>414</v>
      </c>
      <c r="G39" s="71">
        <v>0.66</v>
      </c>
      <c r="H39" s="47" t="s">
        <v>415</v>
      </c>
      <c r="I39" s="71">
        <v>0.66</v>
      </c>
      <c r="J39" s="258" t="s">
        <v>416</v>
      </c>
      <c r="K39" s="62" t="s">
        <v>417</v>
      </c>
      <c r="L39" s="47" t="s">
        <v>87</v>
      </c>
      <c r="M39" s="62" t="s">
        <v>418</v>
      </c>
      <c r="N39" s="62" t="s">
        <v>419</v>
      </c>
      <c r="O39" s="289">
        <v>2</v>
      </c>
      <c r="P39" s="289"/>
      <c r="Q39" s="47" t="s">
        <v>420</v>
      </c>
      <c r="R39" s="53">
        <v>61</v>
      </c>
      <c r="S39" s="53">
        <v>41</v>
      </c>
      <c r="T39" s="54">
        <v>20</v>
      </c>
      <c r="U39" s="54">
        <v>0</v>
      </c>
      <c r="V39" s="54">
        <v>0</v>
      </c>
      <c r="W39" s="54">
        <v>0</v>
      </c>
      <c r="X39" s="42">
        <v>41</v>
      </c>
      <c r="Y39" s="196">
        <f>SUM(U39:X39)</f>
        <v>41</v>
      </c>
      <c r="Z39" s="196">
        <f>+T39+Y39</f>
        <v>61</v>
      </c>
      <c r="AA39" s="116">
        <f>+Y39/S39</f>
        <v>1</v>
      </c>
      <c r="AB39" s="116">
        <f>+(T39+Y39)/R39</f>
        <v>1</v>
      </c>
      <c r="AC39" s="322"/>
      <c r="AD39" s="322"/>
      <c r="AE39" s="273" t="s">
        <v>421</v>
      </c>
      <c r="AF39" s="273" t="s">
        <v>422</v>
      </c>
      <c r="AG39" s="273" t="s">
        <v>423</v>
      </c>
      <c r="AH39" s="273" t="s">
        <v>424</v>
      </c>
      <c r="AI39" s="47" t="s">
        <v>425</v>
      </c>
      <c r="AJ39" s="47" t="s">
        <v>426</v>
      </c>
      <c r="AK39" s="47" t="s">
        <v>385</v>
      </c>
      <c r="AL39" s="45">
        <v>41</v>
      </c>
      <c r="AM39" s="45">
        <v>0</v>
      </c>
      <c r="AN39" s="45">
        <v>0</v>
      </c>
      <c r="AO39" s="45">
        <v>0</v>
      </c>
      <c r="AP39" s="45">
        <v>41</v>
      </c>
      <c r="AQ39" s="102">
        <f>SUM(AM39:AP39)</f>
        <v>41</v>
      </c>
      <c r="AR39" s="124">
        <f t="shared" si="2"/>
        <v>1</v>
      </c>
      <c r="AS39" s="69">
        <v>0.12559999999999999</v>
      </c>
      <c r="AT39" s="46" t="s">
        <v>136</v>
      </c>
      <c r="AU39" s="46" t="s">
        <v>101</v>
      </c>
      <c r="AV39" s="46" t="s">
        <v>137</v>
      </c>
      <c r="AW39" s="68" t="s">
        <v>427</v>
      </c>
      <c r="AX39" s="68" t="s">
        <v>427</v>
      </c>
      <c r="AY39" s="68" t="s">
        <v>10</v>
      </c>
      <c r="AZ39" s="68" t="s">
        <v>181</v>
      </c>
      <c r="BA39" s="46" t="s">
        <v>182</v>
      </c>
      <c r="BB39" s="72">
        <v>100000000</v>
      </c>
      <c r="BC39" s="44" t="s">
        <v>107</v>
      </c>
      <c r="BD39" s="47" t="s">
        <v>428</v>
      </c>
      <c r="BE39" s="47" t="s">
        <v>429</v>
      </c>
      <c r="BF39" s="205">
        <v>67650000</v>
      </c>
      <c r="BG39" s="213">
        <v>451249020</v>
      </c>
      <c r="BH39" s="371">
        <v>796000000</v>
      </c>
      <c r="BI39" s="371">
        <v>592999020</v>
      </c>
      <c r="BJ39" s="371">
        <v>476149020</v>
      </c>
      <c r="BK39" s="372">
        <f>+BJ39/BH39</f>
        <v>0.59817716080402006</v>
      </c>
      <c r="BL39" s="39" t="s">
        <v>371</v>
      </c>
      <c r="BM39" s="47" t="s">
        <v>430</v>
      </c>
      <c r="BN39" s="44" t="s">
        <v>390</v>
      </c>
      <c r="BO39" s="44">
        <v>0</v>
      </c>
      <c r="BP39" s="59">
        <v>44927</v>
      </c>
      <c r="BQ39" s="51" t="s">
        <v>306</v>
      </c>
      <c r="BR39" s="51" t="s">
        <v>306</v>
      </c>
      <c r="BS39" s="51"/>
      <c r="BT39" s="47" t="s">
        <v>1025</v>
      </c>
      <c r="BU39" s="60" t="s">
        <v>114</v>
      </c>
      <c r="BV39" s="60" t="s">
        <v>114</v>
      </c>
    </row>
    <row r="40" spans="1:74" ht="409.5" x14ac:dyDescent="0.4">
      <c r="A40" s="243"/>
      <c r="B40" s="246"/>
      <c r="C40" s="246"/>
      <c r="D40" s="62" t="s">
        <v>431</v>
      </c>
      <c r="E40" s="62" t="s">
        <v>169</v>
      </c>
      <c r="F40" s="62" t="s">
        <v>432</v>
      </c>
      <c r="G40" s="71">
        <v>1</v>
      </c>
      <c r="H40" s="47" t="s">
        <v>415</v>
      </c>
      <c r="I40" s="71">
        <v>1</v>
      </c>
      <c r="J40" s="275"/>
      <c r="K40" s="62" t="s">
        <v>433</v>
      </c>
      <c r="L40" s="47" t="s">
        <v>87</v>
      </c>
      <c r="M40" s="62" t="s">
        <v>169</v>
      </c>
      <c r="N40" s="62" t="s">
        <v>434</v>
      </c>
      <c r="O40" s="289">
        <v>2</v>
      </c>
      <c r="P40" s="289"/>
      <c r="Q40" s="47" t="s">
        <v>435</v>
      </c>
      <c r="R40" s="53">
        <v>8</v>
      </c>
      <c r="S40" s="53">
        <v>5</v>
      </c>
      <c r="T40" s="54">
        <v>3</v>
      </c>
      <c r="U40" s="54">
        <v>0</v>
      </c>
      <c r="V40" s="54">
        <v>2</v>
      </c>
      <c r="W40" s="54">
        <v>1</v>
      </c>
      <c r="X40" s="42">
        <v>0</v>
      </c>
      <c r="Y40" s="196">
        <f>SUM(U40:X40)</f>
        <v>3</v>
      </c>
      <c r="Z40" s="196">
        <f>+T40+Y40</f>
        <v>6</v>
      </c>
      <c r="AA40" s="116">
        <f>+Y40/S40</f>
        <v>0.6</v>
      </c>
      <c r="AB40" s="116">
        <f>+Z40/R40</f>
        <v>0.75</v>
      </c>
      <c r="AC40" s="322"/>
      <c r="AD40" s="322"/>
      <c r="AE40" s="288"/>
      <c r="AF40" s="288"/>
      <c r="AG40" s="288"/>
      <c r="AH40" s="288"/>
      <c r="AI40" s="246" t="s">
        <v>436</v>
      </c>
      <c r="AJ40" s="47" t="s">
        <v>437</v>
      </c>
      <c r="AK40" s="47" t="s">
        <v>438</v>
      </c>
      <c r="AL40" s="45">
        <v>5</v>
      </c>
      <c r="AM40" s="45">
        <v>0</v>
      </c>
      <c r="AN40" s="45">
        <v>2</v>
      </c>
      <c r="AO40" s="45">
        <v>1</v>
      </c>
      <c r="AP40" s="45">
        <v>0</v>
      </c>
      <c r="AQ40" s="102">
        <f>SUM(AM40:AP40)</f>
        <v>3</v>
      </c>
      <c r="AR40" s="124">
        <f t="shared" si="2"/>
        <v>0.6</v>
      </c>
      <c r="AS40" s="69">
        <v>0.1595</v>
      </c>
      <c r="AT40" s="46" t="s">
        <v>136</v>
      </c>
      <c r="AU40" s="46" t="s">
        <v>101</v>
      </c>
      <c r="AV40" s="46" t="s">
        <v>137</v>
      </c>
      <c r="AW40" s="68" t="s">
        <v>439</v>
      </c>
      <c r="AX40" s="68" t="s">
        <v>440</v>
      </c>
      <c r="AY40" s="68" t="s">
        <v>10</v>
      </c>
      <c r="AZ40" s="68" t="s">
        <v>181</v>
      </c>
      <c r="BA40" s="46" t="s">
        <v>182</v>
      </c>
      <c r="BB40" s="72">
        <v>127000000</v>
      </c>
      <c r="BC40" s="44" t="s">
        <v>107</v>
      </c>
      <c r="BD40" s="47" t="s">
        <v>428</v>
      </c>
      <c r="BE40" s="47" t="s">
        <v>429</v>
      </c>
      <c r="BF40" s="205">
        <v>45949020</v>
      </c>
      <c r="BG40" s="213">
        <v>0</v>
      </c>
      <c r="BH40" s="371"/>
      <c r="BI40" s="371"/>
      <c r="BJ40" s="371"/>
      <c r="BK40" s="372"/>
      <c r="BL40" s="47" t="s">
        <v>371</v>
      </c>
      <c r="BM40" s="47" t="s">
        <v>441</v>
      </c>
      <c r="BN40" s="47" t="s">
        <v>230</v>
      </c>
      <c r="BO40" s="44">
        <v>0</v>
      </c>
      <c r="BP40" s="59">
        <v>44927</v>
      </c>
      <c r="BQ40" s="51" t="s">
        <v>306</v>
      </c>
      <c r="BR40" s="51" t="s">
        <v>442</v>
      </c>
      <c r="BS40" s="47" t="s">
        <v>443</v>
      </c>
      <c r="BT40" s="47"/>
      <c r="BU40" s="60" t="s">
        <v>114</v>
      </c>
      <c r="BV40" s="60" t="s">
        <v>114</v>
      </c>
    </row>
    <row r="41" spans="1:74" ht="120" customHeight="1" x14ac:dyDescent="0.4">
      <c r="A41" s="243"/>
      <c r="B41" s="246"/>
      <c r="C41" s="246"/>
      <c r="D41" s="62" t="s">
        <v>444</v>
      </c>
      <c r="E41" s="62" t="s">
        <v>445</v>
      </c>
      <c r="F41" s="62" t="s">
        <v>446</v>
      </c>
      <c r="G41" s="71">
        <v>1</v>
      </c>
      <c r="H41" s="47" t="s">
        <v>415</v>
      </c>
      <c r="I41" s="71">
        <v>1</v>
      </c>
      <c r="J41" s="275"/>
      <c r="K41" s="62" t="s">
        <v>447</v>
      </c>
      <c r="L41" s="47" t="s">
        <v>87</v>
      </c>
      <c r="M41" s="62" t="s">
        <v>169</v>
      </c>
      <c r="N41" s="62" t="s">
        <v>448</v>
      </c>
      <c r="O41" s="289">
        <v>2</v>
      </c>
      <c r="P41" s="289"/>
      <c r="Q41" s="47" t="s">
        <v>449</v>
      </c>
      <c r="R41" s="53">
        <v>1</v>
      </c>
      <c r="S41" s="53">
        <v>1</v>
      </c>
      <c r="T41" s="54">
        <v>1</v>
      </c>
      <c r="U41" s="54">
        <v>1</v>
      </c>
      <c r="V41" s="54">
        <v>1</v>
      </c>
      <c r="W41" s="54">
        <v>1</v>
      </c>
      <c r="X41" s="42">
        <v>1</v>
      </c>
      <c r="Y41" s="196">
        <v>1</v>
      </c>
      <c r="Z41" s="196">
        <v>1</v>
      </c>
      <c r="AA41" s="116">
        <f>+Y41/S41</f>
        <v>1</v>
      </c>
      <c r="AB41" s="116">
        <v>1</v>
      </c>
      <c r="AC41" s="322"/>
      <c r="AD41" s="322"/>
      <c r="AE41" s="288"/>
      <c r="AF41" s="288"/>
      <c r="AG41" s="288"/>
      <c r="AH41" s="288"/>
      <c r="AI41" s="246"/>
      <c r="AJ41" s="47" t="s">
        <v>450</v>
      </c>
      <c r="AK41" s="47" t="s">
        <v>135</v>
      </c>
      <c r="AL41" s="47">
        <v>17</v>
      </c>
      <c r="AM41" s="47">
        <v>15</v>
      </c>
      <c r="AN41" s="47">
        <v>4</v>
      </c>
      <c r="AO41" s="47">
        <v>0</v>
      </c>
      <c r="AP41" s="47">
        <v>9</v>
      </c>
      <c r="AQ41" s="102">
        <f>SUM(AM41:AP41)</f>
        <v>28</v>
      </c>
      <c r="AR41" s="125">
        <v>1</v>
      </c>
      <c r="AS41" s="69">
        <v>0.67090000000000005</v>
      </c>
      <c r="AT41" s="46" t="s">
        <v>136</v>
      </c>
      <c r="AU41" s="46" t="s">
        <v>101</v>
      </c>
      <c r="AV41" s="46" t="s">
        <v>137</v>
      </c>
      <c r="AW41" s="68" t="s">
        <v>451</v>
      </c>
      <c r="AX41" s="68" t="s">
        <v>452</v>
      </c>
      <c r="AY41" s="68" t="s">
        <v>10</v>
      </c>
      <c r="AZ41" s="68" t="s">
        <v>181</v>
      </c>
      <c r="BA41" s="46" t="s">
        <v>182</v>
      </c>
      <c r="BB41" s="72">
        <v>534000000</v>
      </c>
      <c r="BC41" s="44" t="s">
        <v>107</v>
      </c>
      <c r="BD41" s="47" t="s">
        <v>428</v>
      </c>
      <c r="BE41" s="47" t="s">
        <v>429</v>
      </c>
      <c r="BF41" s="72">
        <v>479400000</v>
      </c>
      <c r="BG41" s="214">
        <v>0</v>
      </c>
      <c r="BH41" s="371"/>
      <c r="BI41" s="371"/>
      <c r="BJ41" s="371"/>
      <c r="BK41" s="372"/>
      <c r="BL41" s="47" t="s">
        <v>371</v>
      </c>
      <c r="BM41" s="47" t="s">
        <v>453</v>
      </c>
      <c r="BN41" s="44" t="s">
        <v>140</v>
      </c>
      <c r="BO41" s="44">
        <v>0</v>
      </c>
      <c r="BP41" s="59">
        <v>44927</v>
      </c>
      <c r="BQ41" s="47" t="s">
        <v>454</v>
      </c>
      <c r="BR41" s="47" t="s">
        <v>455</v>
      </c>
      <c r="BS41" s="47"/>
      <c r="BT41" s="47" t="s">
        <v>1026</v>
      </c>
      <c r="BU41" s="60" t="s">
        <v>114</v>
      </c>
      <c r="BV41" s="60" t="s">
        <v>114</v>
      </c>
    </row>
    <row r="42" spans="1:74" ht="90" customHeight="1" x14ac:dyDescent="0.4">
      <c r="A42" s="243"/>
      <c r="B42" s="246"/>
      <c r="C42" s="246"/>
      <c r="D42" s="246" t="s">
        <v>456</v>
      </c>
      <c r="E42" s="246" t="s">
        <v>457</v>
      </c>
      <c r="F42" s="246" t="s">
        <v>458</v>
      </c>
      <c r="G42" s="324">
        <v>1</v>
      </c>
      <c r="H42" s="246" t="s">
        <v>84</v>
      </c>
      <c r="I42" s="324">
        <v>1</v>
      </c>
      <c r="J42" s="275"/>
      <c r="K42" s="62" t="s">
        <v>459</v>
      </c>
      <c r="L42" s="47" t="s">
        <v>87</v>
      </c>
      <c r="M42" s="62" t="s">
        <v>169</v>
      </c>
      <c r="N42" s="62" t="s">
        <v>460</v>
      </c>
      <c r="O42" s="289">
        <v>2</v>
      </c>
      <c r="P42" s="289"/>
      <c r="Q42" s="47" t="s">
        <v>420</v>
      </c>
      <c r="R42" s="53">
        <v>1</v>
      </c>
      <c r="S42" s="68" t="s">
        <v>315</v>
      </c>
      <c r="T42" s="47" t="s">
        <v>461</v>
      </c>
      <c r="U42" s="68" t="s">
        <v>315</v>
      </c>
      <c r="V42" s="68" t="s">
        <v>315</v>
      </c>
      <c r="W42" s="68" t="s">
        <v>315</v>
      </c>
      <c r="X42" s="68" t="s">
        <v>315</v>
      </c>
      <c r="Y42" s="196" t="s">
        <v>125</v>
      </c>
      <c r="Z42" s="196">
        <v>1</v>
      </c>
      <c r="AA42" s="116" t="s">
        <v>125</v>
      </c>
      <c r="AB42" s="116">
        <v>1</v>
      </c>
      <c r="AC42" s="322"/>
      <c r="AD42" s="322"/>
      <c r="AE42" s="288"/>
      <c r="AF42" s="288"/>
      <c r="AG42" s="288"/>
      <c r="AH42" s="288"/>
      <c r="AI42" s="246"/>
      <c r="AJ42" s="258" t="s">
        <v>462</v>
      </c>
      <c r="AK42" s="258" t="s">
        <v>438</v>
      </c>
      <c r="AL42" s="258">
        <v>1</v>
      </c>
      <c r="AM42" s="258">
        <v>0</v>
      </c>
      <c r="AN42" s="258">
        <v>0</v>
      </c>
      <c r="AO42" s="258">
        <v>0</v>
      </c>
      <c r="AP42" s="258">
        <v>0</v>
      </c>
      <c r="AQ42" s="327">
        <f>SUM(AM42:AP45)</f>
        <v>0</v>
      </c>
      <c r="AR42" s="276">
        <f t="shared" si="2"/>
        <v>0</v>
      </c>
      <c r="AS42" s="332">
        <v>4.3999999999999997E-2</v>
      </c>
      <c r="AT42" s="258" t="s">
        <v>136</v>
      </c>
      <c r="AU42" s="258" t="s">
        <v>101</v>
      </c>
      <c r="AV42" s="258" t="s">
        <v>137</v>
      </c>
      <c r="AW42" s="258" t="s">
        <v>463</v>
      </c>
      <c r="AX42" s="258">
        <v>0</v>
      </c>
      <c r="AY42" s="258" t="s">
        <v>10</v>
      </c>
      <c r="AZ42" s="258" t="s">
        <v>181</v>
      </c>
      <c r="BA42" s="258" t="s">
        <v>182</v>
      </c>
      <c r="BB42" s="301">
        <v>35000000</v>
      </c>
      <c r="BC42" s="258" t="s">
        <v>107</v>
      </c>
      <c r="BD42" s="246" t="s">
        <v>428</v>
      </c>
      <c r="BE42" s="246" t="s">
        <v>429</v>
      </c>
      <c r="BF42" s="318">
        <v>0</v>
      </c>
      <c r="BG42" s="319">
        <v>0</v>
      </c>
      <c r="BH42" s="371"/>
      <c r="BI42" s="371"/>
      <c r="BJ42" s="371"/>
      <c r="BK42" s="372"/>
      <c r="BL42" s="258" t="s">
        <v>371</v>
      </c>
      <c r="BM42" s="258" t="s">
        <v>464</v>
      </c>
      <c r="BN42" s="258" t="s">
        <v>230</v>
      </c>
      <c r="BO42" s="258">
        <v>0</v>
      </c>
      <c r="BP42" s="247">
        <v>44927</v>
      </c>
      <c r="BQ42" s="247" t="s">
        <v>306</v>
      </c>
      <c r="BR42" s="247"/>
      <c r="BS42" s="247"/>
      <c r="BT42" s="247"/>
      <c r="BU42" s="315" t="s">
        <v>114</v>
      </c>
      <c r="BV42" s="315" t="s">
        <v>114</v>
      </c>
    </row>
    <row r="43" spans="1:74" ht="409.5" x14ac:dyDescent="0.4">
      <c r="A43" s="243"/>
      <c r="B43" s="246"/>
      <c r="C43" s="246"/>
      <c r="D43" s="246"/>
      <c r="E43" s="246"/>
      <c r="F43" s="246"/>
      <c r="G43" s="246"/>
      <c r="H43" s="246"/>
      <c r="I43" s="246"/>
      <c r="J43" s="275"/>
      <c r="K43" s="62" t="s">
        <v>465</v>
      </c>
      <c r="L43" s="47" t="s">
        <v>87</v>
      </c>
      <c r="M43" s="62" t="s">
        <v>466</v>
      </c>
      <c r="N43" s="62" t="s">
        <v>467</v>
      </c>
      <c r="O43" s="289">
        <v>2</v>
      </c>
      <c r="P43" s="289"/>
      <c r="Q43" s="47" t="s">
        <v>468</v>
      </c>
      <c r="R43" s="53">
        <v>1</v>
      </c>
      <c r="S43" s="68" t="s">
        <v>315</v>
      </c>
      <c r="T43" s="47" t="s">
        <v>469</v>
      </c>
      <c r="U43" s="68" t="s">
        <v>315</v>
      </c>
      <c r="V43" s="68" t="s">
        <v>315</v>
      </c>
      <c r="W43" s="68" t="s">
        <v>315</v>
      </c>
      <c r="X43" s="68" t="s">
        <v>315</v>
      </c>
      <c r="Y43" s="196" t="s">
        <v>125</v>
      </c>
      <c r="Z43" s="196">
        <v>1</v>
      </c>
      <c r="AA43" s="116" t="s">
        <v>125</v>
      </c>
      <c r="AB43" s="116">
        <v>1</v>
      </c>
      <c r="AC43" s="322"/>
      <c r="AD43" s="322"/>
      <c r="AE43" s="288"/>
      <c r="AF43" s="288"/>
      <c r="AG43" s="288"/>
      <c r="AH43" s="288"/>
      <c r="AI43" s="246"/>
      <c r="AJ43" s="275"/>
      <c r="AK43" s="275"/>
      <c r="AL43" s="275"/>
      <c r="AM43" s="275"/>
      <c r="AN43" s="275"/>
      <c r="AO43" s="275"/>
      <c r="AP43" s="275"/>
      <c r="AQ43" s="328"/>
      <c r="AR43" s="278" t="e">
        <f t="shared" si="2"/>
        <v>#DIV/0!</v>
      </c>
      <c r="AS43" s="333"/>
      <c r="AT43" s="275"/>
      <c r="AU43" s="275"/>
      <c r="AV43" s="275" t="s">
        <v>137</v>
      </c>
      <c r="AW43" s="275"/>
      <c r="AX43" s="275"/>
      <c r="AY43" s="275"/>
      <c r="AZ43" s="275"/>
      <c r="BA43" s="275"/>
      <c r="BB43" s="302"/>
      <c r="BC43" s="275"/>
      <c r="BD43" s="246"/>
      <c r="BE43" s="246"/>
      <c r="BF43" s="318"/>
      <c r="BG43" s="319"/>
      <c r="BH43" s="371"/>
      <c r="BI43" s="371"/>
      <c r="BJ43" s="371"/>
      <c r="BK43" s="372"/>
      <c r="BL43" s="275" t="s">
        <v>371</v>
      </c>
      <c r="BM43" s="275"/>
      <c r="BN43" s="275"/>
      <c r="BO43" s="275"/>
      <c r="BP43" s="248">
        <v>44927</v>
      </c>
      <c r="BQ43" s="248"/>
      <c r="BR43" s="248"/>
      <c r="BS43" s="248"/>
      <c r="BT43" s="248"/>
      <c r="BU43" s="316"/>
      <c r="BV43" s="316"/>
    </row>
    <row r="44" spans="1:74" ht="393.75" x14ac:dyDescent="0.4">
      <c r="A44" s="243"/>
      <c r="B44" s="246"/>
      <c r="C44" s="246"/>
      <c r="D44" s="246"/>
      <c r="E44" s="246"/>
      <c r="F44" s="246"/>
      <c r="G44" s="246"/>
      <c r="H44" s="246"/>
      <c r="I44" s="246"/>
      <c r="J44" s="275"/>
      <c r="K44" s="62" t="s">
        <v>470</v>
      </c>
      <c r="L44" s="47" t="s">
        <v>87</v>
      </c>
      <c r="M44" s="62" t="s">
        <v>471</v>
      </c>
      <c r="N44" s="62" t="s">
        <v>472</v>
      </c>
      <c r="O44" s="289">
        <v>2</v>
      </c>
      <c r="P44" s="289"/>
      <c r="Q44" s="47" t="s">
        <v>468</v>
      </c>
      <c r="R44" s="53">
        <v>1</v>
      </c>
      <c r="S44" s="53">
        <v>1</v>
      </c>
      <c r="T44" s="47" t="s">
        <v>473</v>
      </c>
      <c r="U44" s="101" t="s">
        <v>474</v>
      </c>
      <c r="V44" s="101" t="s">
        <v>474</v>
      </c>
      <c r="W44" s="101" t="s">
        <v>474</v>
      </c>
      <c r="X44" s="101" t="s">
        <v>474</v>
      </c>
      <c r="Y44" s="196">
        <v>1</v>
      </c>
      <c r="Z44" s="196">
        <v>1</v>
      </c>
      <c r="AA44" s="116">
        <f>+Y44/S44</f>
        <v>1</v>
      </c>
      <c r="AB44" s="116">
        <v>1</v>
      </c>
      <c r="AC44" s="322"/>
      <c r="AD44" s="322"/>
      <c r="AE44" s="288"/>
      <c r="AF44" s="288"/>
      <c r="AG44" s="288"/>
      <c r="AH44" s="288"/>
      <c r="AI44" s="246"/>
      <c r="AJ44" s="275"/>
      <c r="AK44" s="275"/>
      <c r="AL44" s="275"/>
      <c r="AM44" s="275"/>
      <c r="AN44" s="275"/>
      <c r="AO44" s="275"/>
      <c r="AP44" s="275"/>
      <c r="AQ44" s="328"/>
      <c r="AR44" s="278" t="e">
        <f t="shared" si="2"/>
        <v>#DIV/0!</v>
      </c>
      <c r="AS44" s="333"/>
      <c r="AT44" s="275"/>
      <c r="AU44" s="275"/>
      <c r="AV44" s="275" t="s">
        <v>137</v>
      </c>
      <c r="AW44" s="275"/>
      <c r="AX44" s="275"/>
      <c r="AY44" s="275"/>
      <c r="AZ44" s="275"/>
      <c r="BA44" s="275"/>
      <c r="BB44" s="302"/>
      <c r="BC44" s="275"/>
      <c r="BD44" s="246"/>
      <c r="BE44" s="246"/>
      <c r="BF44" s="318"/>
      <c r="BG44" s="319"/>
      <c r="BH44" s="371"/>
      <c r="BI44" s="371"/>
      <c r="BJ44" s="371"/>
      <c r="BK44" s="372"/>
      <c r="BL44" s="275" t="s">
        <v>371</v>
      </c>
      <c r="BM44" s="275"/>
      <c r="BN44" s="275"/>
      <c r="BO44" s="275"/>
      <c r="BP44" s="248">
        <v>44927</v>
      </c>
      <c r="BQ44" s="248"/>
      <c r="BR44" s="248"/>
      <c r="BS44" s="248"/>
      <c r="BT44" s="248"/>
      <c r="BU44" s="316"/>
      <c r="BV44" s="316"/>
    </row>
    <row r="45" spans="1:74" ht="392.25" customHeight="1" x14ac:dyDescent="0.4">
      <c r="A45" s="243"/>
      <c r="B45" s="246"/>
      <c r="C45" s="246"/>
      <c r="D45" s="246"/>
      <c r="E45" s="246"/>
      <c r="F45" s="246"/>
      <c r="G45" s="246"/>
      <c r="H45" s="246"/>
      <c r="I45" s="246"/>
      <c r="J45" s="259"/>
      <c r="K45" s="62" t="s">
        <v>475</v>
      </c>
      <c r="L45" s="47" t="s">
        <v>87</v>
      </c>
      <c r="M45" s="62" t="s">
        <v>169</v>
      </c>
      <c r="N45" s="62" t="s">
        <v>476</v>
      </c>
      <c r="O45" s="289">
        <v>2</v>
      </c>
      <c r="P45" s="289"/>
      <c r="Q45" s="47" t="s">
        <v>468</v>
      </c>
      <c r="R45" s="53">
        <v>1</v>
      </c>
      <c r="S45" s="68" t="s">
        <v>315</v>
      </c>
      <c r="T45" s="47" t="s">
        <v>477</v>
      </c>
      <c r="U45" s="68" t="s">
        <v>315</v>
      </c>
      <c r="V45" s="68" t="s">
        <v>315</v>
      </c>
      <c r="W45" s="68" t="s">
        <v>315</v>
      </c>
      <c r="X45" s="68" t="s">
        <v>315</v>
      </c>
      <c r="Y45" s="196" t="s">
        <v>125</v>
      </c>
      <c r="Z45" s="196">
        <v>1</v>
      </c>
      <c r="AA45" s="116" t="s">
        <v>125</v>
      </c>
      <c r="AB45" s="116">
        <v>1</v>
      </c>
      <c r="AC45" s="322"/>
      <c r="AD45" s="322"/>
      <c r="AE45" s="288"/>
      <c r="AF45" s="288"/>
      <c r="AG45" s="274"/>
      <c r="AH45" s="274"/>
      <c r="AI45" s="246"/>
      <c r="AJ45" s="259"/>
      <c r="AK45" s="259"/>
      <c r="AL45" s="259"/>
      <c r="AM45" s="259"/>
      <c r="AN45" s="259"/>
      <c r="AO45" s="259"/>
      <c r="AP45" s="259"/>
      <c r="AQ45" s="329"/>
      <c r="AR45" s="277" t="e">
        <f t="shared" si="2"/>
        <v>#DIV/0!</v>
      </c>
      <c r="AS45" s="334"/>
      <c r="AT45" s="259"/>
      <c r="AU45" s="259"/>
      <c r="AV45" s="259"/>
      <c r="AW45" s="259"/>
      <c r="AX45" s="259"/>
      <c r="AY45" s="259"/>
      <c r="AZ45" s="259"/>
      <c r="BA45" s="259"/>
      <c r="BB45" s="303"/>
      <c r="BC45" s="259"/>
      <c r="BD45" s="246"/>
      <c r="BE45" s="246"/>
      <c r="BF45" s="318"/>
      <c r="BG45" s="319"/>
      <c r="BH45" s="371"/>
      <c r="BI45" s="371"/>
      <c r="BJ45" s="371"/>
      <c r="BK45" s="372"/>
      <c r="BL45" s="259"/>
      <c r="BM45" s="259"/>
      <c r="BN45" s="259"/>
      <c r="BO45" s="259"/>
      <c r="BP45" s="249"/>
      <c r="BQ45" s="249"/>
      <c r="BR45" s="249"/>
      <c r="BS45" s="249"/>
      <c r="BT45" s="249"/>
      <c r="BU45" s="317"/>
      <c r="BV45" s="317"/>
    </row>
    <row r="46" spans="1:74" ht="118.5" customHeight="1" x14ac:dyDescent="0.4">
      <c r="A46" s="243"/>
      <c r="B46" s="246"/>
      <c r="C46" s="246"/>
      <c r="D46" s="47"/>
      <c r="E46" s="47"/>
      <c r="F46" s="47"/>
      <c r="G46" s="47"/>
      <c r="H46" s="47"/>
      <c r="I46" s="47"/>
      <c r="J46" s="39"/>
      <c r="K46" s="285"/>
      <c r="L46" s="286"/>
      <c r="M46" s="286"/>
      <c r="N46" s="286"/>
      <c r="O46" s="286"/>
      <c r="P46" s="286"/>
      <c r="Q46" s="287"/>
      <c r="R46" s="229" t="s">
        <v>478</v>
      </c>
      <c r="S46" s="230"/>
      <c r="T46" s="230"/>
      <c r="U46" s="230"/>
      <c r="V46" s="230"/>
      <c r="W46" s="230"/>
      <c r="X46" s="230"/>
      <c r="Y46" s="230"/>
      <c r="Z46" s="231"/>
      <c r="AA46" s="147">
        <f>AVERAGE(AA39:AA45)</f>
        <v>0.9</v>
      </c>
      <c r="AB46" s="147">
        <f>AVERAGE(AB39:AB45)</f>
        <v>0.9642857142857143</v>
      </c>
      <c r="AC46" s="322"/>
      <c r="AD46" s="322"/>
      <c r="AE46" s="288"/>
      <c r="AF46" s="288"/>
      <c r="AG46" s="55"/>
      <c r="AH46" s="284" t="s">
        <v>479</v>
      </c>
      <c r="AI46" s="284"/>
      <c r="AJ46" s="284"/>
      <c r="AK46" s="284"/>
      <c r="AL46" s="284"/>
      <c r="AM46" s="284"/>
      <c r="AN46" s="284"/>
      <c r="AO46" s="284"/>
      <c r="AP46" s="284"/>
      <c r="AQ46" s="284"/>
      <c r="AR46" s="116">
        <f>+(AR39+AR40+AR41+AR42)/4</f>
        <v>0.65</v>
      </c>
      <c r="AS46" s="40"/>
      <c r="AT46" s="39"/>
      <c r="AU46" s="39"/>
      <c r="AV46" s="39"/>
      <c r="AW46" s="39"/>
      <c r="AX46" s="39"/>
      <c r="AY46" s="39"/>
      <c r="AZ46" s="39"/>
      <c r="BA46" s="284" t="s">
        <v>1006</v>
      </c>
      <c r="BB46" s="284"/>
      <c r="BC46" s="284"/>
      <c r="BD46" s="284"/>
      <c r="BE46" s="284"/>
      <c r="BF46" s="284"/>
      <c r="BG46" s="229"/>
      <c r="BH46" s="179">
        <f>+BH39</f>
        <v>796000000</v>
      </c>
      <c r="BI46" s="179">
        <f t="shared" ref="BI46:BK46" si="10">+BI39</f>
        <v>592999020</v>
      </c>
      <c r="BJ46" s="179">
        <f t="shared" si="10"/>
        <v>476149020</v>
      </c>
      <c r="BK46" s="144">
        <f t="shared" si="10"/>
        <v>0.59817716080402006</v>
      </c>
      <c r="BL46" s="39"/>
      <c r="BM46" s="39"/>
      <c r="BN46" s="39"/>
      <c r="BO46" s="39"/>
      <c r="BP46" s="146"/>
      <c r="BQ46" s="79"/>
      <c r="BR46" s="79"/>
      <c r="BS46" s="79"/>
      <c r="BT46" s="79"/>
      <c r="BU46" s="80"/>
      <c r="BV46" s="80"/>
    </row>
    <row r="47" spans="1:74" ht="341.25" x14ac:dyDescent="0.4">
      <c r="A47" s="243"/>
      <c r="B47" s="246"/>
      <c r="C47" s="246"/>
      <c r="D47" s="246" t="s">
        <v>480</v>
      </c>
      <c r="E47" s="246" t="s">
        <v>169</v>
      </c>
      <c r="F47" s="246" t="s">
        <v>481</v>
      </c>
      <c r="G47" s="324">
        <v>1</v>
      </c>
      <c r="H47" s="246" t="s">
        <v>84</v>
      </c>
      <c r="I47" s="324">
        <v>1</v>
      </c>
      <c r="J47" s="246" t="s">
        <v>482</v>
      </c>
      <c r="K47" s="258" t="s">
        <v>483</v>
      </c>
      <c r="L47" s="258" t="s">
        <v>87</v>
      </c>
      <c r="M47" s="258" t="s">
        <v>484</v>
      </c>
      <c r="N47" s="258" t="s">
        <v>485</v>
      </c>
      <c r="O47" s="290">
        <v>2</v>
      </c>
      <c r="P47" s="291"/>
      <c r="Q47" s="258" t="s">
        <v>486</v>
      </c>
      <c r="R47" s="280">
        <v>20</v>
      </c>
      <c r="S47" s="258" t="s">
        <v>124</v>
      </c>
      <c r="T47" s="268">
        <v>0</v>
      </c>
      <c r="U47" s="260" t="s">
        <v>124</v>
      </c>
      <c r="V47" s="260" t="s">
        <v>124</v>
      </c>
      <c r="W47" s="260" t="s">
        <v>124</v>
      </c>
      <c r="X47" s="260" t="s">
        <v>124</v>
      </c>
      <c r="Y47" s="232" t="s">
        <v>125</v>
      </c>
      <c r="Z47" s="232">
        <v>0</v>
      </c>
      <c r="AA47" s="276" t="s">
        <v>125</v>
      </c>
      <c r="AB47" s="276">
        <v>0</v>
      </c>
      <c r="AC47" s="322"/>
      <c r="AD47" s="322"/>
      <c r="AE47" s="288"/>
      <c r="AF47" s="288"/>
      <c r="AG47" s="273" t="s">
        <v>487</v>
      </c>
      <c r="AH47" s="273" t="s">
        <v>488</v>
      </c>
      <c r="AI47" s="258" t="s">
        <v>489</v>
      </c>
      <c r="AJ47" s="47" t="s">
        <v>490</v>
      </c>
      <c r="AK47" s="47" t="s">
        <v>491</v>
      </c>
      <c r="AL47" s="45">
        <v>1</v>
      </c>
      <c r="AM47" s="45">
        <v>0</v>
      </c>
      <c r="AN47" s="45">
        <v>0</v>
      </c>
      <c r="AO47" s="45">
        <v>0</v>
      </c>
      <c r="AP47" s="45">
        <v>0</v>
      </c>
      <c r="AQ47" s="104">
        <f t="shared" ref="AQ47:AQ52" si="11">SUM(AM47:AP47)</f>
        <v>0</v>
      </c>
      <c r="AR47" s="124">
        <f t="shared" si="2"/>
        <v>0</v>
      </c>
      <c r="AS47" s="69">
        <v>0.01</v>
      </c>
      <c r="AT47" s="46" t="s">
        <v>492</v>
      </c>
      <c r="AU47" s="46" t="s">
        <v>101</v>
      </c>
      <c r="AV47" s="46" t="s">
        <v>493</v>
      </c>
      <c r="AW47" s="46" t="s">
        <v>494</v>
      </c>
      <c r="AX47" s="44">
        <v>0</v>
      </c>
      <c r="AY47" s="68" t="s">
        <v>495</v>
      </c>
      <c r="AZ47" s="68" t="s">
        <v>496</v>
      </c>
      <c r="BA47" s="46" t="s">
        <v>497</v>
      </c>
      <c r="BB47" s="187">
        <v>19999540</v>
      </c>
      <c r="BC47" s="44" t="s">
        <v>107</v>
      </c>
      <c r="BD47" s="39" t="s">
        <v>498</v>
      </c>
      <c r="BE47" s="38" t="s">
        <v>499</v>
      </c>
      <c r="BF47" s="205">
        <v>0</v>
      </c>
      <c r="BG47" s="395">
        <v>927419181.77999997</v>
      </c>
      <c r="BH47" s="371">
        <v>1969972292</v>
      </c>
      <c r="BI47" s="371">
        <v>1473691536.1099999</v>
      </c>
      <c r="BJ47" s="371">
        <v>1162379048.78</v>
      </c>
      <c r="BK47" s="372">
        <f>+BJ47/BH47</f>
        <v>0.59004842530038992</v>
      </c>
      <c r="BL47" s="39" t="s">
        <v>371</v>
      </c>
      <c r="BM47" s="47" t="s">
        <v>500</v>
      </c>
      <c r="BN47" s="47" t="s">
        <v>230</v>
      </c>
      <c r="BO47" s="47">
        <v>0</v>
      </c>
      <c r="BP47" s="59">
        <v>45108</v>
      </c>
      <c r="BQ47" s="51"/>
      <c r="BR47" s="51"/>
      <c r="BS47" s="47" t="s">
        <v>501</v>
      </c>
      <c r="BT47" s="47"/>
      <c r="BU47" s="60" t="s">
        <v>114</v>
      </c>
      <c r="BV47" s="60" t="s">
        <v>114</v>
      </c>
    </row>
    <row r="48" spans="1:74" ht="341.25" x14ac:dyDescent="0.4">
      <c r="A48" s="243"/>
      <c r="B48" s="246"/>
      <c r="C48" s="246"/>
      <c r="D48" s="246"/>
      <c r="E48" s="246"/>
      <c r="F48" s="246"/>
      <c r="G48" s="324"/>
      <c r="H48" s="246"/>
      <c r="I48" s="324"/>
      <c r="J48" s="246"/>
      <c r="K48" s="275"/>
      <c r="L48" s="275"/>
      <c r="M48" s="275"/>
      <c r="N48" s="275"/>
      <c r="O48" s="292"/>
      <c r="P48" s="293"/>
      <c r="Q48" s="275"/>
      <c r="R48" s="281"/>
      <c r="S48" s="275"/>
      <c r="T48" s="299"/>
      <c r="U48" s="282"/>
      <c r="V48" s="282"/>
      <c r="W48" s="282"/>
      <c r="X48" s="282"/>
      <c r="Y48" s="236"/>
      <c r="Z48" s="236"/>
      <c r="AA48" s="278"/>
      <c r="AB48" s="278"/>
      <c r="AC48" s="322"/>
      <c r="AD48" s="322"/>
      <c r="AE48" s="288"/>
      <c r="AF48" s="288"/>
      <c r="AG48" s="288"/>
      <c r="AH48" s="288"/>
      <c r="AI48" s="275"/>
      <c r="AJ48" s="47" t="s">
        <v>502</v>
      </c>
      <c r="AK48" s="47" t="s">
        <v>503</v>
      </c>
      <c r="AL48" s="45">
        <v>1</v>
      </c>
      <c r="AM48" s="45">
        <v>0</v>
      </c>
      <c r="AN48" s="45">
        <v>0</v>
      </c>
      <c r="AO48" s="45">
        <v>0</v>
      </c>
      <c r="AP48" s="45">
        <v>0</v>
      </c>
      <c r="AQ48" s="104">
        <f t="shared" si="11"/>
        <v>0</v>
      </c>
      <c r="AR48" s="124">
        <f t="shared" si="2"/>
        <v>0</v>
      </c>
      <c r="AS48" s="69">
        <v>0.03</v>
      </c>
      <c r="AT48" s="46" t="s">
        <v>136</v>
      </c>
      <c r="AU48" s="46" t="s">
        <v>101</v>
      </c>
      <c r="AV48" s="46" t="s">
        <v>137</v>
      </c>
      <c r="AW48" s="46" t="s">
        <v>494</v>
      </c>
      <c r="AX48" s="44">
        <v>0</v>
      </c>
      <c r="AY48" s="44" t="s">
        <v>495</v>
      </c>
      <c r="AZ48" s="68" t="s">
        <v>496</v>
      </c>
      <c r="BA48" s="46" t="s">
        <v>182</v>
      </c>
      <c r="BB48" s="188">
        <v>74898862</v>
      </c>
      <c r="BC48" s="44" t="s">
        <v>107</v>
      </c>
      <c r="BD48" s="47" t="s">
        <v>498</v>
      </c>
      <c r="BE48" s="47" t="s">
        <v>499</v>
      </c>
      <c r="BF48" s="205">
        <v>0</v>
      </c>
      <c r="BG48" s="396"/>
      <c r="BH48" s="371"/>
      <c r="BI48" s="371"/>
      <c r="BJ48" s="371"/>
      <c r="BK48" s="372"/>
      <c r="BL48" s="47" t="s">
        <v>371</v>
      </c>
      <c r="BM48" s="47" t="s">
        <v>504</v>
      </c>
      <c r="BN48" s="47" t="s">
        <v>230</v>
      </c>
      <c r="BO48" s="47">
        <v>0</v>
      </c>
      <c r="BP48" s="59">
        <v>44927</v>
      </c>
      <c r="BQ48" s="47" t="s">
        <v>505</v>
      </c>
      <c r="BR48" s="47" t="s">
        <v>506</v>
      </c>
      <c r="BS48" s="47"/>
      <c r="BT48" s="47"/>
      <c r="BU48" s="60" t="s">
        <v>114</v>
      </c>
      <c r="BV48" s="60" t="s">
        <v>114</v>
      </c>
    </row>
    <row r="49" spans="1:74" ht="148.5" customHeight="1" x14ac:dyDescent="0.4">
      <c r="A49" s="243"/>
      <c r="B49" s="246"/>
      <c r="C49" s="246"/>
      <c r="D49" s="246"/>
      <c r="E49" s="246"/>
      <c r="F49" s="246"/>
      <c r="G49" s="324"/>
      <c r="H49" s="246"/>
      <c r="I49" s="324"/>
      <c r="J49" s="246"/>
      <c r="K49" s="259"/>
      <c r="L49" s="259"/>
      <c r="M49" s="259"/>
      <c r="N49" s="259"/>
      <c r="O49" s="294"/>
      <c r="P49" s="295"/>
      <c r="Q49" s="259"/>
      <c r="R49" s="283"/>
      <c r="S49" s="259"/>
      <c r="T49" s="269"/>
      <c r="U49" s="261"/>
      <c r="V49" s="261"/>
      <c r="W49" s="261"/>
      <c r="X49" s="261"/>
      <c r="Y49" s="233"/>
      <c r="Z49" s="233"/>
      <c r="AA49" s="277"/>
      <c r="AB49" s="277"/>
      <c r="AC49" s="322"/>
      <c r="AD49" s="322"/>
      <c r="AE49" s="288"/>
      <c r="AF49" s="288"/>
      <c r="AG49" s="288"/>
      <c r="AH49" s="288"/>
      <c r="AI49" s="259"/>
      <c r="AJ49" s="47" t="s">
        <v>507</v>
      </c>
      <c r="AK49" s="47" t="s">
        <v>503</v>
      </c>
      <c r="AL49" s="45">
        <v>1</v>
      </c>
      <c r="AM49" s="45">
        <v>0</v>
      </c>
      <c r="AN49" s="45">
        <v>1</v>
      </c>
      <c r="AO49" s="45">
        <v>0</v>
      </c>
      <c r="AP49" s="45">
        <v>0</v>
      </c>
      <c r="AQ49" s="104">
        <f t="shared" si="11"/>
        <v>1</v>
      </c>
      <c r="AR49" s="124">
        <f t="shared" si="2"/>
        <v>1</v>
      </c>
      <c r="AS49" s="69">
        <v>0.1</v>
      </c>
      <c r="AT49" s="46" t="s">
        <v>136</v>
      </c>
      <c r="AU49" s="46" t="s">
        <v>101</v>
      </c>
      <c r="AV49" s="46" t="s">
        <v>137</v>
      </c>
      <c r="AW49" s="46" t="s">
        <v>508</v>
      </c>
      <c r="AX49" s="46">
        <v>518</v>
      </c>
      <c r="AY49" s="68" t="s">
        <v>495</v>
      </c>
      <c r="AZ49" s="68" t="s">
        <v>496</v>
      </c>
      <c r="BA49" s="46" t="s">
        <v>182</v>
      </c>
      <c r="BB49" s="188">
        <v>194501002.5</v>
      </c>
      <c r="BC49" s="44" t="s">
        <v>107</v>
      </c>
      <c r="BD49" s="47" t="s">
        <v>498</v>
      </c>
      <c r="BE49" s="47" t="s">
        <v>499</v>
      </c>
      <c r="BF49" s="205">
        <v>116000000</v>
      </c>
      <c r="BG49" s="396"/>
      <c r="BH49" s="371"/>
      <c r="BI49" s="371"/>
      <c r="BJ49" s="371"/>
      <c r="BK49" s="372"/>
      <c r="BL49" s="47" t="s">
        <v>371</v>
      </c>
      <c r="BM49" s="47" t="s">
        <v>507</v>
      </c>
      <c r="BN49" s="38" t="s">
        <v>338</v>
      </c>
      <c r="BO49" s="47">
        <v>0</v>
      </c>
      <c r="BP49" s="59">
        <v>44927</v>
      </c>
      <c r="BQ49" s="47" t="s">
        <v>509</v>
      </c>
      <c r="BR49" s="77" t="s">
        <v>510</v>
      </c>
      <c r="BS49" s="77"/>
      <c r="BT49" s="202"/>
      <c r="BU49" s="60" t="s">
        <v>114</v>
      </c>
      <c r="BV49" s="60" t="s">
        <v>114</v>
      </c>
    </row>
    <row r="50" spans="1:74" ht="409.5" x14ac:dyDescent="0.4">
      <c r="A50" s="243"/>
      <c r="B50" s="246"/>
      <c r="C50" s="246"/>
      <c r="D50" s="246"/>
      <c r="E50" s="246"/>
      <c r="F50" s="246"/>
      <c r="G50" s="246"/>
      <c r="H50" s="246"/>
      <c r="I50" s="246"/>
      <c r="J50" s="246"/>
      <c r="K50" s="39" t="s">
        <v>511</v>
      </c>
      <c r="L50" s="47" t="s">
        <v>87</v>
      </c>
      <c r="M50" s="39" t="s">
        <v>512</v>
      </c>
      <c r="N50" s="39" t="s">
        <v>513</v>
      </c>
      <c r="O50" s="289">
        <v>1</v>
      </c>
      <c r="P50" s="289"/>
      <c r="Q50" s="47" t="s">
        <v>514</v>
      </c>
      <c r="R50" s="47" t="s">
        <v>515</v>
      </c>
      <c r="S50" s="47" t="s">
        <v>516</v>
      </c>
      <c r="T50" s="47" t="s">
        <v>517</v>
      </c>
      <c r="U50" s="101" t="s">
        <v>518</v>
      </c>
      <c r="V50" s="101" t="s">
        <v>518</v>
      </c>
      <c r="W50" s="101" t="s">
        <v>518</v>
      </c>
      <c r="X50" s="101" t="s">
        <v>518</v>
      </c>
      <c r="Y50" s="197">
        <f>+(12.5%/4)*4</f>
        <v>0.125</v>
      </c>
      <c r="Z50" s="197">
        <f>37.5%+Y50</f>
        <v>0.5</v>
      </c>
      <c r="AA50" s="116">
        <f>+Y50/0.125</f>
        <v>1</v>
      </c>
      <c r="AB50" s="116">
        <v>0.5</v>
      </c>
      <c r="AC50" s="322"/>
      <c r="AD50" s="322"/>
      <c r="AE50" s="288"/>
      <c r="AF50" s="288"/>
      <c r="AG50" s="288"/>
      <c r="AH50" s="288"/>
      <c r="AI50" s="47" t="s">
        <v>519</v>
      </c>
      <c r="AJ50" s="47" t="s">
        <v>520</v>
      </c>
      <c r="AK50" s="47" t="s">
        <v>335</v>
      </c>
      <c r="AL50" s="45">
        <v>1</v>
      </c>
      <c r="AM50" s="45">
        <v>0</v>
      </c>
      <c r="AN50" s="45">
        <v>2</v>
      </c>
      <c r="AO50" s="45">
        <v>0</v>
      </c>
      <c r="AP50" s="45">
        <v>0</v>
      </c>
      <c r="AQ50" s="104">
        <f t="shared" si="11"/>
        <v>2</v>
      </c>
      <c r="AR50" s="124">
        <v>1</v>
      </c>
      <c r="AS50" s="69">
        <v>0.31</v>
      </c>
      <c r="AT50" s="46" t="s">
        <v>136</v>
      </c>
      <c r="AU50" s="46" t="s">
        <v>101</v>
      </c>
      <c r="AV50" s="46" t="s">
        <v>137</v>
      </c>
      <c r="AW50" s="46" t="s">
        <v>508</v>
      </c>
      <c r="AX50" s="46">
        <v>518</v>
      </c>
      <c r="AY50" s="46" t="s">
        <v>495</v>
      </c>
      <c r="AZ50" s="46" t="s">
        <v>496</v>
      </c>
      <c r="BA50" s="46" t="s">
        <v>182</v>
      </c>
      <c r="BB50" s="188">
        <v>585671000</v>
      </c>
      <c r="BC50" s="44" t="s">
        <v>107</v>
      </c>
      <c r="BD50" s="47" t="s">
        <v>498</v>
      </c>
      <c r="BE50" s="47" t="s">
        <v>499</v>
      </c>
      <c r="BF50" s="205">
        <f>226800000+182590211.78</f>
        <v>409390211.77999997</v>
      </c>
      <c r="BG50" s="396"/>
      <c r="BH50" s="371"/>
      <c r="BI50" s="371"/>
      <c r="BJ50" s="371"/>
      <c r="BK50" s="372"/>
      <c r="BL50" s="47" t="s">
        <v>371</v>
      </c>
      <c r="BM50" s="47" t="s">
        <v>520</v>
      </c>
      <c r="BN50" s="47" t="s">
        <v>140</v>
      </c>
      <c r="BO50" s="47">
        <v>0</v>
      </c>
      <c r="BP50" s="59">
        <v>44927</v>
      </c>
      <c r="BQ50" s="47" t="s">
        <v>521</v>
      </c>
      <c r="BR50" s="47" t="s">
        <v>522</v>
      </c>
      <c r="BS50" s="47"/>
      <c r="BT50" s="47"/>
      <c r="BU50" s="60" t="s">
        <v>114</v>
      </c>
      <c r="BV50" s="60" t="s">
        <v>114</v>
      </c>
    </row>
    <row r="51" spans="1:74" ht="409.5" x14ac:dyDescent="0.4">
      <c r="A51" s="243"/>
      <c r="B51" s="246"/>
      <c r="C51" s="246"/>
      <c r="D51" s="246"/>
      <c r="E51" s="246"/>
      <c r="F51" s="246"/>
      <c r="G51" s="246"/>
      <c r="H51" s="246"/>
      <c r="I51" s="246"/>
      <c r="J51" s="246"/>
      <c r="K51" s="47" t="s">
        <v>523</v>
      </c>
      <c r="L51" s="47" t="s">
        <v>87</v>
      </c>
      <c r="M51" s="47" t="s">
        <v>524</v>
      </c>
      <c r="N51" s="47" t="s">
        <v>525</v>
      </c>
      <c r="O51" s="289">
        <v>2</v>
      </c>
      <c r="P51" s="289"/>
      <c r="Q51" s="47" t="s">
        <v>526</v>
      </c>
      <c r="R51" s="53">
        <v>150</v>
      </c>
      <c r="S51" s="53">
        <v>37</v>
      </c>
      <c r="T51" s="53">
        <v>835</v>
      </c>
      <c r="U51" s="53">
        <v>83</v>
      </c>
      <c r="V51" s="53">
        <v>82</v>
      </c>
      <c r="W51" s="53">
        <v>91</v>
      </c>
      <c r="X51" s="41">
        <v>91</v>
      </c>
      <c r="Y51" s="196">
        <f>SUM(U51:X51)</f>
        <v>347</v>
      </c>
      <c r="Z51" s="196">
        <f>+T51+Y51</f>
        <v>1182</v>
      </c>
      <c r="AA51" s="116">
        <v>1</v>
      </c>
      <c r="AB51" s="116">
        <v>1</v>
      </c>
      <c r="AC51" s="322"/>
      <c r="AD51" s="322"/>
      <c r="AE51" s="288"/>
      <c r="AF51" s="288"/>
      <c r="AG51" s="288"/>
      <c r="AH51" s="288"/>
      <c r="AI51" s="47" t="s">
        <v>489</v>
      </c>
      <c r="AJ51" s="47" t="s">
        <v>527</v>
      </c>
      <c r="AK51" s="47" t="s">
        <v>528</v>
      </c>
      <c r="AL51" s="45">
        <v>15</v>
      </c>
      <c r="AM51" s="45">
        <v>14</v>
      </c>
      <c r="AN51" s="45">
        <v>0</v>
      </c>
      <c r="AO51" s="45">
        <v>0</v>
      </c>
      <c r="AP51" s="45">
        <v>5</v>
      </c>
      <c r="AQ51" s="104">
        <f t="shared" si="11"/>
        <v>19</v>
      </c>
      <c r="AR51" s="124">
        <v>1</v>
      </c>
      <c r="AS51" s="69">
        <v>0.17</v>
      </c>
      <c r="AT51" s="46" t="s">
        <v>136</v>
      </c>
      <c r="AU51" s="46" t="s">
        <v>101</v>
      </c>
      <c r="AV51" s="46" t="s">
        <v>137</v>
      </c>
      <c r="AW51" s="46" t="s">
        <v>529</v>
      </c>
      <c r="AX51" s="46" t="s">
        <v>530</v>
      </c>
      <c r="AY51" s="68" t="s">
        <v>495</v>
      </c>
      <c r="AZ51" s="68" t="s">
        <v>496</v>
      </c>
      <c r="BA51" s="46" t="s">
        <v>182</v>
      </c>
      <c r="BB51" s="72">
        <f>350000000+107620000</f>
        <v>457620000</v>
      </c>
      <c r="BC51" s="44" t="s">
        <v>107</v>
      </c>
      <c r="BD51" s="47" t="s">
        <v>498</v>
      </c>
      <c r="BE51" s="47" t="s">
        <v>499</v>
      </c>
      <c r="BF51" s="72">
        <v>434504166</v>
      </c>
      <c r="BG51" s="396"/>
      <c r="BH51" s="371"/>
      <c r="BI51" s="371"/>
      <c r="BJ51" s="371"/>
      <c r="BK51" s="372"/>
      <c r="BL51" s="47" t="s">
        <v>371</v>
      </c>
      <c r="BM51" s="47" t="s">
        <v>531</v>
      </c>
      <c r="BN51" s="44" t="s">
        <v>140</v>
      </c>
      <c r="BO51" s="44">
        <v>0</v>
      </c>
      <c r="BP51" s="59">
        <v>44927</v>
      </c>
      <c r="BQ51" s="47" t="s">
        <v>532</v>
      </c>
      <c r="BR51" s="47" t="s">
        <v>533</v>
      </c>
      <c r="BS51" s="47" t="s">
        <v>533</v>
      </c>
      <c r="BT51" s="47" t="s">
        <v>1027</v>
      </c>
      <c r="BU51" s="60" t="s">
        <v>114</v>
      </c>
      <c r="BV51" s="60" t="s">
        <v>114</v>
      </c>
    </row>
    <row r="52" spans="1:74" ht="409.5" x14ac:dyDescent="0.4">
      <c r="A52" s="243"/>
      <c r="B52" s="246"/>
      <c r="C52" s="246"/>
      <c r="D52" s="246"/>
      <c r="E52" s="246"/>
      <c r="F52" s="246"/>
      <c r="G52" s="246"/>
      <c r="H52" s="246"/>
      <c r="I52" s="246"/>
      <c r="J52" s="246"/>
      <c r="K52" s="62" t="s">
        <v>534</v>
      </c>
      <c r="L52" s="47" t="s">
        <v>87</v>
      </c>
      <c r="M52" s="62" t="s">
        <v>535</v>
      </c>
      <c r="N52" s="62" t="s">
        <v>536</v>
      </c>
      <c r="O52" s="289">
        <v>2</v>
      </c>
      <c r="P52" s="289"/>
      <c r="Q52" s="47" t="s">
        <v>537</v>
      </c>
      <c r="R52" s="53">
        <v>4</v>
      </c>
      <c r="S52" s="53">
        <v>1</v>
      </c>
      <c r="T52" s="53">
        <v>2</v>
      </c>
      <c r="U52" s="53">
        <v>0</v>
      </c>
      <c r="V52" s="53">
        <v>1</v>
      </c>
      <c r="W52" s="53">
        <v>0</v>
      </c>
      <c r="X52" s="41">
        <v>0</v>
      </c>
      <c r="Y52" s="196">
        <f>SUM(U52:X52)</f>
        <v>1</v>
      </c>
      <c r="Z52" s="196">
        <f>+T52+Y52</f>
        <v>3</v>
      </c>
      <c r="AA52" s="116">
        <f>+Y52/S52</f>
        <v>1</v>
      </c>
      <c r="AB52" s="116">
        <f>+Z52/R52</f>
        <v>0.75</v>
      </c>
      <c r="AC52" s="322"/>
      <c r="AD52" s="322"/>
      <c r="AE52" s="288"/>
      <c r="AF52" s="288"/>
      <c r="AG52" s="274"/>
      <c r="AH52" s="274"/>
      <c r="AI52" s="47" t="s">
        <v>538</v>
      </c>
      <c r="AJ52" s="47" t="s">
        <v>539</v>
      </c>
      <c r="AK52" s="47" t="s">
        <v>540</v>
      </c>
      <c r="AL52" s="45">
        <v>1</v>
      </c>
      <c r="AM52" s="45">
        <v>0</v>
      </c>
      <c r="AN52" s="45">
        <v>1</v>
      </c>
      <c r="AO52" s="45">
        <v>0</v>
      </c>
      <c r="AP52" s="45">
        <v>0</v>
      </c>
      <c r="AQ52" s="104">
        <f t="shared" si="11"/>
        <v>1</v>
      </c>
      <c r="AR52" s="124">
        <f t="shared" si="2"/>
        <v>1</v>
      </c>
      <c r="AS52" s="69">
        <v>0.36</v>
      </c>
      <c r="AT52" s="46" t="s">
        <v>136</v>
      </c>
      <c r="AU52" s="46" t="s">
        <v>101</v>
      </c>
      <c r="AV52" s="46" t="s">
        <v>137</v>
      </c>
      <c r="AW52" s="46" t="s">
        <v>541</v>
      </c>
      <c r="AX52" s="46">
        <v>1000</v>
      </c>
      <c r="AY52" s="68" t="s">
        <v>495</v>
      </c>
      <c r="AZ52" s="68" t="s">
        <v>496</v>
      </c>
      <c r="BA52" s="46" t="s">
        <v>182</v>
      </c>
      <c r="BB52" s="72">
        <v>715782890</v>
      </c>
      <c r="BC52" s="44" t="s">
        <v>107</v>
      </c>
      <c r="BD52" s="47" t="s">
        <v>498</v>
      </c>
      <c r="BE52" s="47" t="s">
        <v>499</v>
      </c>
      <c r="BF52" s="205">
        <v>513797158.32999998</v>
      </c>
      <c r="BG52" s="397"/>
      <c r="BH52" s="371"/>
      <c r="BI52" s="371"/>
      <c r="BJ52" s="371"/>
      <c r="BK52" s="372"/>
      <c r="BL52" s="47" t="s">
        <v>371</v>
      </c>
      <c r="BM52" s="47" t="s">
        <v>539</v>
      </c>
      <c r="BN52" s="47" t="s">
        <v>140</v>
      </c>
      <c r="BO52" s="47">
        <v>0</v>
      </c>
      <c r="BP52" s="59">
        <v>44927</v>
      </c>
      <c r="BQ52" s="51" t="s">
        <v>306</v>
      </c>
      <c r="BR52" s="47" t="s">
        <v>542</v>
      </c>
      <c r="BS52" s="47" t="s">
        <v>543</v>
      </c>
      <c r="BT52" s="47"/>
      <c r="BU52" s="60" t="s">
        <v>114</v>
      </c>
      <c r="BV52" s="60" t="s">
        <v>114</v>
      </c>
    </row>
    <row r="53" spans="1:74" ht="159" customHeight="1" x14ac:dyDescent="0.4">
      <c r="A53" s="243"/>
      <c r="B53" s="246"/>
      <c r="C53" s="47"/>
      <c r="D53" s="56"/>
      <c r="E53" s="56"/>
      <c r="F53" s="56"/>
      <c r="G53" s="56"/>
      <c r="H53" s="56"/>
      <c r="I53" s="56"/>
      <c r="J53" s="56"/>
      <c r="K53" s="285"/>
      <c r="L53" s="286"/>
      <c r="M53" s="286"/>
      <c r="N53" s="286"/>
      <c r="O53" s="286"/>
      <c r="P53" s="286"/>
      <c r="Q53" s="287"/>
      <c r="R53" s="229" t="s">
        <v>544</v>
      </c>
      <c r="S53" s="230"/>
      <c r="T53" s="230"/>
      <c r="U53" s="230"/>
      <c r="V53" s="230"/>
      <c r="W53" s="230"/>
      <c r="X53" s="230"/>
      <c r="Y53" s="230"/>
      <c r="Z53" s="231"/>
      <c r="AA53" s="147">
        <f>AVERAGE(AA47:AA52)</f>
        <v>1</v>
      </c>
      <c r="AB53" s="147">
        <f>AVERAGE(AB47:AB52)</f>
        <v>0.5625</v>
      </c>
      <c r="AC53" s="322"/>
      <c r="AD53" s="322"/>
      <c r="AE53" s="288"/>
      <c r="AF53" s="288"/>
      <c r="AG53" s="55"/>
      <c r="AH53" s="284" t="s">
        <v>545</v>
      </c>
      <c r="AI53" s="284"/>
      <c r="AJ53" s="284"/>
      <c r="AK53" s="284"/>
      <c r="AL53" s="284"/>
      <c r="AM53" s="284"/>
      <c r="AN53" s="284"/>
      <c r="AO53" s="284"/>
      <c r="AP53" s="284"/>
      <c r="AQ53" s="284"/>
      <c r="AR53" s="139">
        <f>AVERAGE(AR47:AR52)</f>
        <v>0.66666666666666663</v>
      </c>
      <c r="AS53" s="69"/>
      <c r="AT53" s="46"/>
      <c r="AU53" s="46"/>
      <c r="AV53" s="46"/>
      <c r="AW53" s="46"/>
      <c r="AX53" s="46"/>
      <c r="AY53" s="68"/>
      <c r="AZ53" s="68"/>
      <c r="BA53" s="284" t="s">
        <v>1007</v>
      </c>
      <c r="BB53" s="284"/>
      <c r="BC53" s="284"/>
      <c r="BD53" s="284"/>
      <c r="BE53" s="284"/>
      <c r="BF53" s="284"/>
      <c r="BG53" s="229"/>
      <c r="BH53" s="177">
        <f>+BH47</f>
        <v>1969972292</v>
      </c>
      <c r="BI53" s="177">
        <f t="shared" ref="BI53:BK53" si="12">+BI47</f>
        <v>1473691536.1099999</v>
      </c>
      <c r="BJ53" s="177">
        <f t="shared" si="12"/>
        <v>1162379048.78</v>
      </c>
      <c r="BK53" s="139">
        <f t="shared" si="12"/>
        <v>0.59004842530038992</v>
      </c>
      <c r="BL53" s="47"/>
      <c r="BM53" s="47"/>
      <c r="BN53" s="47"/>
      <c r="BO53" s="47"/>
      <c r="BP53" s="59"/>
      <c r="BQ53" s="51"/>
      <c r="BR53" s="47"/>
      <c r="BS53" s="47"/>
      <c r="BT53" s="47"/>
      <c r="BU53" s="60"/>
      <c r="BV53" s="60"/>
    </row>
    <row r="54" spans="1:74" ht="315" x14ac:dyDescent="0.4">
      <c r="A54" s="243"/>
      <c r="B54" s="246"/>
      <c r="C54" s="243" t="s">
        <v>546</v>
      </c>
      <c r="D54" s="335" t="s">
        <v>547</v>
      </c>
      <c r="E54" s="335" t="s">
        <v>548</v>
      </c>
      <c r="F54" s="335" t="s">
        <v>549</v>
      </c>
      <c r="G54" s="332">
        <v>1</v>
      </c>
      <c r="H54" s="258" t="s">
        <v>84</v>
      </c>
      <c r="I54" s="332">
        <v>1</v>
      </c>
      <c r="J54" s="258" t="s">
        <v>550</v>
      </c>
      <c r="K54" s="335" t="s">
        <v>551</v>
      </c>
      <c r="L54" s="258" t="s">
        <v>87</v>
      </c>
      <c r="M54" s="335" t="s">
        <v>552</v>
      </c>
      <c r="N54" s="335" t="s">
        <v>553</v>
      </c>
      <c r="O54" s="290">
        <v>1</v>
      </c>
      <c r="P54" s="291"/>
      <c r="Q54" s="258" t="s">
        <v>554</v>
      </c>
      <c r="R54" s="280">
        <v>8</v>
      </c>
      <c r="S54" s="280">
        <v>1</v>
      </c>
      <c r="T54" s="280">
        <v>3</v>
      </c>
      <c r="U54" s="280">
        <v>0</v>
      </c>
      <c r="V54" s="280">
        <v>1</v>
      </c>
      <c r="W54" s="280">
        <v>0</v>
      </c>
      <c r="X54" s="280">
        <v>0</v>
      </c>
      <c r="Y54" s="232">
        <f>SUM(U54:X55)</f>
        <v>1</v>
      </c>
      <c r="Z54" s="232">
        <f>+T54+Y54</f>
        <v>4</v>
      </c>
      <c r="AA54" s="276">
        <f>+Y54/S54</f>
        <v>1</v>
      </c>
      <c r="AB54" s="276">
        <f>+(T54+Y54)/R54</f>
        <v>0.5</v>
      </c>
      <c r="AC54" s="322"/>
      <c r="AD54" s="322"/>
      <c r="AE54" s="288"/>
      <c r="AF54" s="288"/>
      <c r="AG54" s="273" t="s">
        <v>555</v>
      </c>
      <c r="AH54" s="273" t="s">
        <v>556</v>
      </c>
      <c r="AI54" s="246" t="s">
        <v>557</v>
      </c>
      <c r="AJ54" s="82" t="s">
        <v>558</v>
      </c>
      <c r="AK54" s="47" t="s">
        <v>559</v>
      </c>
      <c r="AL54" s="45">
        <v>1</v>
      </c>
      <c r="AM54" s="45">
        <v>0</v>
      </c>
      <c r="AN54" s="45">
        <v>1</v>
      </c>
      <c r="AO54" s="45">
        <v>0</v>
      </c>
      <c r="AP54" s="45">
        <v>0</v>
      </c>
      <c r="AQ54" s="104">
        <f t="shared" ref="AQ54:AQ59" si="13">SUM(AM54:AP54)</f>
        <v>1</v>
      </c>
      <c r="AR54" s="124">
        <f t="shared" si="2"/>
        <v>1</v>
      </c>
      <c r="AS54" s="69">
        <v>0.3125</v>
      </c>
      <c r="AT54" s="46" t="s">
        <v>136</v>
      </c>
      <c r="AU54" s="46" t="s">
        <v>101</v>
      </c>
      <c r="AV54" s="46" t="s">
        <v>137</v>
      </c>
      <c r="AW54" s="46" t="s">
        <v>560</v>
      </c>
      <c r="AX54" s="46" t="s">
        <v>561</v>
      </c>
      <c r="AY54" s="68" t="s">
        <v>10</v>
      </c>
      <c r="AZ54" s="68" t="s">
        <v>181</v>
      </c>
      <c r="BA54" s="46" t="s">
        <v>182</v>
      </c>
      <c r="BB54" s="189">
        <f>300000000+40000000</f>
        <v>340000000</v>
      </c>
      <c r="BC54" s="44" t="s">
        <v>107</v>
      </c>
      <c r="BD54" s="47" t="s">
        <v>562</v>
      </c>
      <c r="BE54" s="47" t="s">
        <v>563</v>
      </c>
      <c r="BF54" s="205">
        <v>340000000</v>
      </c>
      <c r="BG54" s="395">
        <v>817642590.79999995</v>
      </c>
      <c r="BH54" s="371">
        <v>960000000</v>
      </c>
      <c r="BI54" s="371">
        <v>873160800</v>
      </c>
      <c r="BJ54" s="371">
        <v>824942590.79999995</v>
      </c>
      <c r="BK54" s="372">
        <f>+BJ54/BH54</f>
        <v>0.85931519874999995</v>
      </c>
      <c r="BL54" s="47" t="s">
        <v>371</v>
      </c>
      <c r="BM54" s="47" t="s">
        <v>564</v>
      </c>
      <c r="BN54" s="47" t="s">
        <v>338</v>
      </c>
      <c r="BO54" s="47">
        <v>0</v>
      </c>
      <c r="BP54" s="59">
        <v>44927</v>
      </c>
      <c r="BQ54" s="47" t="s">
        <v>565</v>
      </c>
      <c r="BR54" s="77" t="s">
        <v>566</v>
      </c>
      <c r="BS54" s="47" t="s">
        <v>567</v>
      </c>
      <c r="BT54" s="47"/>
      <c r="BU54" s="60" t="s">
        <v>114</v>
      </c>
      <c r="BV54" s="60" t="s">
        <v>114</v>
      </c>
    </row>
    <row r="55" spans="1:74" ht="315" x14ac:dyDescent="0.4">
      <c r="A55" s="243"/>
      <c r="B55" s="246"/>
      <c r="C55" s="243"/>
      <c r="D55" s="336"/>
      <c r="E55" s="336"/>
      <c r="F55" s="336"/>
      <c r="G55" s="334"/>
      <c r="H55" s="259"/>
      <c r="I55" s="334"/>
      <c r="J55" s="275"/>
      <c r="K55" s="336"/>
      <c r="L55" s="259"/>
      <c r="M55" s="336"/>
      <c r="N55" s="336"/>
      <c r="O55" s="294"/>
      <c r="P55" s="295"/>
      <c r="Q55" s="259"/>
      <c r="R55" s="283"/>
      <c r="S55" s="283"/>
      <c r="T55" s="283"/>
      <c r="U55" s="283"/>
      <c r="V55" s="283"/>
      <c r="W55" s="283"/>
      <c r="X55" s="283"/>
      <c r="Y55" s="233"/>
      <c r="Z55" s="233"/>
      <c r="AA55" s="277"/>
      <c r="AB55" s="277"/>
      <c r="AC55" s="322"/>
      <c r="AD55" s="322"/>
      <c r="AE55" s="288"/>
      <c r="AF55" s="288"/>
      <c r="AG55" s="288"/>
      <c r="AH55" s="288"/>
      <c r="AI55" s="246"/>
      <c r="AJ55" s="47" t="s">
        <v>568</v>
      </c>
      <c r="AK55" s="47" t="s">
        <v>569</v>
      </c>
      <c r="AL55" s="45">
        <v>1</v>
      </c>
      <c r="AM55" s="45">
        <v>1</v>
      </c>
      <c r="AN55" s="45">
        <v>2</v>
      </c>
      <c r="AO55" s="45">
        <v>1</v>
      </c>
      <c r="AP55" s="45">
        <v>2</v>
      </c>
      <c r="AQ55" s="104">
        <f t="shared" si="13"/>
        <v>6</v>
      </c>
      <c r="AR55" s="124">
        <v>1</v>
      </c>
      <c r="AS55" s="69">
        <v>0.11</v>
      </c>
      <c r="AT55" s="46" t="s">
        <v>136</v>
      </c>
      <c r="AU55" s="46" t="s">
        <v>101</v>
      </c>
      <c r="AV55" s="46" t="s">
        <v>137</v>
      </c>
      <c r="AW55" s="46" t="s">
        <v>560</v>
      </c>
      <c r="AX55" s="46" t="s">
        <v>570</v>
      </c>
      <c r="AY55" s="68" t="s">
        <v>10</v>
      </c>
      <c r="AZ55" s="68" t="s">
        <v>181</v>
      </c>
      <c r="BA55" s="46" t="s">
        <v>182</v>
      </c>
      <c r="BB55" s="189">
        <v>99870000</v>
      </c>
      <c r="BC55" s="44" t="s">
        <v>107</v>
      </c>
      <c r="BD55" s="47" t="s">
        <v>562</v>
      </c>
      <c r="BE55" s="47" t="s">
        <v>563</v>
      </c>
      <c r="BF55" s="205">
        <v>88600800</v>
      </c>
      <c r="BG55" s="396"/>
      <c r="BH55" s="371"/>
      <c r="BI55" s="371"/>
      <c r="BJ55" s="371"/>
      <c r="BK55" s="372"/>
      <c r="BL55" s="47" t="s">
        <v>371</v>
      </c>
      <c r="BM55" s="47" t="s">
        <v>254</v>
      </c>
      <c r="BN55" s="44" t="s">
        <v>91</v>
      </c>
      <c r="BO55" s="44" t="s">
        <v>91</v>
      </c>
      <c r="BP55" s="67" t="s">
        <v>91</v>
      </c>
      <c r="BQ55" s="47" t="s">
        <v>571</v>
      </c>
      <c r="BR55" s="47" t="s">
        <v>572</v>
      </c>
      <c r="BS55" s="47" t="s">
        <v>573</v>
      </c>
      <c r="BT55" s="47" t="s">
        <v>1028</v>
      </c>
      <c r="BU55" s="60" t="s">
        <v>114</v>
      </c>
      <c r="BV55" s="60" t="s">
        <v>114</v>
      </c>
    </row>
    <row r="56" spans="1:74" ht="315" x14ac:dyDescent="0.4">
      <c r="A56" s="243"/>
      <c r="B56" s="246"/>
      <c r="C56" s="243"/>
      <c r="D56" s="62" t="s">
        <v>574</v>
      </c>
      <c r="E56" s="62" t="s">
        <v>575</v>
      </c>
      <c r="F56" s="62" t="s">
        <v>576</v>
      </c>
      <c r="G56" s="71">
        <v>1</v>
      </c>
      <c r="H56" s="47" t="s">
        <v>84</v>
      </c>
      <c r="I56" s="71">
        <v>1</v>
      </c>
      <c r="J56" s="275"/>
      <c r="K56" s="62" t="s">
        <v>577</v>
      </c>
      <c r="L56" s="47" t="s">
        <v>87</v>
      </c>
      <c r="M56" s="62" t="s">
        <v>578</v>
      </c>
      <c r="N56" s="62" t="s">
        <v>579</v>
      </c>
      <c r="O56" s="289">
        <v>2</v>
      </c>
      <c r="P56" s="289"/>
      <c r="Q56" s="47" t="s">
        <v>580</v>
      </c>
      <c r="R56" s="53">
        <v>8</v>
      </c>
      <c r="S56" s="53">
        <v>2</v>
      </c>
      <c r="T56" s="53">
        <v>6</v>
      </c>
      <c r="U56" s="53">
        <v>0</v>
      </c>
      <c r="V56" s="53">
        <v>0</v>
      </c>
      <c r="W56" s="53">
        <v>0</v>
      </c>
      <c r="X56" s="41">
        <v>2</v>
      </c>
      <c r="Y56" s="196">
        <f>SUM(U56:X56)</f>
        <v>2</v>
      </c>
      <c r="Z56" s="196">
        <f>+T56+Y56</f>
        <v>8</v>
      </c>
      <c r="AA56" s="116">
        <f>+Y56/S56</f>
        <v>1</v>
      </c>
      <c r="AB56" s="116">
        <f>+(T56+Y56)/R56</f>
        <v>1</v>
      </c>
      <c r="AC56" s="322"/>
      <c r="AD56" s="322"/>
      <c r="AE56" s="288"/>
      <c r="AF56" s="288"/>
      <c r="AG56" s="288"/>
      <c r="AH56" s="288"/>
      <c r="AI56" s="258" t="s">
        <v>581</v>
      </c>
      <c r="AJ56" s="47" t="s">
        <v>582</v>
      </c>
      <c r="AK56" s="47" t="s">
        <v>438</v>
      </c>
      <c r="AL56" s="45">
        <v>2</v>
      </c>
      <c r="AM56" s="45">
        <v>0</v>
      </c>
      <c r="AN56" s="45">
        <v>0</v>
      </c>
      <c r="AO56" s="45">
        <v>0</v>
      </c>
      <c r="AP56" s="45">
        <v>2</v>
      </c>
      <c r="AQ56" s="104">
        <f t="shared" si="13"/>
        <v>2</v>
      </c>
      <c r="AR56" s="124">
        <f t="shared" si="2"/>
        <v>1</v>
      </c>
      <c r="AS56" s="69">
        <v>0.14000000000000001</v>
      </c>
      <c r="AT56" s="46" t="s">
        <v>136</v>
      </c>
      <c r="AU56" s="46" t="s">
        <v>101</v>
      </c>
      <c r="AV56" s="46" t="s">
        <v>137</v>
      </c>
      <c r="AW56" s="46">
        <v>100</v>
      </c>
      <c r="AX56" s="46">
        <v>0</v>
      </c>
      <c r="AY56" s="68" t="s">
        <v>10</v>
      </c>
      <c r="AZ56" s="68" t="s">
        <v>181</v>
      </c>
      <c r="BA56" s="46" t="s">
        <v>182</v>
      </c>
      <c r="BB56" s="72">
        <v>96302500</v>
      </c>
      <c r="BC56" s="44" t="s">
        <v>107</v>
      </c>
      <c r="BD56" s="47" t="s">
        <v>562</v>
      </c>
      <c r="BE56" s="47" t="s">
        <v>563</v>
      </c>
      <c r="BF56" s="205">
        <v>85900000</v>
      </c>
      <c r="BG56" s="396"/>
      <c r="BH56" s="371"/>
      <c r="BI56" s="371"/>
      <c r="BJ56" s="371"/>
      <c r="BK56" s="372"/>
      <c r="BL56" s="47" t="s">
        <v>371</v>
      </c>
      <c r="BM56" s="47" t="s">
        <v>583</v>
      </c>
      <c r="BN56" s="47" t="s">
        <v>230</v>
      </c>
      <c r="BO56" s="47">
        <v>0</v>
      </c>
      <c r="BP56" s="59">
        <v>44927</v>
      </c>
      <c r="BQ56" s="51" t="s">
        <v>306</v>
      </c>
      <c r="BR56" s="51"/>
      <c r="BS56" s="47" t="s">
        <v>584</v>
      </c>
      <c r="BT56" s="47" t="s">
        <v>1029</v>
      </c>
      <c r="BU56" s="60" t="s">
        <v>114</v>
      </c>
      <c r="BV56" s="60" t="s">
        <v>114</v>
      </c>
    </row>
    <row r="57" spans="1:74" ht="409.5" x14ac:dyDescent="0.4">
      <c r="A57" s="243"/>
      <c r="B57" s="246"/>
      <c r="C57" s="243"/>
      <c r="D57" s="47" t="s">
        <v>585</v>
      </c>
      <c r="E57" s="47" t="s">
        <v>586</v>
      </c>
      <c r="F57" s="47" t="s">
        <v>587</v>
      </c>
      <c r="G57" s="71">
        <v>1</v>
      </c>
      <c r="H57" s="47" t="s">
        <v>84</v>
      </c>
      <c r="I57" s="71">
        <v>1</v>
      </c>
      <c r="J57" s="275"/>
      <c r="K57" s="62" t="s">
        <v>588</v>
      </c>
      <c r="L57" s="47" t="s">
        <v>87</v>
      </c>
      <c r="M57" s="62" t="s">
        <v>589</v>
      </c>
      <c r="N57" s="62" t="s">
        <v>590</v>
      </c>
      <c r="O57" s="289">
        <v>2</v>
      </c>
      <c r="P57" s="289"/>
      <c r="Q57" s="47" t="s">
        <v>591</v>
      </c>
      <c r="R57" s="53">
        <v>24</v>
      </c>
      <c r="S57" s="53">
        <v>24</v>
      </c>
      <c r="T57" s="53">
        <v>24</v>
      </c>
      <c r="U57" s="53">
        <v>0</v>
      </c>
      <c r="V57" s="53">
        <v>24</v>
      </c>
      <c r="W57" s="53">
        <v>0</v>
      </c>
      <c r="X57" s="41">
        <v>0</v>
      </c>
      <c r="Y57" s="196">
        <f>SUM(U57:X57)</f>
        <v>24</v>
      </c>
      <c r="Z57" s="196">
        <f>+Y57</f>
        <v>24</v>
      </c>
      <c r="AA57" s="116">
        <f>+Y57/S57</f>
        <v>1</v>
      </c>
      <c r="AB57" s="116">
        <f>+Y57/R57</f>
        <v>1</v>
      </c>
      <c r="AC57" s="322"/>
      <c r="AD57" s="322"/>
      <c r="AE57" s="288"/>
      <c r="AF57" s="288"/>
      <c r="AG57" s="288"/>
      <c r="AH57" s="288"/>
      <c r="AI57" s="275"/>
      <c r="AJ57" s="47" t="s">
        <v>592</v>
      </c>
      <c r="AK57" s="47" t="s">
        <v>593</v>
      </c>
      <c r="AL57" s="45">
        <v>2</v>
      </c>
      <c r="AM57" s="45">
        <v>0</v>
      </c>
      <c r="AN57" s="45">
        <v>1</v>
      </c>
      <c r="AO57" s="45">
        <v>0</v>
      </c>
      <c r="AP57" s="45">
        <v>0</v>
      </c>
      <c r="AQ57" s="104">
        <f t="shared" si="13"/>
        <v>1</v>
      </c>
      <c r="AR57" s="124">
        <f t="shared" si="2"/>
        <v>0.5</v>
      </c>
      <c r="AS57" s="69">
        <v>0.2185</v>
      </c>
      <c r="AT57" s="46" t="s">
        <v>136</v>
      </c>
      <c r="AU57" s="46" t="s">
        <v>101</v>
      </c>
      <c r="AV57" s="46" t="s">
        <v>137</v>
      </c>
      <c r="AW57" s="46">
        <v>24</v>
      </c>
      <c r="AX57" s="46">
        <v>24</v>
      </c>
      <c r="AY57" s="68" t="s">
        <v>10</v>
      </c>
      <c r="AZ57" s="68" t="s">
        <v>181</v>
      </c>
      <c r="BA57" s="46" t="s">
        <v>182</v>
      </c>
      <c r="BB57" s="72">
        <v>141747500</v>
      </c>
      <c r="BC57" s="44" t="s">
        <v>107</v>
      </c>
      <c r="BD57" s="47" t="s">
        <v>562</v>
      </c>
      <c r="BE57" s="47" t="s">
        <v>563</v>
      </c>
      <c r="BF57" s="205">
        <v>87560000</v>
      </c>
      <c r="BG57" s="396"/>
      <c r="BH57" s="371"/>
      <c r="BI57" s="371"/>
      <c r="BJ57" s="371"/>
      <c r="BK57" s="372"/>
      <c r="BL57" s="47" t="s">
        <v>371</v>
      </c>
      <c r="BM57" s="38" t="s">
        <v>592</v>
      </c>
      <c r="BN57" s="38" t="s">
        <v>338</v>
      </c>
      <c r="BO57" s="38">
        <v>0</v>
      </c>
      <c r="BP57" s="59">
        <v>44927</v>
      </c>
      <c r="BQ57" s="51" t="s">
        <v>306</v>
      </c>
      <c r="BR57" s="77" t="s">
        <v>594</v>
      </c>
      <c r="BS57" s="77"/>
      <c r="BT57" s="202"/>
      <c r="BU57" s="60" t="s">
        <v>114</v>
      </c>
      <c r="BV57" s="60" t="s">
        <v>114</v>
      </c>
    </row>
    <row r="58" spans="1:74" ht="409.5" x14ac:dyDescent="0.4">
      <c r="A58" s="243"/>
      <c r="B58" s="246"/>
      <c r="C58" s="243"/>
      <c r="D58" s="246" t="s">
        <v>595</v>
      </c>
      <c r="E58" s="246" t="s">
        <v>596</v>
      </c>
      <c r="F58" s="246" t="s">
        <v>597</v>
      </c>
      <c r="G58" s="324">
        <v>0.12</v>
      </c>
      <c r="H58" s="246" t="s">
        <v>84</v>
      </c>
      <c r="I58" s="324">
        <v>0.12</v>
      </c>
      <c r="J58" s="275"/>
      <c r="K58" s="62" t="s">
        <v>598</v>
      </c>
      <c r="L58" s="47" t="s">
        <v>87</v>
      </c>
      <c r="M58" s="62" t="s">
        <v>599</v>
      </c>
      <c r="N58" s="62" t="s">
        <v>600</v>
      </c>
      <c r="O58" s="289">
        <v>2</v>
      </c>
      <c r="P58" s="289"/>
      <c r="Q58" s="47" t="s">
        <v>601</v>
      </c>
      <c r="R58" s="53">
        <v>1</v>
      </c>
      <c r="S58" s="68" t="s">
        <v>315</v>
      </c>
      <c r="T58" s="47" t="s">
        <v>602</v>
      </c>
      <c r="U58" s="68" t="s">
        <v>315</v>
      </c>
      <c r="V58" s="68" t="s">
        <v>315</v>
      </c>
      <c r="W58" s="68" t="s">
        <v>315</v>
      </c>
      <c r="X58" s="68" t="s">
        <v>315</v>
      </c>
      <c r="Y58" s="196" t="s">
        <v>125</v>
      </c>
      <c r="Z58" s="196">
        <v>1</v>
      </c>
      <c r="AA58" s="116" t="s">
        <v>125</v>
      </c>
      <c r="AB58" s="116">
        <v>1</v>
      </c>
      <c r="AC58" s="322"/>
      <c r="AD58" s="322"/>
      <c r="AE58" s="288"/>
      <c r="AF58" s="288"/>
      <c r="AG58" s="288"/>
      <c r="AH58" s="288"/>
      <c r="AI58" s="47" t="s">
        <v>557</v>
      </c>
      <c r="AJ58" s="47" t="s">
        <v>603</v>
      </c>
      <c r="AK58" s="47" t="s">
        <v>569</v>
      </c>
      <c r="AL58" s="45">
        <v>1</v>
      </c>
      <c r="AM58" s="47">
        <v>0</v>
      </c>
      <c r="AN58" s="47">
        <v>0</v>
      </c>
      <c r="AO58" s="47">
        <v>1</v>
      </c>
      <c r="AP58" s="47">
        <v>0</v>
      </c>
      <c r="AQ58" s="104">
        <f t="shared" si="13"/>
        <v>1</v>
      </c>
      <c r="AR58" s="125">
        <f t="shared" si="2"/>
        <v>1</v>
      </c>
      <c r="AS58" s="69">
        <v>3.7499999999999999E-2</v>
      </c>
      <c r="AT58" s="46" t="s">
        <v>136</v>
      </c>
      <c r="AU58" s="46" t="s">
        <v>101</v>
      </c>
      <c r="AV58" s="46" t="s">
        <v>137</v>
      </c>
      <c r="AW58" s="46" t="s">
        <v>560</v>
      </c>
      <c r="AX58" s="46" t="s">
        <v>604</v>
      </c>
      <c r="AY58" s="68" t="s">
        <v>10</v>
      </c>
      <c r="AZ58" s="68" t="s">
        <v>181</v>
      </c>
      <c r="BA58" s="46" t="s">
        <v>182</v>
      </c>
      <c r="BB58" s="189">
        <v>64400000</v>
      </c>
      <c r="BC58" s="44" t="s">
        <v>107</v>
      </c>
      <c r="BD58" s="47" t="s">
        <v>562</v>
      </c>
      <c r="BE58" s="47" t="s">
        <v>563</v>
      </c>
      <c r="BF58" s="205">
        <v>64400000</v>
      </c>
      <c r="BG58" s="396"/>
      <c r="BH58" s="371"/>
      <c r="BI58" s="371"/>
      <c r="BJ58" s="371"/>
      <c r="BK58" s="372"/>
      <c r="BL58" s="47" t="s">
        <v>371</v>
      </c>
      <c r="BM58" s="47" t="s">
        <v>254</v>
      </c>
      <c r="BN58" s="44" t="s">
        <v>91</v>
      </c>
      <c r="BO58" s="44" t="s">
        <v>91</v>
      </c>
      <c r="BP58" s="67" t="s">
        <v>91</v>
      </c>
      <c r="BQ58" s="51" t="s">
        <v>306</v>
      </c>
      <c r="BR58" s="51"/>
      <c r="BS58" s="47" t="s">
        <v>605</v>
      </c>
      <c r="BT58" s="47"/>
      <c r="BU58" s="60" t="s">
        <v>114</v>
      </c>
      <c r="BV58" s="60" t="s">
        <v>114</v>
      </c>
    </row>
    <row r="59" spans="1:74" ht="409.5" x14ac:dyDescent="0.4">
      <c r="A59" s="243"/>
      <c r="B59" s="246"/>
      <c r="C59" s="243"/>
      <c r="D59" s="246"/>
      <c r="E59" s="246"/>
      <c r="F59" s="246"/>
      <c r="G59" s="246"/>
      <c r="H59" s="246"/>
      <c r="I59" s="246"/>
      <c r="J59" s="259"/>
      <c r="K59" s="62" t="s">
        <v>606</v>
      </c>
      <c r="L59" s="47" t="s">
        <v>87</v>
      </c>
      <c r="M59" s="62" t="s">
        <v>607</v>
      </c>
      <c r="N59" s="62" t="s">
        <v>608</v>
      </c>
      <c r="O59" s="289">
        <v>2</v>
      </c>
      <c r="P59" s="289"/>
      <c r="Q59" s="47" t="s">
        <v>609</v>
      </c>
      <c r="R59" s="53">
        <v>3665</v>
      </c>
      <c r="S59" s="53">
        <v>1182</v>
      </c>
      <c r="T59" s="53">
        <v>580</v>
      </c>
      <c r="U59" s="53">
        <v>21</v>
      </c>
      <c r="V59" s="53">
        <v>55</v>
      </c>
      <c r="W59" s="53">
        <v>50</v>
      </c>
      <c r="X59" s="41">
        <v>0</v>
      </c>
      <c r="Y59" s="196">
        <f>SUM(U59:X59)</f>
        <v>126</v>
      </c>
      <c r="Z59" s="196">
        <f>+T59+Y59</f>
        <v>706</v>
      </c>
      <c r="AA59" s="116">
        <f>+Y59/S59</f>
        <v>0.1065989847715736</v>
      </c>
      <c r="AB59" s="116">
        <f>+(T59+Y59)/R59</f>
        <v>0.19263301500682128</v>
      </c>
      <c r="AC59" s="322"/>
      <c r="AD59" s="322"/>
      <c r="AE59" s="288"/>
      <c r="AF59" s="288"/>
      <c r="AG59" s="274"/>
      <c r="AH59" s="274"/>
      <c r="AI59" s="47" t="s">
        <v>610</v>
      </c>
      <c r="AJ59" s="47" t="s">
        <v>611</v>
      </c>
      <c r="AK59" s="47" t="s">
        <v>135</v>
      </c>
      <c r="AL59" s="45">
        <v>5</v>
      </c>
      <c r="AM59" s="45">
        <v>6</v>
      </c>
      <c r="AN59" s="45">
        <v>1</v>
      </c>
      <c r="AO59" s="45">
        <v>50</v>
      </c>
      <c r="AP59" s="45">
        <v>5</v>
      </c>
      <c r="AQ59" s="104">
        <f t="shared" si="13"/>
        <v>62</v>
      </c>
      <c r="AR59" s="124">
        <v>1</v>
      </c>
      <c r="AS59" s="69">
        <v>0.18559999999999999</v>
      </c>
      <c r="AT59" s="46" t="s">
        <v>136</v>
      </c>
      <c r="AU59" s="46" t="s">
        <v>101</v>
      </c>
      <c r="AV59" s="46" t="s">
        <v>137</v>
      </c>
      <c r="AW59" s="46" t="s">
        <v>612</v>
      </c>
      <c r="AX59" s="46" t="s">
        <v>613</v>
      </c>
      <c r="AY59" s="68" t="s">
        <v>10</v>
      </c>
      <c r="AZ59" s="68" t="s">
        <v>181</v>
      </c>
      <c r="BA59" s="46" t="s">
        <v>182</v>
      </c>
      <c r="BB59" s="189">
        <f>178200000+39480000</f>
        <v>217680000</v>
      </c>
      <c r="BC59" s="44" t="s">
        <v>107</v>
      </c>
      <c r="BD59" s="47" t="s">
        <v>562</v>
      </c>
      <c r="BE59" s="47" t="s">
        <v>563</v>
      </c>
      <c r="BF59" s="72">
        <v>206700000</v>
      </c>
      <c r="BG59" s="397"/>
      <c r="BH59" s="371"/>
      <c r="BI59" s="371"/>
      <c r="BJ59" s="371"/>
      <c r="BK59" s="372"/>
      <c r="BL59" s="47" t="s">
        <v>371</v>
      </c>
      <c r="BM59" s="47" t="s">
        <v>614</v>
      </c>
      <c r="BN59" s="44" t="s">
        <v>140</v>
      </c>
      <c r="BO59" s="44">
        <v>0</v>
      </c>
      <c r="BP59" s="59">
        <v>44927</v>
      </c>
      <c r="BQ59" s="47" t="s">
        <v>615</v>
      </c>
      <c r="BR59" s="47" t="s">
        <v>616</v>
      </c>
      <c r="BS59" s="47"/>
      <c r="BT59" s="47" t="s">
        <v>1030</v>
      </c>
      <c r="BU59" s="60" t="s">
        <v>114</v>
      </c>
      <c r="BV59" s="60" t="s">
        <v>114</v>
      </c>
    </row>
    <row r="60" spans="1:74" ht="114" customHeight="1" x14ac:dyDescent="0.4">
      <c r="A60" s="243"/>
      <c r="B60" s="246"/>
      <c r="C60" s="243"/>
      <c r="D60" s="47"/>
      <c r="E60" s="47"/>
      <c r="F60" s="47"/>
      <c r="G60" s="47"/>
      <c r="H60" s="47"/>
      <c r="I60" s="47"/>
      <c r="J60" s="38"/>
      <c r="K60" s="285"/>
      <c r="L60" s="286"/>
      <c r="M60" s="286"/>
      <c r="N60" s="286"/>
      <c r="O60" s="286"/>
      <c r="P60" s="286"/>
      <c r="Q60" s="287"/>
      <c r="R60" s="229" t="s">
        <v>617</v>
      </c>
      <c r="S60" s="230"/>
      <c r="T60" s="230"/>
      <c r="U60" s="230"/>
      <c r="V60" s="230"/>
      <c r="W60" s="230"/>
      <c r="X60" s="230"/>
      <c r="Y60" s="230"/>
      <c r="Z60" s="231"/>
      <c r="AA60" s="142">
        <f>AVERAGE(AA54:AA59)</f>
        <v>0.7766497461928934</v>
      </c>
      <c r="AB60" s="142">
        <f>AVERAGE(AB54:AB59)</f>
        <v>0.7385266030013643</v>
      </c>
      <c r="AC60" s="322"/>
      <c r="AD60" s="322"/>
      <c r="AE60" s="288"/>
      <c r="AF60" s="288"/>
      <c r="AG60" s="55"/>
      <c r="AH60" s="284" t="s">
        <v>618</v>
      </c>
      <c r="AI60" s="284"/>
      <c r="AJ60" s="284"/>
      <c r="AK60" s="284"/>
      <c r="AL60" s="284"/>
      <c r="AM60" s="284"/>
      <c r="AN60" s="284"/>
      <c r="AO60" s="284"/>
      <c r="AP60" s="284"/>
      <c r="AQ60" s="284"/>
      <c r="AR60" s="139">
        <f>AVERAGE(AR54:AR59)</f>
        <v>0.91666666666666663</v>
      </c>
      <c r="AS60" s="69"/>
      <c r="AT60" s="46"/>
      <c r="AU60" s="46"/>
      <c r="AV60" s="46"/>
      <c r="AW60" s="46"/>
      <c r="AX60" s="46"/>
      <c r="AY60" s="68"/>
      <c r="AZ60" s="68"/>
      <c r="BA60" s="284" t="s">
        <v>1008</v>
      </c>
      <c r="BB60" s="284"/>
      <c r="BC60" s="284"/>
      <c r="BD60" s="284"/>
      <c r="BE60" s="284"/>
      <c r="BF60" s="284"/>
      <c r="BG60" s="229"/>
      <c r="BH60" s="180">
        <f>+BH54</f>
        <v>960000000</v>
      </c>
      <c r="BI60" s="180">
        <f t="shared" ref="BI60:BK60" si="14">+BI54</f>
        <v>873160800</v>
      </c>
      <c r="BJ60" s="180">
        <f t="shared" si="14"/>
        <v>824942590.79999995</v>
      </c>
      <c r="BK60" s="144">
        <f t="shared" si="14"/>
        <v>0.85931519874999995</v>
      </c>
      <c r="BL60" s="47"/>
      <c r="BM60" s="47"/>
      <c r="BN60" s="44"/>
      <c r="BO60" s="44"/>
      <c r="BP60" s="59"/>
      <c r="BQ60" s="47"/>
      <c r="BR60" s="47"/>
      <c r="BS60" s="47"/>
      <c r="BT60" s="47"/>
      <c r="BU60" s="60"/>
      <c r="BV60" s="60"/>
    </row>
    <row r="61" spans="1:74" ht="409.5" x14ac:dyDescent="0.4">
      <c r="A61" s="243"/>
      <c r="B61" s="246"/>
      <c r="C61" s="243"/>
      <c r="D61" s="246" t="s">
        <v>619</v>
      </c>
      <c r="E61" s="246" t="s">
        <v>619</v>
      </c>
      <c r="F61" s="246" t="s">
        <v>619</v>
      </c>
      <c r="G61" s="246" t="s">
        <v>91</v>
      </c>
      <c r="H61" s="246" t="s">
        <v>91</v>
      </c>
      <c r="I61" s="246" t="s">
        <v>91</v>
      </c>
      <c r="J61" s="258" t="s">
        <v>620</v>
      </c>
      <c r="K61" s="62" t="s">
        <v>621</v>
      </c>
      <c r="L61" s="47" t="s">
        <v>87</v>
      </c>
      <c r="M61" s="62" t="s">
        <v>169</v>
      </c>
      <c r="N61" s="62" t="s">
        <v>622</v>
      </c>
      <c r="O61" s="289">
        <v>2</v>
      </c>
      <c r="P61" s="289"/>
      <c r="Q61" s="47" t="s">
        <v>623</v>
      </c>
      <c r="R61" s="53">
        <v>12</v>
      </c>
      <c r="S61" s="53">
        <v>4</v>
      </c>
      <c r="T61" s="53">
        <v>8</v>
      </c>
      <c r="U61" s="53">
        <v>1</v>
      </c>
      <c r="V61" s="53">
        <v>0</v>
      </c>
      <c r="W61" s="53">
        <v>3</v>
      </c>
      <c r="X61" s="41">
        <v>0</v>
      </c>
      <c r="Y61" s="196">
        <f>SUM(U61:X61)</f>
        <v>4</v>
      </c>
      <c r="Z61" s="196">
        <f>+T61+Y61</f>
        <v>12</v>
      </c>
      <c r="AA61" s="116">
        <f>+Y61/S61</f>
        <v>1</v>
      </c>
      <c r="AB61" s="116">
        <f>+(T61+Y61)/R61</f>
        <v>1</v>
      </c>
      <c r="AC61" s="322"/>
      <c r="AD61" s="322"/>
      <c r="AE61" s="288"/>
      <c r="AF61" s="288"/>
      <c r="AG61" s="273" t="s">
        <v>624</v>
      </c>
      <c r="AH61" s="273" t="s">
        <v>625</v>
      </c>
      <c r="AI61" s="273" t="s">
        <v>626</v>
      </c>
      <c r="AJ61" s="47" t="s">
        <v>627</v>
      </c>
      <c r="AK61" s="47" t="s">
        <v>438</v>
      </c>
      <c r="AL61" s="47">
        <v>4</v>
      </c>
      <c r="AM61" s="47">
        <v>1</v>
      </c>
      <c r="AN61" s="47">
        <v>0</v>
      </c>
      <c r="AO61" s="47">
        <v>3</v>
      </c>
      <c r="AP61" s="47">
        <v>0</v>
      </c>
      <c r="AQ61" s="104">
        <f>SUM(AM61:AP61)</f>
        <v>4</v>
      </c>
      <c r="AR61" s="125">
        <f t="shared" si="2"/>
        <v>1</v>
      </c>
      <c r="AS61" s="71">
        <v>0.44</v>
      </c>
      <c r="AT61" s="46" t="s">
        <v>136</v>
      </c>
      <c r="AU61" s="46" t="s">
        <v>101</v>
      </c>
      <c r="AV61" s="46" t="s">
        <v>137</v>
      </c>
      <c r="AW61" s="47">
        <v>200</v>
      </c>
      <c r="AX61" s="47" t="s">
        <v>628</v>
      </c>
      <c r="AY61" s="68" t="s">
        <v>10</v>
      </c>
      <c r="AZ61" s="68" t="s">
        <v>181</v>
      </c>
      <c r="BA61" s="46" t="s">
        <v>388</v>
      </c>
      <c r="BB61" s="81">
        <v>90984666.670000002</v>
      </c>
      <c r="BC61" s="44" t="s">
        <v>107</v>
      </c>
      <c r="BD61" s="47" t="s">
        <v>629</v>
      </c>
      <c r="BE61" s="47" t="s">
        <v>630</v>
      </c>
      <c r="BF61" s="205">
        <v>0</v>
      </c>
      <c r="BG61" s="213">
        <v>102600000</v>
      </c>
      <c r="BH61" s="371">
        <v>206184666.66999999</v>
      </c>
      <c r="BI61" s="371">
        <v>114800000</v>
      </c>
      <c r="BJ61" s="371">
        <v>109400000</v>
      </c>
      <c r="BK61" s="372">
        <f>+BJ61/BH61</f>
        <v>0.53059231691120601</v>
      </c>
      <c r="BL61" s="47" t="s">
        <v>371</v>
      </c>
      <c r="BM61" s="47" t="s">
        <v>631</v>
      </c>
      <c r="BN61" s="47" t="s">
        <v>230</v>
      </c>
      <c r="BO61" s="47">
        <v>0</v>
      </c>
      <c r="BP61" s="59">
        <v>44927</v>
      </c>
      <c r="BQ61" s="47" t="s">
        <v>408</v>
      </c>
      <c r="BR61" s="47"/>
      <c r="BS61" s="47" t="s">
        <v>408</v>
      </c>
      <c r="BT61" s="47"/>
      <c r="BU61" s="60" t="s">
        <v>114</v>
      </c>
      <c r="BV61" s="60" t="s">
        <v>114</v>
      </c>
    </row>
    <row r="62" spans="1:74" ht="236.25" x14ac:dyDescent="0.4">
      <c r="A62" s="243"/>
      <c r="B62" s="246"/>
      <c r="C62" s="243"/>
      <c r="D62" s="246"/>
      <c r="E62" s="246"/>
      <c r="F62" s="246"/>
      <c r="G62" s="246"/>
      <c r="H62" s="246"/>
      <c r="I62" s="246"/>
      <c r="J62" s="275"/>
      <c r="K62" s="62" t="s">
        <v>632</v>
      </c>
      <c r="L62" s="47" t="s">
        <v>87</v>
      </c>
      <c r="M62" s="62" t="s">
        <v>169</v>
      </c>
      <c r="N62" s="62" t="s">
        <v>633</v>
      </c>
      <c r="O62" s="289">
        <v>2</v>
      </c>
      <c r="P62" s="289"/>
      <c r="Q62" s="47" t="s">
        <v>634</v>
      </c>
      <c r="R62" s="53">
        <v>1</v>
      </c>
      <c r="S62" s="101" t="s">
        <v>635</v>
      </c>
      <c r="T62" s="68" t="s">
        <v>636</v>
      </c>
      <c r="U62" s="53">
        <v>0</v>
      </c>
      <c r="V62" s="53">
        <v>0</v>
      </c>
      <c r="W62" s="53">
        <v>0</v>
      </c>
      <c r="X62" s="41">
        <v>0</v>
      </c>
      <c r="Y62" s="196">
        <v>0</v>
      </c>
      <c r="Z62" s="196">
        <v>1</v>
      </c>
      <c r="AA62" s="197">
        <v>0</v>
      </c>
      <c r="AB62" s="197">
        <v>1</v>
      </c>
      <c r="AC62" s="322"/>
      <c r="AD62" s="322"/>
      <c r="AE62" s="288"/>
      <c r="AF62" s="288"/>
      <c r="AG62" s="288"/>
      <c r="AH62" s="288"/>
      <c r="AI62" s="288"/>
      <c r="AJ62" s="246" t="s">
        <v>637</v>
      </c>
      <c r="AK62" s="246" t="s">
        <v>135</v>
      </c>
      <c r="AL62" s="246">
        <v>6</v>
      </c>
      <c r="AM62" s="246">
        <v>6</v>
      </c>
      <c r="AN62" s="246">
        <v>1</v>
      </c>
      <c r="AO62" s="246">
        <v>0</v>
      </c>
      <c r="AP62" s="258">
        <v>0</v>
      </c>
      <c r="AQ62" s="325">
        <f>SUM(AM62:AP63)</f>
        <v>7</v>
      </c>
      <c r="AR62" s="276">
        <v>1</v>
      </c>
      <c r="AS62" s="324">
        <v>0.56000000000000005</v>
      </c>
      <c r="AT62" s="246" t="s">
        <v>136</v>
      </c>
      <c r="AU62" s="246" t="s">
        <v>101</v>
      </c>
      <c r="AV62" s="246" t="s">
        <v>137</v>
      </c>
      <c r="AW62" s="246" t="s">
        <v>638</v>
      </c>
      <c r="AX62" s="246" t="s">
        <v>639</v>
      </c>
      <c r="AY62" s="256" t="s">
        <v>10</v>
      </c>
      <c r="AZ62" s="256" t="s">
        <v>181</v>
      </c>
      <c r="BA62" s="256" t="s">
        <v>182</v>
      </c>
      <c r="BB62" s="305">
        <v>115200000</v>
      </c>
      <c r="BC62" s="246" t="s">
        <v>107</v>
      </c>
      <c r="BD62" s="246" t="s">
        <v>629</v>
      </c>
      <c r="BE62" s="246" t="s">
        <v>630</v>
      </c>
      <c r="BF62" s="305">
        <v>114800000</v>
      </c>
      <c r="BG62" s="306">
        <v>0</v>
      </c>
      <c r="BH62" s="371"/>
      <c r="BI62" s="371"/>
      <c r="BJ62" s="371"/>
      <c r="BK62" s="372"/>
      <c r="BL62" s="246" t="s">
        <v>371</v>
      </c>
      <c r="BM62" s="246" t="s">
        <v>640</v>
      </c>
      <c r="BN62" s="246" t="s">
        <v>140</v>
      </c>
      <c r="BO62" s="246">
        <v>0</v>
      </c>
      <c r="BP62" s="300">
        <v>44927</v>
      </c>
      <c r="BQ62" s="245" t="s">
        <v>615</v>
      </c>
      <c r="BR62" s="245" t="s">
        <v>641</v>
      </c>
      <c r="BS62" s="245"/>
      <c r="BT62" s="245"/>
      <c r="BU62" s="60" t="s">
        <v>114</v>
      </c>
      <c r="BV62" s="60" t="s">
        <v>114</v>
      </c>
    </row>
    <row r="63" spans="1:74" ht="129.6" customHeight="1" x14ac:dyDescent="0.4">
      <c r="A63" s="243"/>
      <c r="B63" s="246"/>
      <c r="C63" s="243"/>
      <c r="D63" s="246"/>
      <c r="E63" s="246"/>
      <c r="F63" s="246"/>
      <c r="G63" s="246"/>
      <c r="H63" s="246"/>
      <c r="I63" s="246"/>
      <c r="J63" s="259"/>
      <c r="K63" s="62" t="s">
        <v>642</v>
      </c>
      <c r="L63" s="47" t="s">
        <v>87</v>
      </c>
      <c r="M63" s="62" t="s">
        <v>169</v>
      </c>
      <c r="N63" s="62" t="s">
        <v>643</v>
      </c>
      <c r="O63" s="289">
        <v>2</v>
      </c>
      <c r="P63" s="289"/>
      <c r="Q63" s="47" t="s">
        <v>623</v>
      </c>
      <c r="R63" s="53">
        <v>30</v>
      </c>
      <c r="S63" s="68" t="s">
        <v>315</v>
      </c>
      <c r="T63" s="53">
        <v>31</v>
      </c>
      <c r="U63" s="68" t="s">
        <v>315</v>
      </c>
      <c r="V63" s="68" t="s">
        <v>315</v>
      </c>
      <c r="W63" s="68" t="s">
        <v>315</v>
      </c>
      <c r="X63" s="68" t="s">
        <v>315</v>
      </c>
      <c r="Y63" s="196" t="s">
        <v>125</v>
      </c>
      <c r="Z63" s="196">
        <f>+T63</f>
        <v>31</v>
      </c>
      <c r="AA63" s="116" t="s">
        <v>125</v>
      </c>
      <c r="AB63" s="116">
        <v>1</v>
      </c>
      <c r="AC63" s="322"/>
      <c r="AD63" s="322"/>
      <c r="AE63" s="274"/>
      <c r="AF63" s="274"/>
      <c r="AG63" s="274"/>
      <c r="AH63" s="274"/>
      <c r="AI63" s="274"/>
      <c r="AJ63" s="246"/>
      <c r="AK63" s="246"/>
      <c r="AL63" s="246"/>
      <c r="AM63" s="246"/>
      <c r="AN63" s="246"/>
      <c r="AO63" s="246"/>
      <c r="AP63" s="259"/>
      <c r="AQ63" s="325"/>
      <c r="AR63" s="277"/>
      <c r="AS63" s="246"/>
      <c r="AT63" s="246" t="s">
        <v>136</v>
      </c>
      <c r="AU63" s="246"/>
      <c r="AV63" s="246" t="s">
        <v>137</v>
      </c>
      <c r="AW63" s="246"/>
      <c r="AX63" s="246"/>
      <c r="AY63" s="257"/>
      <c r="AZ63" s="257"/>
      <c r="BA63" s="257"/>
      <c r="BB63" s="246"/>
      <c r="BC63" s="246"/>
      <c r="BD63" s="246"/>
      <c r="BE63" s="246"/>
      <c r="BF63" s="246"/>
      <c r="BG63" s="285"/>
      <c r="BH63" s="371"/>
      <c r="BI63" s="371"/>
      <c r="BJ63" s="371"/>
      <c r="BK63" s="372"/>
      <c r="BL63" s="246"/>
      <c r="BM63" s="246"/>
      <c r="BN63" s="246"/>
      <c r="BO63" s="246"/>
      <c r="BP63" s="285">
        <v>44927</v>
      </c>
      <c r="BQ63" s="246"/>
      <c r="BR63" s="246"/>
      <c r="BS63" s="246"/>
      <c r="BT63" s="246"/>
      <c r="BU63" s="60" t="s">
        <v>114</v>
      </c>
      <c r="BV63" s="60" t="s">
        <v>114</v>
      </c>
    </row>
    <row r="64" spans="1:74" ht="129.6" customHeight="1" x14ac:dyDescent="0.4">
      <c r="A64" s="243"/>
      <c r="B64" s="246"/>
      <c r="C64" s="44"/>
      <c r="D64" s="47"/>
      <c r="E64" s="47"/>
      <c r="F64" s="47"/>
      <c r="G64" s="47"/>
      <c r="H64" s="47"/>
      <c r="I64" s="47"/>
      <c r="J64" s="38"/>
      <c r="K64" s="285"/>
      <c r="L64" s="286"/>
      <c r="M64" s="286"/>
      <c r="N64" s="286"/>
      <c r="O64" s="286"/>
      <c r="P64" s="286"/>
      <c r="Q64" s="287"/>
      <c r="R64" s="229" t="s">
        <v>644</v>
      </c>
      <c r="S64" s="230"/>
      <c r="T64" s="230"/>
      <c r="U64" s="230"/>
      <c r="V64" s="230"/>
      <c r="W64" s="230"/>
      <c r="X64" s="230"/>
      <c r="Y64" s="230"/>
      <c r="Z64" s="231"/>
      <c r="AA64" s="142">
        <f>AVERAGE(AA61:AA63)</f>
        <v>0.5</v>
      </c>
      <c r="AB64" s="142">
        <f>AVERAGE(AB61:AB63)</f>
        <v>1</v>
      </c>
      <c r="AC64" s="322"/>
      <c r="AD64" s="322"/>
      <c r="AE64" s="55"/>
      <c r="AF64" s="55"/>
      <c r="AG64" s="55"/>
      <c r="AH64" s="284" t="s">
        <v>645</v>
      </c>
      <c r="AI64" s="284"/>
      <c r="AJ64" s="284"/>
      <c r="AK64" s="284"/>
      <c r="AL64" s="284"/>
      <c r="AM64" s="284"/>
      <c r="AN64" s="284"/>
      <c r="AO64" s="284"/>
      <c r="AP64" s="284"/>
      <c r="AQ64" s="284"/>
      <c r="AR64" s="144">
        <f>AVERAGE(AR61:AR63)</f>
        <v>1</v>
      </c>
      <c r="AS64" s="47"/>
      <c r="AT64" s="47"/>
      <c r="AU64" s="47"/>
      <c r="AV64" s="47"/>
      <c r="AW64" s="47"/>
      <c r="AX64" s="47"/>
      <c r="AY64" s="37"/>
      <c r="AZ64" s="37"/>
      <c r="BA64" s="284" t="s">
        <v>1009</v>
      </c>
      <c r="BB64" s="284"/>
      <c r="BC64" s="284"/>
      <c r="BD64" s="284"/>
      <c r="BE64" s="284"/>
      <c r="BF64" s="284"/>
      <c r="BG64" s="284"/>
      <c r="BH64" s="181">
        <f>+BH61</f>
        <v>206184666.66999999</v>
      </c>
      <c r="BI64" s="181">
        <f t="shared" ref="BI64:BK64" si="15">+BI61</f>
        <v>114800000</v>
      </c>
      <c r="BJ64" s="181">
        <f t="shared" si="15"/>
        <v>109400000</v>
      </c>
      <c r="BK64" s="144">
        <f t="shared" si="15"/>
        <v>0.53059231691120601</v>
      </c>
      <c r="BL64" s="47"/>
      <c r="BM64" s="47"/>
      <c r="BN64" s="47"/>
      <c r="BO64" s="47"/>
      <c r="BP64" s="76"/>
      <c r="BQ64" s="47"/>
      <c r="BR64" s="47"/>
      <c r="BS64" s="47"/>
      <c r="BT64" s="47"/>
      <c r="BU64" s="60"/>
      <c r="BV64" s="60"/>
    </row>
    <row r="65" spans="1:74" ht="409.5" x14ac:dyDescent="0.4">
      <c r="A65" s="243"/>
      <c r="B65" s="246"/>
      <c r="C65" s="246" t="s">
        <v>646</v>
      </c>
      <c r="D65" s="246" t="s">
        <v>647</v>
      </c>
      <c r="E65" s="246" t="s">
        <v>169</v>
      </c>
      <c r="F65" s="246" t="s">
        <v>648</v>
      </c>
      <c r="G65" s="324">
        <v>1</v>
      </c>
      <c r="H65" s="246" t="s">
        <v>84</v>
      </c>
      <c r="I65" s="324">
        <v>1</v>
      </c>
      <c r="J65" s="258" t="s">
        <v>649</v>
      </c>
      <c r="K65" s="62" t="s">
        <v>650</v>
      </c>
      <c r="L65" s="47" t="s">
        <v>87</v>
      </c>
      <c r="M65" s="62" t="s">
        <v>651</v>
      </c>
      <c r="N65" s="62" t="s">
        <v>652</v>
      </c>
      <c r="O65" s="289">
        <v>2</v>
      </c>
      <c r="P65" s="289"/>
      <c r="Q65" s="47" t="s">
        <v>653</v>
      </c>
      <c r="R65" s="53">
        <v>1</v>
      </c>
      <c r="S65" s="53">
        <v>1</v>
      </c>
      <c r="T65" s="53">
        <v>0</v>
      </c>
      <c r="U65" s="53">
        <v>0</v>
      </c>
      <c r="V65" s="101" t="s">
        <v>654</v>
      </c>
      <c r="W65" s="101" t="s">
        <v>654</v>
      </c>
      <c r="X65" s="101" t="s">
        <v>654</v>
      </c>
      <c r="Y65" s="196" t="s">
        <v>125</v>
      </c>
      <c r="Z65" s="196">
        <v>0</v>
      </c>
      <c r="AA65" s="116" t="s">
        <v>125</v>
      </c>
      <c r="AB65" s="116">
        <v>0</v>
      </c>
      <c r="AC65" s="322"/>
      <c r="AD65" s="322"/>
      <c r="AE65" s="273" t="s">
        <v>655</v>
      </c>
      <c r="AF65" s="273" t="s">
        <v>655</v>
      </c>
      <c r="AG65" s="273" t="s">
        <v>656</v>
      </c>
      <c r="AH65" s="273" t="s">
        <v>656</v>
      </c>
      <c r="AI65" s="273" t="s">
        <v>656</v>
      </c>
      <c r="AJ65" s="47" t="s">
        <v>652</v>
      </c>
      <c r="AK65" s="47" t="s">
        <v>657</v>
      </c>
      <c r="AL65" s="47" t="s">
        <v>654</v>
      </c>
      <c r="AM65" s="47" t="s">
        <v>654</v>
      </c>
      <c r="AN65" s="47" t="s">
        <v>654</v>
      </c>
      <c r="AO65" s="47" t="s">
        <v>654</v>
      </c>
      <c r="AP65" s="47" t="s">
        <v>654</v>
      </c>
      <c r="AQ65" s="102" t="s">
        <v>125</v>
      </c>
      <c r="AR65" s="125" t="s">
        <v>125</v>
      </c>
      <c r="AS65" s="47" t="s">
        <v>654</v>
      </c>
      <c r="AT65" s="47" t="s">
        <v>654</v>
      </c>
      <c r="AU65" s="47" t="s">
        <v>654</v>
      </c>
      <c r="AV65" s="47" t="s">
        <v>654</v>
      </c>
      <c r="AW65" s="47" t="s">
        <v>654</v>
      </c>
      <c r="AX65" s="53" t="s">
        <v>91</v>
      </c>
      <c r="AY65" s="47" t="s">
        <v>654</v>
      </c>
      <c r="AZ65" s="47" t="s">
        <v>654</v>
      </c>
      <c r="BA65" s="47" t="s">
        <v>654</v>
      </c>
      <c r="BB65" s="47" t="s">
        <v>654</v>
      </c>
      <c r="BC65" s="47" t="s">
        <v>654</v>
      </c>
      <c r="BD65" s="47" t="s">
        <v>654</v>
      </c>
      <c r="BE65" s="47" t="s">
        <v>654</v>
      </c>
      <c r="BF65" s="205" t="s">
        <v>91</v>
      </c>
      <c r="BG65" s="213" t="s">
        <v>91</v>
      </c>
      <c r="BH65" s="48"/>
      <c r="BI65" s="48"/>
      <c r="BJ65" s="48"/>
      <c r="BK65" s="48"/>
      <c r="BL65" s="47" t="s">
        <v>654</v>
      </c>
      <c r="BM65" s="47" t="s">
        <v>91</v>
      </c>
      <c r="BN65" s="47" t="s">
        <v>91</v>
      </c>
      <c r="BO65" s="47" t="s">
        <v>91</v>
      </c>
      <c r="BP65" s="76" t="s">
        <v>91</v>
      </c>
      <c r="BQ65" s="246" t="s">
        <v>658</v>
      </c>
      <c r="BR65" s="246"/>
      <c r="BS65" s="47"/>
      <c r="BT65" s="47"/>
      <c r="BU65" s="60" t="s">
        <v>114</v>
      </c>
      <c r="BV65" s="60" t="s">
        <v>114</v>
      </c>
    </row>
    <row r="66" spans="1:74" ht="367.5" x14ac:dyDescent="0.4">
      <c r="A66" s="243"/>
      <c r="B66" s="246"/>
      <c r="C66" s="246"/>
      <c r="D66" s="246"/>
      <c r="E66" s="246"/>
      <c r="F66" s="246"/>
      <c r="G66" s="246"/>
      <c r="H66" s="246"/>
      <c r="I66" s="246"/>
      <c r="J66" s="259"/>
      <c r="K66" s="62" t="s">
        <v>659</v>
      </c>
      <c r="L66" s="47" t="s">
        <v>87</v>
      </c>
      <c r="M66" s="62" t="s">
        <v>169</v>
      </c>
      <c r="N66" s="62" t="s">
        <v>660</v>
      </c>
      <c r="O66" s="289">
        <v>1</v>
      </c>
      <c r="P66" s="289"/>
      <c r="Q66" s="47" t="s">
        <v>661</v>
      </c>
      <c r="R66" s="53">
        <v>30</v>
      </c>
      <c r="S66" s="53">
        <v>30</v>
      </c>
      <c r="T66" s="53">
        <v>0</v>
      </c>
      <c r="U66" s="53">
        <v>0</v>
      </c>
      <c r="V66" s="101" t="s">
        <v>654</v>
      </c>
      <c r="W66" s="101" t="s">
        <v>654</v>
      </c>
      <c r="X66" s="101" t="s">
        <v>654</v>
      </c>
      <c r="Y66" s="196" t="s">
        <v>125</v>
      </c>
      <c r="Z66" s="196">
        <v>0</v>
      </c>
      <c r="AA66" s="116" t="s">
        <v>125</v>
      </c>
      <c r="AB66" s="116">
        <v>0</v>
      </c>
      <c r="AC66" s="322"/>
      <c r="AD66" s="322"/>
      <c r="AE66" s="274"/>
      <c r="AF66" s="274"/>
      <c r="AG66" s="274"/>
      <c r="AH66" s="274"/>
      <c r="AI66" s="274"/>
      <c r="AJ66" s="47" t="s">
        <v>660</v>
      </c>
      <c r="AK66" s="47" t="s">
        <v>662</v>
      </c>
      <c r="AL66" s="47" t="s">
        <v>654</v>
      </c>
      <c r="AM66" s="47" t="s">
        <v>654</v>
      </c>
      <c r="AN66" s="47" t="s">
        <v>654</v>
      </c>
      <c r="AO66" s="47" t="s">
        <v>654</v>
      </c>
      <c r="AP66" s="47" t="s">
        <v>654</v>
      </c>
      <c r="AQ66" s="102" t="s">
        <v>125</v>
      </c>
      <c r="AR66" s="125" t="s">
        <v>125</v>
      </c>
      <c r="AS66" s="47" t="s">
        <v>654</v>
      </c>
      <c r="AT66" s="47" t="s">
        <v>654</v>
      </c>
      <c r="AU66" s="47" t="s">
        <v>654</v>
      </c>
      <c r="AV66" s="47" t="s">
        <v>654</v>
      </c>
      <c r="AW66" s="47" t="s">
        <v>654</v>
      </c>
      <c r="AX66" s="53" t="s">
        <v>91</v>
      </c>
      <c r="AY66" s="47" t="s">
        <v>654</v>
      </c>
      <c r="AZ66" s="47" t="s">
        <v>654</v>
      </c>
      <c r="BA66" s="47" t="s">
        <v>654</v>
      </c>
      <c r="BB66" s="47" t="s">
        <v>654</v>
      </c>
      <c r="BC66" s="47" t="s">
        <v>654</v>
      </c>
      <c r="BD66" s="47" t="s">
        <v>654</v>
      </c>
      <c r="BE66" s="47" t="s">
        <v>654</v>
      </c>
      <c r="BF66" s="205" t="s">
        <v>91</v>
      </c>
      <c r="BG66" s="213" t="s">
        <v>91</v>
      </c>
      <c r="BH66" s="48"/>
      <c r="BI66" s="48"/>
      <c r="BJ66" s="48"/>
      <c r="BK66" s="48"/>
      <c r="BL66" s="47" t="s">
        <v>654</v>
      </c>
      <c r="BM66" s="47" t="s">
        <v>91</v>
      </c>
      <c r="BN66" s="47" t="s">
        <v>655</v>
      </c>
      <c r="BO66" s="47" t="s">
        <v>655</v>
      </c>
      <c r="BP66" s="76" t="s">
        <v>655</v>
      </c>
      <c r="BQ66" s="246"/>
      <c r="BR66" s="246"/>
      <c r="BS66" s="47"/>
      <c r="BT66" s="47"/>
      <c r="BU66" s="60" t="s">
        <v>114</v>
      </c>
      <c r="BV66" s="60" t="s">
        <v>114</v>
      </c>
    </row>
    <row r="67" spans="1:74" ht="96" customHeight="1" x14ac:dyDescent="0.4">
      <c r="A67" s="243"/>
      <c r="B67" s="47"/>
      <c r="C67" s="47"/>
      <c r="D67" s="56"/>
      <c r="E67" s="56"/>
      <c r="F67" s="56"/>
      <c r="G67" s="56"/>
      <c r="H67" s="56"/>
      <c r="I67" s="56"/>
      <c r="J67" s="38"/>
      <c r="K67" s="285"/>
      <c r="L67" s="286"/>
      <c r="M67" s="286"/>
      <c r="N67" s="286"/>
      <c r="O67" s="286"/>
      <c r="P67" s="286"/>
      <c r="Q67" s="287"/>
      <c r="R67" s="229" t="s">
        <v>663</v>
      </c>
      <c r="S67" s="230"/>
      <c r="T67" s="230"/>
      <c r="U67" s="230"/>
      <c r="V67" s="230"/>
      <c r="W67" s="230"/>
      <c r="X67" s="230"/>
      <c r="Y67" s="230"/>
      <c r="Z67" s="231"/>
      <c r="AA67" s="115" t="s">
        <v>125</v>
      </c>
      <c r="AB67" s="115">
        <v>0</v>
      </c>
      <c r="AC67" s="322"/>
      <c r="AD67" s="322"/>
      <c r="AE67" s="55"/>
      <c r="AF67" s="55"/>
      <c r="AG67" s="55"/>
      <c r="AH67" s="284" t="s">
        <v>664</v>
      </c>
      <c r="AI67" s="284"/>
      <c r="AJ67" s="284"/>
      <c r="AK67" s="284"/>
      <c r="AL67" s="284"/>
      <c r="AM67" s="284"/>
      <c r="AN67" s="284"/>
      <c r="AO67" s="284"/>
      <c r="AP67" s="284"/>
      <c r="AQ67" s="284"/>
      <c r="AR67" s="125" t="s">
        <v>125</v>
      </c>
      <c r="AS67" s="47"/>
      <c r="AT67" s="47"/>
      <c r="AU67" s="47"/>
      <c r="AV67" s="47"/>
      <c r="AW67" s="47"/>
      <c r="AX67" s="83"/>
      <c r="AY67" s="47"/>
      <c r="AZ67" s="47"/>
      <c r="BA67" s="47"/>
      <c r="BB67" s="47"/>
      <c r="BC67" s="47"/>
      <c r="BD67" s="47"/>
      <c r="BE67" s="47"/>
      <c r="BF67" s="206"/>
      <c r="BG67" s="206"/>
      <c r="BH67" s="48"/>
      <c r="BI67" s="48"/>
      <c r="BJ67" s="48"/>
      <c r="BK67" s="48"/>
      <c r="BL67" s="47"/>
      <c r="BM67" s="47"/>
      <c r="BN67" s="47"/>
      <c r="BO67" s="47"/>
      <c r="BP67" s="76"/>
      <c r="BQ67" s="47"/>
      <c r="BR67" s="47"/>
      <c r="BS67" s="47"/>
      <c r="BT67" s="47"/>
      <c r="BU67" s="60"/>
      <c r="BV67" s="60"/>
    </row>
    <row r="68" spans="1:74" ht="155.25" customHeight="1" x14ac:dyDescent="0.4">
      <c r="A68" s="243"/>
      <c r="B68" s="337" t="s">
        <v>665</v>
      </c>
      <c r="C68" s="246" t="s">
        <v>666</v>
      </c>
      <c r="D68" s="258" t="s">
        <v>667</v>
      </c>
      <c r="E68" s="258" t="s">
        <v>169</v>
      </c>
      <c r="F68" s="258" t="s">
        <v>668</v>
      </c>
      <c r="G68" s="332">
        <v>1</v>
      </c>
      <c r="H68" s="258" t="s">
        <v>84</v>
      </c>
      <c r="I68" s="332">
        <v>1</v>
      </c>
      <c r="J68" s="258" t="s">
        <v>669</v>
      </c>
      <c r="K68" s="335" t="s">
        <v>670</v>
      </c>
      <c r="L68" s="258" t="s">
        <v>87</v>
      </c>
      <c r="M68" s="335" t="s">
        <v>671</v>
      </c>
      <c r="N68" s="335" t="s">
        <v>672</v>
      </c>
      <c r="O68" s="290">
        <v>2</v>
      </c>
      <c r="P68" s="291"/>
      <c r="Q68" s="258" t="s">
        <v>673</v>
      </c>
      <c r="R68" s="280">
        <v>26</v>
      </c>
      <c r="S68" s="280">
        <v>18</v>
      </c>
      <c r="T68" s="280">
        <v>8</v>
      </c>
      <c r="U68" s="280">
        <v>4</v>
      </c>
      <c r="V68" s="280">
        <v>3</v>
      </c>
      <c r="W68" s="280">
        <v>7</v>
      </c>
      <c r="X68" s="280">
        <v>0</v>
      </c>
      <c r="Y68" s="232">
        <f>SUM(U68:X69)</f>
        <v>14</v>
      </c>
      <c r="Z68" s="232">
        <f>+T68+Y68</f>
        <v>22</v>
      </c>
      <c r="AA68" s="276">
        <f>+Y68/S68</f>
        <v>0.77777777777777779</v>
      </c>
      <c r="AB68" s="276">
        <f>+Z68/R68</f>
        <v>0.84615384615384615</v>
      </c>
      <c r="AC68" s="322"/>
      <c r="AD68" s="322"/>
      <c r="AE68" s="273" t="s">
        <v>674</v>
      </c>
      <c r="AF68" s="273" t="s">
        <v>675</v>
      </c>
      <c r="AG68" s="273" t="s">
        <v>676</v>
      </c>
      <c r="AH68" s="273" t="s">
        <v>677</v>
      </c>
      <c r="AI68" s="273" t="s">
        <v>678</v>
      </c>
      <c r="AJ68" s="47" t="s">
        <v>679</v>
      </c>
      <c r="AK68" s="84" t="s">
        <v>680</v>
      </c>
      <c r="AL68" s="47" t="s">
        <v>681</v>
      </c>
      <c r="AM68" s="47" t="s">
        <v>682</v>
      </c>
      <c r="AN68" s="47" t="s">
        <v>683</v>
      </c>
      <c r="AO68" s="47" t="s">
        <v>684</v>
      </c>
      <c r="AP68" s="47">
        <v>0</v>
      </c>
      <c r="AQ68" s="102">
        <f>4+3+7</f>
        <v>14</v>
      </c>
      <c r="AR68" s="125">
        <f>+AQ68/18</f>
        <v>0.77777777777777779</v>
      </c>
      <c r="AS68" s="69">
        <v>0.55640000000000001</v>
      </c>
      <c r="AT68" s="46" t="s">
        <v>136</v>
      </c>
      <c r="AU68" s="46" t="s">
        <v>101</v>
      </c>
      <c r="AV68" s="46" t="s">
        <v>137</v>
      </c>
      <c r="AW68" s="47" t="s">
        <v>681</v>
      </c>
      <c r="AX68" s="47" t="s">
        <v>685</v>
      </c>
      <c r="AY68" s="68" t="s">
        <v>10</v>
      </c>
      <c r="AZ68" s="68" t="s">
        <v>181</v>
      </c>
      <c r="BA68" s="46" t="s">
        <v>182</v>
      </c>
      <c r="BB68" s="72">
        <v>250400000</v>
      </c>
      <c r="BC68" s="44" t="s">
        <v>107</v>
      </c>
      <c r="BD68" s="47" t="s">
        <v>686</v>
      </c>
      <c r="BE68" s="47" t="s">
        <v>687</v>
      </c>
      <c r="BF68" s="72">
        <v>285983333</v>
      </c>
      <c r="BG68" s="414">
        <v>358309861.82999998</v>
      </c>
      <c r="BH68" s="408">
        <v>528501003</v>
      </c>
      <c r="BI68" s="408">
        <v>438493194.82999998</v>
      </c>
      <c r="BJ68" s="408">
        <v>418159861.82999998</v>
      </c>
      <c r="BK68" s="411">
        <f>+BJ68/BH68</f>
        <v>0.79121867216210373</v>
      </c>
      <c r="BL68" s="72" t="s">
        <v>371</v>
      </c>
      <c r="BM68" s="47" t="s">
        <v>688</v>
      </c>
      <c r="BN68" s="44" t="s">
        <v>140</v>
      </c>
      <c r="BO68" s="44">
        <v>0</v>
      </c>
      <c r="BP68" s="59">
        <v>44927</v>
      </c>
      <c r="BQ68" s="47" t="s">
        <v>689</v>
      </c>
      <c r="BR68" s="47" t="s">
        <v>690</v>
      </c>
      <c r="BS68" s="47" t="s">
        <v>690</v>
      </c>
      <c r="BT68" s="47"/>
      <c r="BU68" s="60" t="s">
        <v>114</v>
      </c>
      <c r="BV68" s="60" t="s">
        <v>114</v>
      </c>
    </row>
    <row r="69" spans="1:74" ht="409.5" x14ac:dyDescent="0.4">
      <c r="A69" s="243"/>
      <c r="B69" s="337"/>
      <c r="C69" s="246"/>
      <c r="D69" s="275"/>
      <c r="E69" s="275"/>
      <c r="F69" s="275"/>
      <c r="G69" s="333"/>
      <c r="H69" s="275"/>
      <c r="I69" s="333"/>
      <c r="J69" s="275"/>
      <c r="K69" s="336"/>
      <c r="L69" s="259"/>
      <c r="M69" s="336"/>
      <c r="N69" s="336"/>
      <c r="O69" s="294"/>
      <c r="P69" s="295"/>
      <c r="Q69" s="259"/>
      <c r="R69" s="283"/>
      <c r="S69" s="283"/>
      <c r="T69" s="283"/>
      <c r="U69" s="283"/>
      <c r="V69" s="283"/>
      <c r="W69" s="283"/>
      <c r="X69" s="283"/>
      <c r="Y69" s="233"/>
      <c r="Z69" s="233"/>
      <c r="AA69" s="277"/>
      <c r="AB69" s="277"/>
      <c r="AC69" s="322"/>
      <c r="AD69" s="322"/>
      <c r="AE69" s="288"/>
      <c r="AF69" s="288"/>
      <c r="AG69" s="288"/>
      <c r="AH69" s="288"/>
      <c r="AI69" s="288"/>
      <c r="AJ69" s="47" t="s">
        <v>691</v>
      </c>
      <c r="AK69" s="47" t="s">
        <v>438</v>
      </c>
      <c r="AL69" s="76">
        <v>1</v>
      </c>
      <c r="AM69" s="76">
        <v>0</v>
      </c>
      <c r="AN69" s="76">
        <v>1</v>
      </c>
      <c r="AO69" s="76">
        <v>0</v>
      </c>
      <c r="AP69" s="76">
        <v>0</v>
      </c>
      <c r="AQ69" s="122">
        <f>SUM(AM69:AP69)</f>
        <v>1</v>
      </c>
      <c r="AR69" s="126">
        <f t="shared" si="2"/>
        <v>1</v>
      </c>
      <c r="AS69" s="69">
        <v>0.14419999999999999</v>
      </c>
      <c r="AT69" s="46" t="s">
        <v>136</v>
      </c>
      <c r="AU69" s="46" t="s">
        <v>101</v>
      </c>
      <c r="AV69" s="46" t="s">
        <v>137</v>
      </c>
      <c r="AW69" s="47" t="s">
        <v>692</v>
      </c>
      <c r="AX69" s="53" t="s">
        <v>693</v>
      </c>
      <c r="AY69" s="68" t="s">
        <v>10</v>
      </c>
      <c r="AZ69" s="68" t="s">
        <v>181</v>
      </c>
      <c r="BA69" s="46" t="s">
        <v>182</v>
      </c>
      <c r="BB69" s="72">
        <v>64900000</v>
      </c>
      <c r="BC69" s="44" t="s">
        <v>107</v>
      </c>
      <c r="BD69" s="47" t="s">
        <v>686</v>
      </c>
      <c r="BE69" s="47" t="s">
        <v>687</v>
      </c>
      <c r="BF69" s="205">
        <f>46800000+18100000</f>
        <v>64900000</v>
      </c>
      <c r="BG69" s="415"/>
      <c r="BH69" s="409"/>
      <c r="BI69" s="409"/>
      <c r="BJ69" s="409"/>
      <c r="BK69" s="412"/>
      <c r="BL69" s="72" t="s">
        <v>371</v>
      </c>
      <c r="BM69" s="47" t="s">
        <v>694</v>
      </c>
      <c r="BN69" s="44" t="s">
        <v>338</v>
      </c>
      <c r="BO69" s="44">
        <v>0</v>
      </c>
      <c r="BP69" s="59">
        <v>44927</v>
      </c>
      <c r="BQ69" s="47" t="s">
        <v>408</v>
      </c>
      <c r="BR69" s="77" t="s">
        <v>695</v>
      </c>
      <c r="BS69" s="77"/>
      <c r="BT69" s="202"/>
      <c r="BU69" s="60" t="s">
        <v>114</v>
      </c>
      <c r="BV69" s="60" t="s">
        <v>114</v>
      </c>
    </row>
    <row r="70" spans="1:74" ht="409.5" x14ac:dyDescent="0.4">
      <c r="A70" s="243"/>
      <c r="B70" s="337"/>
      <c r="C70" s="246"/>
      <c r="D70" s="275"/>
      <c r="E70" s="275"/>
      <c r="F70" s="275"/>
      <c r="G70" s="333"/>
      <c r="H70" s="275"/>
      <c r="I70" s="333"/>
      <c r="J70" s="259"/>
      <c r="K70" s="62" t="s">
        <v>696</v>
      </c>
      <c r="L70" s="47" t="s">
        <v>87</v>
      </c>
      <c r="M70" s="62">
        <v>0</v>
      </c>
      <c r="N70" s="62" t="s">
        <v>697</v>
      </c>
      <c r="O70" s="289">
        <v>2</v>
      </c>
      <c r="P70" s="289"/>
      <c r="Q70" s="47" t="s">
        <v>435</v>
      </c>
      <c r="R70" s="53">
        <v>100</v>
      </c>
      <c r="S70" s="68" t="s">
        <v>315</v>
      </c>
      <c r="T70" s="54">
        <v>117</v>
      </c>
      <c r="U70" s="68" t="s">
        <v>315</v>
      </c>
      <c r="V70" s="68" t="s">
        <v>315</v>
      </c>
      <c r="W70" s="68" t="s">
        <v>315</v>
      </c>
      <c r="X70" s="68" t="s">
        <v>315</v>
      </c>
      <c r="Y70" s="196" t="s">
        <v>125</v>
      </c>
      <c r="Z70" s="196">
        <f>+T70</f>
        <v>117</v>
      </c>
      <c r="AA70" s="116" t="s">
        <v>125</v>
      </c>
      <c r="AB70" s="116">
        <v>1</v>
      </c>
      <c r="AC70" s="322"/>
      <c r="AD70" s="322"/>
      <c r="AE70" s="288"/>
      <c r="AF70" s="288"/>
      <c r="AG70" s="274"/>
      <c r="AH70" s="274"/>
      <c r="AI70" s="274"/>
      <c r="AJ70" s="47" t="s">
        <v>698</v>
      </c>
      <c r="AK70" s="47" t="s">
        <v>699</v>
      </c>
      <c r="AL70" s="76">
        <v>1</v>
      </c>
      <c r="AM70" s="76">
        <v>0</v>
      </c>
      <c r="AN70" s="76">
        <v>0</v>
      </c>
      <c r="AO70" s="76">
        <v>1</v>
      </c>
      <c r="AP70" s="76">
        <v>0</v>
      </c>
      <c r="AQ70" s="122">
        <f>SUM(AM70:AP70)</f>
        <v>1</v>
      </c>
      <c r="AR70" s="126">
        <f t="shared" si="2"/>
        <v>1</v>
      </c>
      <c r="AS70" s="69">
        <v>0.29930000000000001</v>
      </c>
      <c r="AT70" s="46" t="s">
        <v>136</v>
      </c>
      <c r="AU70" s="46" t="s">
        <v>101</v>
      </c>
      <c r="AV70" s="46" t="s">
        <v>137</v>
      </c>
      <c r="AW70" s="47" t="s">
        <v>700</v>
      </c>
      <c r="AX70" s="83">
        <v>0</v>
      </c>
      <c r="AY70" s="85" t="s">
        <v>10</v>
      </c>
      <c r="AZ70" s="68" t="s">
        <v>181</v>
      </c>
      <c r="BA70" s="46" t="s">
        <v>182</v>
      </c>
      <c r="BB70" s="72">
        <v>134700001</v>
      </c>
      <c r="BC70" s="44" t="s">
        <v>107</v>
      </c>
      <c r="BD70" s="47" t="s">
        <v>686</v>
      </c>
      <c r="BE70" s="47" t="s">
        <v>687</v>
      </c>
      <c r="BF70" s="205">
        <v>87609861.829999998</v>
      </c>
      <c r="BG70" s="213">
        <v>18250000</v>
      </c>
      <c r="BH70" s="410"/>
      <c r="BI70" s="410"/>
      <c r="BJ70" s="410"/>
      <c r="BK70" s="413"/>
      <c r="BL70" s="72" t="s">
        <v>371</v>
      </c>
      <c r="BM70" s="47" t="s">
        <v>698</v>
      </c>
      <c r="BN70" s="38" t="s">
        <v>230</v>
      </c>
      <c r="BO70" s="44">
        <v>0</v>
      </c>
      <c r="BP70" s="59">
        <v>44927</v>
      </c>
      <c r="BQ70" s="47" t="s">
        <v>408</v>
      </c>
      <c r="BR70" s="47" t="s">
        <v>701</v>
      </c>
      <c r="BS70" s="47" t="s">
        <v>702</v>
      </c>
      <c r="BT70" s="47"/>
      <c r="BU70" s="60" t="s">
        <v>114</v>
      </c>
      <c r="BV70" s="60" t="s">
        <v>114</v>
      </c>
    </row>
    <row r="71" spans="1:74" ht="108.75" customHeight="1" x14ac:dyDescent="0.4">
      <c r="A71" s="243"/>
      <c r="B71" s="337"/>
      <c r="C71" s="246"/>
      <c r="D71" s="275"/>
      <c r="E71" s="275"/>
      <c r="F71" s="275"/>
      <c r="G71" s="333"/>
      <c r="H71" s="275"/>
      <c r="I71" s="333"/>
      <c r="J71" s="38"/>
      <c r="K71" s="285"/>
      <c r="L71" s="286"/>
      <c r="M71" s="286"/>
      <c r="N71" s="286"/>
      <c r="O71" s="286"/>
      <c r="P71" s="286"/>
      <c r="Q71" s="287"/>
      <c r="R71" s="229" t="s">
        <v>703</v>
      </c>
      <c r="S71" s="230"/>
      <c r="T71" s="230"/>
      <c r="U71" s="230"/>
      <c r="V71" s="230"/>
      <c r="W71" s="230"/>
      <c r="X71" s="230"/>
      <c r="Y71" s="230"/>
      <c r="Z71" s="231"/>
      <c r="AA71" s="142">
        <f>AVERAGE(AA68:AA70)</f>
        <v>0.77777777777777779</v>
      </c>
      <c r="AB71" s="142">
        <f>AVERAGE(AB68:AB70)</f>
        <v>0.92307692307692313</v>
      </c>
      <c r="AC71" s="322"/>
      <c r="AD71" s="322"/>
      <c r="AE71" s="288"/>
      <c r="AF71" s="288"/>
      <c r="AG71" s="55"/>
      <c r="AH71" s="284" t="s">
        <v>704</v>
      </c>
      <c r="AI71" s="284"/>
      <c r="AJ71" s="284"/>
      <c r="AK71" s="284"/>
      <c r="AL71" s="284"/>
      <c r="AM71" s="284"/>
      <c r="AN71" s="284"/>
      <c r="AO71" s="284"/>
      <c r="AP71" s="284"/>
      <c r="AQ71" s="284"/>
      <c r="AR71" s="148">
        <f>AVERAGE(AR68:AR70)</f>
        <v>0.92592592592592593</v>
      </c>
      <c r="AS71" s="69"/>
      <c r="AT71" s="46"/>
      <c r="AU71" s="46"/>
      <c r="AV71" s="46"/>
      <c r="AW71" s="47"/>
      <c r="AX71" s="83"/>
      <c r="AY71" s="85"/>
      <c r="AZ71" s="68"/>
      <c r="BA71" s="284" t="s">
        <v>1010</v>
      </c>
      <c r="BB71" s="284"/>
      <c r="BC71" s="284"/>
      <c r="BD71" s="284"/>
      <c r="BE71" s="284"/>
      <c r="BF71" s="284"/>
      <c r="BG71" s="284"/>
      <c r="BH71" s="177">
        <f>+BH68</f>
        <v>528501003</v>
      </c>
      <c r="BI71" s="177">
        <f t="shared" ref="BI71:BK71" si="16">+BI68</f>
        <v>438493194.82999998</v>
      </c>
      <c r="BJ71" s="177">
        <f t="shared" si="16"/>
        <v>418159861.82999998</v>
      </c>
      <c r="BK71" s="139">
        <f t="shared" si="16"/>
        <v>0.79121867216210373</v>
      </c>
      <c r="BL71" s="72"/>
      <c r="BM71" s="47"/>
      <c r="BN71" s="38"/>
      <c r="BO71" s="44"/>
      <c r="BP71" s="59"/>
      <c r="BQ71" s="47"/>
      <c r="BR71" s="47"/>
      <c r="BS71" s="47"/>
      <c r="BT71" s="47"/>
      <c r="BU71" s="60"/>
      <c r="BV71" s="60"/>
    </row>
    <row r="72" spans="1:74" ht="409.5" x14ac:dyDescent="0.4">
      <c r="A72" s="243"/>
      <c r="B72" s="337"/>
      <c r="C72" s="246"/>
      <c r="D72" s="275"/>
      <c r="E72" s="275"/>
      <c r="F72" s="275"/>
      <c r="G72" s="333"/>
      <c r="H72" s="275"/>
      <c r="I72" s="333"/>
      <c r="J72" s="258" t="s">
        <v>705</v>
      </c>
      <c r="K72" s="56" t="s">
        <v>706</v>
      </c>
      <c r="L72" s="56" t="s">
        <v>87</v>
      </c>
      <c r="M72" s="86">
        <v>1</v>
      </c>
      <c r="N72" s="56" t="s">
        <v>707</v>
      </c>
      <c r="O72" s="289">
        <v>2</v>
      </c>
      <c r="P72" s="289"/>
      <c r="Q72" s="47" t="s">
        <v>673</v>
      </c>
      <c r="R72" s="53">
        <v>5</v>
      </c>
      <c r="S72" s="53">
        <v>5</v>
      </c>
      <c r="T72" s="54">
        <v>0</v>
      </c>
      <c r="U72" s="54">
        <v>0</v>
      </c>
      <c r="V72" s="54">
        <v>0</v>
      </c>
      <c r="W72" s="54">
        <v>0</v>
      </c>
      <c r="X72" s="42">
        <v>0</v>
      </c>
      <c r="Y72" s="196">
        <f>SUM(U72:X72)</f>
        <v>0</v>
      </c>
      <c r="Z72" s="196">
        <v>0</v>
      </c>
      <c r="AA72" s="116">
        <f>0/5</f>
        <v>0</v>
      </c>
      <c r="AB72" s="116">
        <v>0</v>
      </c>
      <c r="AC72" s="322"/>
      <c r="AD72" s="322"/>
      <c r="AE72" s="288"/>
      <c r="AF72" s="288"/>
      <c r="AG72" s="273" t="s">
        <v>708</v>
      </c>
      <c r="AH72" s="273" t="s">
        <v>709</v>
      </c>
      <c r="AI72" s="47" t="s">
        <v>710</v>
      </c>
      <c r="AJ72" s="47" t="s">
        <v>711</v>
      </c>
      <c r="AK72" s="87" t="s">
        <v>712</v>
      </c>
      <c r="AL72" s="47">
        <v>5</v>
      </c>
      <c r="AM72" s="47">
        <v>3</v>
      </c>
      <c r="AN72" s="47">
        <v>0</v>
      </c>
      <c r="AO72" s="47">
        <v>0</v>
      </c>
      <c r="AP72" s="76">
        <v>1</v>
      </c>
      <c r="AQ72" s="122">
        <f>SUM(AM72:AP72)</f>
        <v>4</v>
      </c>
      <c r="AR72" s="125">
        <f t="shared" si="2"/>
        <v>0.8</v>
      </c>
      <c r="AS72" s="88">
        <v>0.10730000000000001</v>
      </c>
      <c r="AT72" s="46" t="s">
        <v>136</v>
      </c>
      <c r="AU72" s="46" t="s">
        <v>101</v>
      </c>
      <c r="AV72" s="46" t="s">
        <v>137</v>
      </c>
      <c r="AW72" s="47" t="s">
        <v>713</v>
      </c>
      <c r="AX72" s="83">
        <v>0</v>
      </c>
      <c r="AY72" s="68" t="s">
        <v>10</v>
      </c>
      <c r="AZ72" s="68" t="s">
        <v>181</v>
      </c>
      <c r="BA72" s="46" t="s">
        <v>182</v>
      </c>
      <c r="BB72" s="72">
        <v>139500000</v>
      </c>
      <c r="BC72" s="44" t="s">
        <v>107</v>
      </c>
      <c r="BD72" s="47" t="s">
        <v>714</v>
      </c>
      <c r="BE72" s="47" t="s">
        <v>715</v>
      </c>
      <c r="BF72" s="72">
        <v>99500000</v>
      </c>
      <c r="BG72" s="414">
        <v>146818326</v>
      </c>
      <c r="BH72" s="418">
        <v>1300000000</v>
      </c>
      <c r="BI72" s="418">
        <v>154318326</v>
      </c>
      <c r="BJ72" s="418">
        <v>151818326</v>
      </c>
      <c r="BK72" s="411">
        <f>+BJ72/BH72</f>
        <v>0.11678332769230769</v>
      </c>
      <c r="BL72" s="72" t="s">
        <v>371</v>
      </c>
      <c r="BM72" s="47" t="s">
        <v>716</v>
      </c>
      <c r="BN72" s="44" t="s">
        <v>140</v>
      </c>
      <c r="BO72" s="44">
        <v>0</v>
      </c>
      <c r="BP72" s="59">
        <v>44927</v>
      </c>
      <c r="BQ72" s="47" t="s">
        <v>717</v>
      </c>
      <c r="BR72" s="47" t="s">
        <v>408</v>
      </c>
      <c r="BS72" s="47"/>
      <c r="BT72" s="47" t="s">
        <v>1031</v>
      </c>
      <c r="BU72" s="60" t="s">
        <v>114</v>
      </c>
      <c r="BV72" s="60" t="s">
        <v>114</v>
      </c>
    </row>
    <row r="73" spans="1:74" ht="409.5" x14ac:dyDescent="0.4">
      <c r="A73" s="243"/>
      <c r="B73" s="337"/>
      <c r="C73" s="246"/>
      <c r="D73" s="275"/>
      <c r="E73" s="275"/>
      <c r="F73" s="275"/>
      <c r="G73" s="333"/>
      <c r="H73" s="275"/>
      <c r="I73" s="333"/>
      <c r="J73" s="275"/>
      <c r="K73" s="335" t="s">
        <v>718</v>
      </c>
      <c r="L73" s="258" t="s">
        <v>87</v>
      </c>
      <c r="M73" s="258">
        <v>0</v>
      </c>
      <c r="N73" s="335" t="s">
        <v>719</v>
      </c>
      <c r="O73" s="290">
        <v>2</v>
      </c>
      <c r="P73" s="291"/>
      <c r="Q73" s="258" t="s">
        <v>720</v>
      </c>
      <c r="R73" s="280">
        <v>4</v>
      </c>
      <c r="S73" s="280">
        <v>3</v>
      </c>
      <c r="T73" s="268">
        <v>1</v>
      </c>
      <c r="U73" s="268">
        <v>0</v>
      </c>
      <c r="V73" s="268">
        <v>0</v>
      </c>
      <c r="W73" s="268">
        <v>1</v>
      </c>
      <c r="X73" s="268">
        <v>0</v>
      </c>
      <c r="Y73" s="232">
        <f>SUM(U73:X74)</f>
        <v>1</v>
      </c>
      <c r="Z73" s="232">
        <f>+T73+Y73</f>
        <v>2</v>
      </c>
      <c r="AA73" s="276">
        <f>+Y73/S73</f>
        <v>0.33333333333333331</v>
      </c>
      <c r="AB73" s="276">
        <f>+Z73/R73</f>
        <v>0.5</v>
      </c>
      <c r="AC73" s="322"/>
      <c r="AD73" s="322"/>
      <c r="AE73" s="288"/>
      <c r="AF73" s="288"/>
      <c r="AG73" s="288"/>
      <c r="AH73" s="288"/>
      <c r="AI73" s="258" t="s">
        <v>721</v>
      </c>
      <c r="AJ73" s="47" t="s">
        <v>722</v>
      </c>
      <c r="AK73" s="47" t="s">
        <v>438</v>
      </c>
      <c r="AL73" s="47">
        <v>3</v>
      </c>
      <c r="AM73" s="47">
        <v>0</v>
      </c>
      <c r="AN73" s="47">
        <v>0</v>
      </c>
      <c r="AO73" s="47">
        <v>1</v>
      </c>
      <c r="AP73" s="76">
        <v>0</v>
      </c>
      <c r="AQ73" s="122">
        <f>SUM(AM73:AP73)</f>
        <v>1</v>
      </c>
      <c r="AR73" s="125">
        <f t="shared" si="2"/>
        <v>0.33333333333333331</v>
      </c>
      <c r="AS73" s="71">
        <v>0.04</v>
      </c>
      <c r="AT73" s="46" t="s">
        <v>136</v>
      </c>
      <c r="AU73" s="46" t="s">
        <v>101</v>
      </c>
      <c r="AV73" s="46" t="s">
        <v>137</v>
      </c>
      <c r="AW73" s="47">
        <v>150</v>
      </c>
      <c r="AX73" s="83">
        <v>0</v>
      </c>
      <c r="AY73" s="68" t="s">
        <v>10</v>
      </c>
      <c r="AZ73" s="68" t="s">
        <v>181</v>
      </c>
      <c r="BA73" s="46" t="s">
        <v>182</v>
      </c>
      <c r="BB73" s="72">
        <v>55805984</v>
      </c>
      <c r="BC73" s="44" t="s">
        <v>107</v>
      </c>
      <c r="BD73" s="47" t="s">
        <v>714</v>
      </c>
      <c r="BE73" s="47" t="s">
        <v>715</v>
      </c>
      <c r="BF73" s="205">
        <v>50124310</v>
      </c>
      <c r="BG73" s="416"/>
      <c r="BH73" s="418"/>
      <c r="BI73" s="418"/>
      <c r="BJ73" s="418"/>
      <c r="BK73" s="412"/>
      <c r="BL73" s="72" t="s">
        <v>371</v>
      </c>
      <c r="BM73" s="47" t="s">
        <v>723</v>
      </c>
      <c r="BN73" s="44" t="s">
        <v>230</v>
      </c>
      <c r="BO73" s="44">
        <v>0</v>
      </c>
      <c r="BP73" s="59">
        <v>44927</v>
      </c>
      <c r="BQ73" s="47" t="s">
        <v>408</v>
      </c>
      <c r="BR73" s="47" t="s">
        <v>306</v>
      </c>
      <c r="BS73" s="47" t="s">
        <v>724</v>
      </c>
      <c r="BT73" s="47"/>
      <c r="BU73" s="60" t="s">
        <v>114</v>
      </c>
      <c r="BV73" s="60" t="s">
        <v>114</v>
      </c>
    </row>
    <row r="74" spans="1:74" ht="120" customHeight="1" x14ac:dyDescent="0.4">
      <c r="A74" s="243"/>
      <c r="B74" s="337"/>
      <c r="C74" s="246"/>
      <c r="D74" s="275"/>
      <c r="E74" s="275"/>
      <c r="F74" s="275"/>
      <c r="G74" s="333"/>
      <c r="H74" s="275"/>
      <c r="I74" s="333"/>
      <c r="J74" s="275"/>
      <c r="K74" s="336"/>
      <c r="L74" s="259"/>
      <c r="M74" s="259"/>
      <c r="N74" s="336"/>
      <c r="O74" s="294"/>
      <c r="P74" s="295"/>
      <c r="Q74" s="259"/>
      <c r="R74" s="283"/>
      <c r="S74" s="283"/>
      <c r="T74" s="269"/>
      <c r="U74" s="269"/>
      <c r="V74" s="269"/>
      <c r="W74" s="269"/>
      <c r="X74" s="269"/>
      <c r="Y74" s="233"/>
      <c r="Z74" s="233"/>
      <c r="AA74" s="277"/>
      <c r="AB74" s="277"/>
      <c r="AC74" s="322"/>
      <c r="AD74" s="322"/>
      <c r="AE74" s="288"/>
      <c r="AF74" s="288"/>
      <c r="AG74" s="288"/>
      <c r="AH74" s="288"/>
      <c r="AI74" s="275"/>
      <c r="AJ74" s="47" t="s">
        <v>725</v>
      </c>
      <c r="AK74" s="47" t="s">
        <v>726</v>
      </c>
      <c r="AL74" s="47">
        <v>1</v>
      </c>
      <c r="AM74" s="47">
        <v>1</v>
      </c>
      <c r="AN74" s="47">
        <v>0</v>
      </c>
      <c r="AO74" s="47">
        <v>0</v>
      </c>
      <c r="AP74" s="76">
        <v>0</v>
      </c>
      <c r="AQ74" s="122">
        <f>SUM(AM74:AP74)</f>
        <v>1</v>
      </c>
      <c r="AR74" s="125">
        <f t="shared" si="2"/>
        <v>1</v>
      </c>
      <c r="AS74" s="71">
        <v>2.7000000000000001E-3</v>
      </c>
      <c r="AT74" s="46" t="s">
        <v>727</v>
      </c>
      <c r="AU74" s="46" t="s">
        <v>728</v>
      </c>
      <c r="AV74" s="46" t="s">
        <v>729</v>
      </c>
      <c r="AW74" s="47" t="s">
        <v>730</v>
      </c>
      <c r="AX74" s="47" t="s">
        <v>731</v>
      </c>
      <c r="AY74" s="68" t="s">
        <v>10</v>
      </c>
      <c r="AZ74" s="68" t="s">
        <v>181</v>
      </c>
      <c r="BA74" s="46" t="s">
        <v>182</v>
      </c>
      <c r="BB74" s="72">
        <v>4694016</v>
      </c>
      <c r="BC74" s="44" t="s">
        <v>107</v>
      </c>
      <c r="BD74" s="47" t="s">
        <v>714</v>
      </c>
      <c r="BE74" s="47" t="s">
        <v>715</v>
      </c>
      <c r="BF74" s="72">
        <f>2563000+2131016</f>
        <v>4694016</v>
      </c>
      <c r="BG74" s="416"/>
      <c r="BH74" s="418"/>
      <c r="BI74" s="418"/>
      <c r="BJ74" s="418"/>
      <c r="BK74" s="412"/>
      <c r="BL74" s="72" t="s">
        <v>371</v>
      </c>
      <c r="BM74" s="47" t="s">
        <v>725</v>
      </c>
      <c r="BN74" s="44" t="s">
        <v>732</v>
      </c>
      <c r="BO74" s="44">
        <v>0</v>
      </c>
      <c r="BP74" s="59">
        <v>44958</v>
      </c>
      <c r="BQ74" s="47" t="s">
        <v>733</v>
      </c>
      <c r="BR74" s="47"/>
      <c r="BS74" s="47"/>
      <c r="BT74" s="47"/>
      <c r="BU74" s="60" t="s">
        <v>114</v>
      </c>
      <c r="BV74" s="60" t="s">
        <v>114</v>
      </c>
    </row>
    <row r="75" spans="1:74" ht="409.5" x14ac:dyDescent="0.4">
      <c r="A75" s="243"/>
      <c r="B75" s="337"/>
      <c r="C75" s="246"/>
      <c r="D75" s="275"/>
      <c r="E75" s="275"/>
      <c r="F75" s="275"/>
      <c r="G75" s="333"/>
      <c r="H75" s="275"/>
      <c r="I75" s="333"/>
      <c r="J75" s="259"/>
      <c r="K75" s="62" t="s">
        <v>734</v>
      </c>
      <c r="L75" s="47" t="s">
        <v>87</v>
      </c>
      <c r="M75" s="47">
        <v>0</v>
      </c>
      <c r="N75" s="117" t="s">
        <v>735</v>
      </c>
      <c r="O75" s="289">
        <v>2</v>
      </c>
      <c r="P75" s="289"/>
      <c r="Q75" s="47" t="s">
        <v>420</v>
      </c>
      <c r="R75" s="53">
        <v>1</v>
      </c>
      <c r="S75" s="47" t="s">
        <v>736</v>
      </c>
      <c r="T75" s="47" t="s">
        <v>737</v>
      </c>
      <c r="U75" s="54">
        <v>0</v>
      </c>
      <c r="V75" s="54">
        <v>0</v>
      </c>
      <c r="W75" s="54">
        <v>0</v>
      </c>
      <c r="X75" s="42">
        <v>0</v>
      </c>
      <c r="Y75" s="196">
        <f>SUM(U75:X75)</f>
        <v>0</v>
      </c>
      <c r="Z75" s="191">
        <v>0.5</v>
      </c>
      <c r="AA75" s="116">
        <f>+Y75/1</f>
        <v>0</v>
      </c>
      <c r="AB75" s="116">
        <v>0.5</v>
      </c>
      <c r="AC75" s="322"/>
      <c r="AD75" s="322"/>
      <c r="AE75" s="288"/>
      <c r="AF75" s="288"/>
      <c r="AG75" s="274"/>
      <c r="AH75" s="274"/>
      <c r="AI75" s="259"/>
      <c r="AJ75" s="47" t="s">
        <v>738</v>
      </c>
      <c r="AK75" s="47" t="s">
        <v>699</v>
      </c>
      <c r="AL75" s="47">
        <v>1</v>
      </c>
      <c r="AM75" s="47" t="s">
        <v>99</v>
      </c>
      <c r="AN75" s="47">
        <v>0</v>
      </c>
      <c r="AO75" s="47">
        <v>1</v>
      </c>
      <c r="AP75" s="76">
        <v>0</v>
      </c>
      <c r="AQ75" s="122">
        <f>SUM(AM75:AP75)</f>
        <v>1</v>
      </c>
      <c r="AR75" s="125">
        <f t="shared" si="2"/>
        <v>1</v>
      </c>
      <c r="AS75" s="71">
        <v>0.85</v>
      </c>
      <c r="AT75" s="46" t="s">
        <v>739</v>
      </c>
      <c r="AU75" s="46" t="s">
        <v>101</v>
      </c>
      <c r="AV75" s="46" t="s">
        <v>740</v>
      </c>
      <c r="AW75" s="47" t="s">
        <v>741</v>
      </c>
      <c r="AX75" s="47" t="s">
        <v>99</v>
      </c>
      <c r="AY75" s="68" t="s">
        <v>10</v>
      </c>
      <c r="AZ75" s="68" t="s">
        <v>181</v>
      </c>
      <c r="BA75" s="46" t="s">
        <v>742</v>
      </c>
      <c r="BB75" s="72">
        <v>1100000000</v>
      </c>
      <c r="BC75" s="44" t="s">
        <v>107</v>
      </c>
      <c r="BD75" s="47" t="s">
        <v>714</v>
      </c>
      <c r="BE75" s="47" t="s">
        <v>715</v>
      </c>
      <c r="BF75" s="205">
        <v>0</v>
      </c>
      <c r="BG75" s="417"/>
      <c r="BH75" s="408"/>
      <c r="BI75" s="408"/>
      <c r="BJ75" s="408"/>
      <c r="BK75" s="412"/>
      <c r="BL75" s="72" t="s">
        <v>371</v>
      </c>
      <c r="BM75" s="47" t="s">
        <v>743</v>
      </c>
      <c r="BN75" s="44" t="s">
        <v>744</v>
      </c>
      <c r="BO75" s="44">
        <v>0</v>
      </c>
      <c r="BP75" s="59" t="s">
        <v>745</v>
      </c>
      <c r="BQ75" s="47"/>
      <c r="BR75" s="47" t="s">
        <v>746</v>
      </c>
      <c r="BS75" s="47" t="s">
        <v>747</v>
      </c>
      <c r="BT75" s="47" t="s">
        <v>1032</v>
      </c>
      <c r="BU75" s="60" t="s">
        <v>114</v>
      </c>
      <c r="BV75" s="60" t="s">
        <v>114</v>
      </c>
    </row>
    <row r="76" spans="1:74" ht="78.75" customHeight="1" x14ac:dyDescent="0.4">
      <c r="A76" s="243"/>
      <c r="B76" s="337"/>
      <c r="C76" s="246"/>
      <c r="D76" s="275"/>
      <c r="E76" s="275"/>
      <c r="F76" s="275"/>
      <c r="G76" s="333"/>
      <c r="H76" s="275"/>
      <c r="I76" s="333"/>
      <c r="J76" s="39"/>
      <c r="K76" s="285"/>
      <c r="L76" s="286"/>
      <c r="M76" s="286"/>
      <c r="N76" s="286"/>
      <c r="O76" s="286"/>
      <c r="P76" s="286"/>
      <c r="Q76" s="287"/>
      <c r="R76" s="229" t="s">
        <v>748</v>
      </c>
      <c r="S76" s="230"/>
      <c r="T76" s="230"/>
      <c r="U76" s="230"/>
      <c r="V76" s="230"/>
      <c r="W76" s="230"/>
      <c r="X76" s="230"/>
      <c r="Y76" s="230"/>
      <c r="Z76" s="231"/>
      <c r="AA76" s="142">
        <f>AVERAGE(AA72:AA75)</f>
        <v>0.1111111111111111</v>
      </c>
      <c r="AB76" s="142">
        <f>AVERAGE(AB72:AB75)</f>
        <v>0.33333333333333331</v>
      </c>
      <c r="AC76" s="322"/>
      <c r="AD76" s="322"/>
      <c r="AE76" s="288"/>
      <c r="AF76" s="288"/>
      <c r="AG76" s="66"/>
      <c r="AH76" s="284" t="s">
        <v>749</v>
      </c>
      <c r="AI76" s="284"/>
      <c r="AJ76" s="284"/>
      <c r="AK76" s="284"/>
      <c r="AL76" s="284"/>
      <c r="AM76" s="284"/>
      <c r="AN76" s="284"/>
      <c r="AO76" s="284"/>
      <c r="AP76" s="284"/>
      <c r="AQ76" s="284"/>
      <c r="AR76" s="144">
        <f>AVERAGE(AR72:AR75)</f>
        <v>0.78333333333333333</v>
      </c>
      <c r="AS76" s="71"/>
      <c r="AT76" s="46"/>
      <c r="AU76" s="46"/>
      <c r="AV76" s="46"/>
      <c r="AW76" s="47"/>
      <c r="AX76" s="47"/>
      <c r="AY76" s="68"/>
      <c r="AZ76" s="68"/>
      <c r="BA76" s="284" t="s">
        <v>1011</v>
      </c>
      <c r="BB76" s="284"/>
      <c r="BC76" s="284"/>
      <c r="BD76" s="284"/>
      <c r="BE76" s="284"/>
      <c r="BF76" s="284"/>
      <c r="BG76" s="284"/>
      <c r="BH76" s="177">
        <f>+BH72</f>
        <v>1300000000</v>
      </c>
      <c r="BI76" s="177">
        <f t="shared" ref="BI76:BK76" si="17">+BI72</f>
        <v>154318326</v>
      </c>
      <c r="BJ76" s="177">
        <f t="shared" si="17"/>
        <v>151818326</v>
      </c>
      <c r="BK76" s="139">
        <f t="shared" si="17"/>
        <v>0.11678332769230769</v>
      </c>
      <c r="BL76" s="72"/>
      <c r="BM76" s="47"/>
      <c r="BN76" s="44"/>
      <c r="BO76" s="44"/>
      <c r="BP76" s="59"/>
      <c r="BQ76" s="47"/>
      <c r="BR76" s="47"/>
      <c r="BS76" s="47"/>
      <c r="BT76" s="47"/>
      <c r="BU76" s="60"/>
      <c r="BV76" s="60"/>
    </row>
    <row r="77" spans="1:74" ht="409.5" x14ac:dyDescent="0.4">
      <c r="A77" s="256"/>
      <c r="B77" s="335"/>
      <c r="C77" s="258"/>
      <c r="D77" s="275"/>
      <c r="E77" s="275"/>
      <c r="F77" s="275"/>
      <c r="G77" s="333"/>
      <c r="H77" s="275"/>
      <c r="I77" s="333"/>
      <c r="J77" s="258" t="s">
        <v>750</v>
      </c>
      <c r="K77" s="65" t="s">
        <v>751</v>
      </c>
      <c r="L77" s="56" t="s">
        <v>87</v>
      </c>
      <c r="M77" s="149">
        <v>0</v>
      </c>
      <c r="N77" s="65" t="s">
        <v>751</v>
      </c>
      <c r="O77" s="280">
        <v>2</v>
      </c>
      <c r="P77" s="280"/>
      <c r="Q77" s="56" t="s">
        <v>468</v>
      </c>
      <c r="R77" s="192">
        <v>1</v>
      </c>
      <c r="S77" s="56" t="s">
        <v>752</v>
      </c>
      <c r="T77" s="194">
        <v>0</v>
      </c>
      <c r="U77" s="118" t="s">
        <v>91</v>
      </c>
      <c r="V77" s="118" t="s">
        <v>91</v>
      </c>
      <c r="W77" s="118" t="s">
        <v>91</v>
      </c>
      <c r="X77" s="118" t="s">
        <v>91</v>
      </c>
      <c r="Y77" s="199" t="s">
        <v>125</v>
      </c>
      <c r="Z77" s="199">
        <v>0</v>
      </c>
      <c r="AA77" s="115" t="s">
        <v>125</v>
      </c>
      <c r="AB77" s="115">
        <v>0</v>
      </c>
      <c r="AC77" s="323"/>
      <c r="AD77" s="323"/>
      <c r="AE77" s="288"/>
      <c r="AF77" s="288"/>
      <c r="AG77" s="65" t="s">
        <v>753</v>
      </c>
      <c r="AH77" s="150" t="s">
        <v>754</v>
      </c>
      <c r="AI77" s="56" t="s">
        <v>752</v>
      </c>
      <c r="AJ77" s="56" t="s">
        <v>752</v>
      </c>
      <c r="AK77" s="56" t="s">
        <v>752</v>
      </c>
      <c r="AL77" s="56" t="s">
        <v>752</v>
      </c>
      <c r="AM77" s="56" t="s">
        <v>91</v>
      </c>
      <c r="AN77" s="56" t="s">
        <v>91</v>
      </c>
      <c r="AO77" s="56" t="s">
        <v>91</v>
      </c>
      <c r="AP77" s="56" t="s">
        <v>91</v>
      </c>
      <c r="AQ77" s="103" t="s">
        <v>125</v>
      </c>
      <c r="AR77" s="114" t="s">
        <v>125</v>
      </c>
      <c r="AS77" s="56" t="s">
        <v>752</v>
      </c>
      <c r="AT77" s="56" t="s">
        <v>752</v>
      </c>
      <c r="AU77" s="56" t="s">
        <v>752</v>
      </c>
      <c r="AV77" s="56" t="s">
        <v>752</v>
      </c>
      <c r="AW77" s="56" t="s">
        <v>752</v>
      </c>
      <c r="AX77" s="56" t="s">
        <v>91</v>
      </c>
      <c r="AY77" s="56" t="s">
        <v>752</v>
      </c>
      <c r="AZ77" s="56" t="s">
        <v>752</v>
      </c>
      <c r="BA77" s="56" t="s">
        <v>752</v>
      </c>
      <c r="BB77" s="56" t="s">
        <v>752</v>
      </c>
      <c r="BC77" s="56" t="s">
        <v>752</v>
      </c>
      <c r="BD77" s="56" t="s">
        <v>752</v>
      </c>
      <c r="BE77" s="56" t="s">
        <v>752</v>
      </c>
      <c r="BF77" s="56" t="s">
        <v>91</v>
      </c>
      <c r="BG77" s="56" t="s">
        <v>91</v>
      </c>
      <c r="BH77" s="56"/>
      <c r="BI77" s="56"/>
      <c r="BJ77" s="56"/>
      <c r="BK77" s="56"/>
      <c r="BL77" s="56" t="s">
        <v>752</v>
      </c>
      <c r="BM77" s="56" t="s">
        <v>91</v>
      </c>
      <c r="BN77" s="56" t="s">
        <v>91</v>
      </c>
      <c r="BO77" s="56" t="s">
        <v>91</v>
      </c>
      <c r="BP77" s="151" t="s">
        <v>91</v>
      </c>
      <c r="BQ77" s="56" t="s">
        <v>91</v>
      </c>
      <c r="BR77" s="56" t="s">
        <v>91</v>
      </c>
      <c r="BS77" s="56"/>
      <c r="BT77" s="56"/>
      <c r="BU77" s="78" t="s">
        <v>114</v>
      </c>
      <c r="BV77" s="78" t="s">
        <v>114</v>
      </c>
    </row>
    <row r="78" spans="1:74" ht="98.25" customHeight="1" x14ac:dyDescent="0.4">
      <c r="A78" s="51"/>
      <c r="B78" s="51"/>
      <c r="C78" s="51"/>
      <c r="D78" s="51"/>
      <c r="E78" s="51"/>
      <c r="F78" s="51"/>
      <c r="G78" s="51"/>
      <c r="H78" s="51"/>
      <c r="I78" s="51"/>
      <c r="J78" s="259"/>
      <c r="K78" s="392"/>
      <c r="L78" s="393"/>
      <c r="M78" s="393"/>
      <c r="N78" s="393"/>
      <c r="O78" s="393"/>
      <c r="P78" s="393"/>
      <c r="Q78" s="394"/>
      <c r="R78" s="229" t="s">
        <v>755</v>
      </c>
      <c r="S78" s="230"/>
      <c r="T78" s="230"/>
      <c r="U78" s="230"/>
      <c r="V78" s="230"/>
      <c r="W78" s="230"/>
      <c r="X78" s="230"/>
      <c r="Y78" s="230"/>
      <c r="Z78" s="231"/>
      <c r="AA78" s="139" t="str">
        <f>+AA77</f>
        <v>NA</v>
      </c>
      <c r="AB78" s="139">
        <f>+AB77</f>
        <v>0</v>
      </c>
      <c r="AC78" s="152"/>
      <c r="AD78" s="89"/>
      <c r="AE78" s="153"/>
      <c r="AF78" s="154"/>
      <c r="AG78" s="154"/>
      <c r="AH78" s="284" t="s">
        <v>756</v>
      </c>
      <c r="AI78" s="284"/>
      <c r="AJ78" s="284"/>
      <c r="AK78" s="284"/>
      <c r="AL78" s="284"/>
      <c r="AM78" s="284"/>
      <c r="AN78" s="284"/>
      <c r="AO78" s="284"/>
      <c r="AP78" s="284"/>
      <c r="AQ78" s="284"/>
      <c r="AR78" s="124" t="s">
        <v>125</v>
      </c>
      <c r="AS78" s="68"/>
      <c r="AT78" s="156"/>
      <c r="AU78" s="83"/>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c r="BT78" s="51"/>
      <c r="BU78" s="51"/>
      <c r="BV78" s="51"/>
    </row>
    <row r="79" spans="1:74" ht="191.25" customHeight="1" x14ac:dyDescent="0.4">
      <c r="A79" s="51"/>
      <c r="B79" s="51"/>
      <c r="C79" s="51"/>
      <c r="D79" s="51"/>
      <c r="E79" s="51"/>
      <c r="F79" s="51"/>
      <c r="G79" s="51"/>
      <c r="H79" s="51"/>
      <c r="I79" s="51"/>
      <c r="J79" s="51"/>
      <c r="K79" s="51"/>
      <c r="L79" s="51"/>
      <c r="M79" s="51"/>
      <c r="N79" s="53"/>
      <c r="O79" s="53"/>
      <c r="P79" s="53"/>
      <c r="Q79" s="53"/>
      <c r="R79" s="53"/>
      <c r="S79" s="152"/>
      <c r="T79" s="54"/>
      <c r="U79" s="54"/>
      <c r="V79" s="54"/>
      <c r="W79" s="54"/>
      <c r="X79" s="54"/>
      <c r="Y79" s="200"/>
      <c r="Z79" s="200"/>
      <c r="AA79" s="124"/>
      <c r="AB79" s="124"/>
      <c r="AC79" s="152"/>
      <c r="AD79" s="89"/>
      <c r="AE79" s="153"/>
      <c r="AF79" s="154"/>
      <c r="AG79" s="154"/>
      <c r="AH79" s="155"/>
      <c r="AI79" s="155"/>
      <c r="AJ79" s="51"/>
      <c r="AK79" s="51"/>
      <c r="AL79" s="51"/>
      <c r="AM79" s="51"/>
      <c r="AN79" s="51"/>
      <c r="AO79" s="51"/>
      <c r="AP79" s="51"/>
      <c r="AQ79" s="104"/>
      <c r="AR79" s="124"/>
      <c r="AS79" s="68"/>
      <c r="AT79" s="156"/>
      <c r="AU79" s="83"/>
      <c r="AV79" s="51"/>
      <c r="AW79" s="51"/>
      <c r="AX79" s="51"/>
      <c r="AY79" s="51"/>
      <c r="AZ79" s="51"/>
      <c r="BA79" s="51"/>
      <c r="BB79" s="51"/>
      <c r="BC79" s="51"/>
      <c r="BD79" s="51"/>
      <c r="BE79" s="51"/>
      <c r="BF79" s="207"/>
      <c r="BG79" s="51"/>
      <c r="BH79" s="51"/>
      <c r="BI79" s="51"/>
      <c r="BJ79" s="51"/>
      <c r="BK79" s="51"/>
      <c r="BL79" s="51"/>
      <c r="BM79" s="51"/>
      <c r="BN79" s="51"/>
      <c r="BO79" s="51"/>
      <c r="BP79" s="51"/>
      <c r="BQ79" s="51"/>
      <c r="BR79" s="51"/>
      <c r="BS79" s="51"/>
      <c r="BT79" s="51"/>
      <c r="BU79" s="51"/>
      <c r="BV79" s="51"/>
    </row>
    <row r="81" spans="19:63" ht="27" thickBot="1" x14ac:dyDescent="0.45"/>
    <row r="82" spans="19:63" ht="251.25" customHeight="1" thickBot="1" x14ac:dyDescent="0.45">
      <c r="S82" s="90"/>
      <c r="T82" s="90"/>
      <c r="U82" s="226" t="s">
        <v>1015</v>
      </c>
      <c r="V82" s="227"/>
      <c r="W82" s="227"/>
      <c r="X82" s="227"/>
      <c r="Y82" s="227"/>
      <c r="Z82" s="228"/>
      <c r="AA82" s="158">
        <f>AVERAGE(AA15,AA19,AA25,AA27,AA32,AA36,AA38,AA46,AA53,AA60,AA64,AA67,AA71,AA76,AA78,PISCC!X39)</f>
        <v>0.76298371202965121</v>
      </c>
      <c r="AB82" s="157">
        <f>AVERAGE(AB15,AB19,AB25,AB27,AB32,AB36,AB38,AB46,AB53,AB60,AB64,AB67,AB71,AB76,AB78,PISCC!Y39)</f>
        <v>0.66087224418941681</v>
      </c>
      <c r="AI82" s="95"/>
      <c r="AJ82" s="95"/>
      <c r="AK82" s="95"/>
      <c r="AL82" s="95"/>
      <c r="AM82" s="226" t="s">
        <v>1019</v>
      </c>
      <c r="AN82" s="227"/>
      <c r="AO82" s="227"/>
      <c r="AP82" s="227"/>
      <c r="AQ82" s="228"/>
      <c r="AR82" s="158">
        <f>AVERAGE(AR15,AR19,AR25,AR27,AR32,AR36,AR38,AR46,AR53,AR60,AR64,AR71,AR76,AR78,PISCC!AO39)</f>
        <v>0.79981697440881117</v>
      </c>
      <c r="BA82" s="419" t="s">
        <v>1051</v>
      </c>
      <c r="BB82" s="420"/>
      <c r="BC82" s="420"/>
      <c r="BD82" s="420"/>
      <c r="BE82" s="420"/>
      <c r="BF82" s="420"/>
      <c r="BG82" s="421"/>
      <c r="BH82" s="182">
        <f>+BH19+BH15+BH25+BH27+BH32+BH36+BH38+BH46+BH53+BH60+BH64+BH71+BH76+PISCC!BE39</f>
        <v>51391707048.970001</v>
      </c>
      <c r="BI82" s="184">
        <f>+BI19+BI15+BI25+BI27+BI32+BI36+BI38+BI46+BI53+BI60+BI64+BI71+BI76+PISCC!BF39</f>
        <v>19497063893.510002</v>
      </c>
      <c r="BJ82" s="183">
        <f>+BJ19+BJ15+BJ25+BJ27+BJ32+BJ36+BJ38+BJ46+BJ53+BJ60+BJ64+BJ71+BJ76+PISCC!BG39</f>
        <v>13671782243.450001</v>
      </c>
    </row>
    <row r="84" spans="19:63" ht="27" thickBot="1" x14ac:dyDescent="0.45">
      <c r="BG84" s="211"/>
      <c r="BH84" s="211"/>
      <c r="BI84" s="211"/>
    </row>
    <row r="85" spans="19:63" ht="264" customHeight="1" thickBot="1" x14ac:dyDescent="0.45">
      <c r="BA85" s="422" t="s">
        <v>1067</v>
      </c>
      <c r="BB85" s="423"/>
      <c r="BC85" s="423"/>
      <c r="BD85" s="423"/>
      <c r="BE85" s="423"/>
      <c r="BF85" s="423"/>
      <c r="BG85" s="424"/>
      <c r="BH85" s="185">
        <f>+BI82/BH82</f>
        <v>0.37938151918035506</v>
      </c>
      <c r="BK85" s="209"/>
    </row>
    <row r="86" spans="19:63" ht="194.25" customHeight="1" thickBot="1" x14ac:dyDescent="0.45">
      <c r="BA86" s="405" t="s">
        <v>1068</v>
      </c>
      <c r="BB86" s="406"/>
      <c r="BC86" s="406"/>
      <c r="BD86" s="406"/>
      <c r="BE86" s="406"/>
      <c r="BF86" s="406"/>
      <c r="BG86" s="407"/>
      <c r="BH86" s="186">
        <f>+BJ82/BH82</f>
        <v>0.26603090320433348</v>
      </c>
    </row>
  </sheetData>
  <mergeCells count="675">
    <mergeCell ref="BA46:BG46"/>
    <mergeCell ref="BH39:BH45"/>
    <mergeCell ref="BA42:BA45"/>
    <mergeCell ref="BG47:BG52"/>
    <mergeCell ref="BA53:BG53"/>
    <mergeCell ref="BH47:BH52"/>
    <mergeCell ref="BI47:BI52"/>
    <mergeCell ref="BJ47:BJ52"/>
    <mergeCell ref="BK47:BK52"/>
    <mergeCell ref="BA60:BG60"/>
    <mergeCell ref="BH54:BH59"/>
    <mergeCell ref="BI54:BI59"/>
    <mergeCell ref="BJ54:BJ59"/>
    <mergeCell ref="BK54:BK59"/>
    <mergeCell ref="BA86:BG86"/>
    <mergeCell ref="BA64:BG64"/>
    <mergeCell ref="BH61:BH63"/>
    <mergeCell ref="BI61:BI63"/>
    <mergeCell ref="BJ61:BJ63"/>
    <mergeCell ref="BK61:BK63"/>
    <mergeCell ref="BA71:BG71"/>
    <mergeCell ref="BH68:BH70"/>
    <mergeCell ref="BI68:BI70"/>
    <mergeCell ref="BJ68:BJ70"/>
    <mergeCell ref="BK68:BK70"/>
    <mergeCell ref="BG68:BG69"/>
    <mergeCell ref="BG72:BG75"/>
    <mergeCell ref="BA76:BG76"/>
    <mergeCell ref="BH72:BH75"/>
    <mergeCell ref="BI72:BI75"/>
    <mergeCell ref="BJ72:BJ75"/>
    <mergeCell ref="BK72:BK75"/>
    <mergeCell ref="BA82:BG82"/>
    <mergeCell ref="BA85:BG85"/>
    <mergeCell ref="BI39:BI45"/>
    <mergeCell ref="BJ39:BJ45"/>
    <mergeCell ref="BI7:BI8"/>
    <mergeCell ref="BJ7:BJ8"/>
    <mergeCell ref="BK7:BK8"/>
    <mergeCell ref="BA15:BG15"/>
    <mergeCell ref="BH9:BH14"/>
    <mergeCell ref="BI9:BI14"/>
    <mergeCell ref="BJ9:BJ14"/>
    <mergeCell ref="BK9:BK14"/>
    <mergeCell ref="BK16:BK18"/>
    <mergeCell ref="BB9:BB10"/>
    <mergeCell ref="BB16:BB17"/>
    <mergeCell ref="BA38:BG38"/>
    <mergeCell ref="BE33:BE34"/>
    <mergeCell ref="BB33:BB34"/>
    <mergeCell ref="BC33:BC34"/>
    <mergeCell ref="BD33:BD34"/>
    <mergeCell ref="BA33:BA34"/>
    <mergeCell ref="BK39:BK45"/>
    <mergeCell ref="K78:Q78"/>
    <mergeCell ref="J77:J78"/>
    <mergeCell ref="AH78:AQ78"/>
    <mergeCell ref="AH64:AQ64"/>
    <mergeCell ref="K67:Q67"/>
    <mergeCell ref="AH67:AQ67"/>
    <mergeCell ref="K71:Q71"/>
    <mergeCell ref="AH71:AQ71"/>
    <mergeCell ref="K76:Q76"/>
    <mergeCell ref="AH76:AQ76"/>
    <mergeCell ref="AF68:AF77"/>
    <mergeCell ref="AE68:AE77"/>
    <mergeCell ref="AG68:AG70"/>
    <mergeCell ref="AH68:AH70"/>
    <mergeCell ref="AI68:AI70"/>
    <mergeCell ref="AG72:AG75"/>
    <mergeCell ref="AH72:AH75"/>
    <mergeCell ref="AI73:AI75"/>
    <mergeCell ref="BS62:BS63"/>
    <mergeCell ref="E54:E55"/>
    <mergeCell ref="F54:F55"/>
    <mergeCell ref="G54:G55"/>
    <mergeCell ref="F11:F14"/>
    <mergeCell ref="H7:H8"/>
    <mergeCell ref="U7:U8"/>
    <mergeCell ref="AO7:AO8"/>
    <mergeCell ref="AO9:AO10"/>
    <mergeCell ref="AO16:AO17"/>
    <mergeCell ref="AO33:AO34"/>
    <mergeCell ref="AO42:AO45"/>
    <mergeCell ref="W7:W8"/>
    <mergeCell ref="W11:W14"/>
    <mergeCell ref="W17:W18"/>
    <mergeCell ref="W22:W24"/>
    <mergeCell ref="W47:W49"/>
    <mergeCell ref="AG9:AG14"/>
    <mergeCell ref="O11:P14"/>
    <mergeCell ref="Q11:Q14"/>
    <mergeCell ref="BH7:BH8"/>
    <mergeCell ref="BA25:BG25"/>
    <mergeCell ref="BH20:BH24"/>
    <mergeCell ref="BG54:BG59"/>
    <mergeCell ref="A6:W6"/>
    <mergeCell ref="F17:F18"/>
    <mergeCell ref="E17:E18"/>
    <mergeCell ref="D17:D18"/>
    <mergeCell ref="U17:U18"/>
    <mergeCell ref="T17:T18"/>
    <mergeCell ref="S17:S18"/>
    <mergeCell ref="R17:R18"/>
    <mergeCell ref="Q17:Q18"/>
    <mergeCell ref="O17:P18"/>
    <mergeCell ref="N17:N18"/>
    <mergeCell ref="M17:M18"/>
    <mergeCell ref="L17:L18"/>
    <mergeCell ref="K17:K18"/>
    <mergeCell ref="O16:P16"/>
    <mergeCell ref="G11:G14"/>
    <mergeCell ref="H11:H14"/>
    <mergeCell ref="I11:I14"/>
    <mergeCell ref="K11:K14"/>
    <mergeCell ref="L11:L14"/>
    <mergeCell ref="M11:M14"/>
    <mergeCell ref="N11:N14"/>
    <mergeCell ref="I17:I18"/>
    <mergeCell ref="G7:G8"/>
    <mergeCell ref="BS33:BS34"/>
    <mergeCell ref="BA19:BG19"/>
    <mergeCell ref="BH16:BH18"/>
    <mergeCell ref="BI16:BI18"/>
    <mergeCell ref="BJ16:BJ18"/>
    <mergeCell ref="K32:Q32"/>
    <mergeCell ref="K36:Q36"/>
    <mergeCell ref="BI20:BI24"/>
    <mergeCell ref="BJ20:BJ24"/>
    <mergeCell ref="BK20:BK24"/>
    <mergeCell ref="BA27:BG27"/>
    <mergeCell ref="BG28:BG29"/>
    <mergeCell ref="BN33:BN34"/>
    <mergeCell ref="BO33:BO34"/>
    <mergeCell ref="BP33:BP34"/>
    <mergeCell ref="BL16:BL17"/>
    <mergeCell ref="R22:R24"/>
    <mergeCell ref="S22:S24"/>
    <mergeCell ref="O26:P26"/>
    <mergeCell ref="AI28:AI31"/>
    <mergeCell ref="O33:P33"/>
    <mergeCell ref="AF16:AF26"/>
    <mergeCell ref="AE16:AE26"/>
    <mergeCell ref="AH16:AH18"/>
    <mergeCell ref="BV9:BV10"/>
    <mergeCell ref="BD9:BD10"/>
    <mergeCell ref="BE9:BE10"/>
    <mergeCell ref="BF9:BF10"/>
    <mergeCell ref="BL9:BL10"/>
    <mergeCell ref="BM9:BM10"/>
    <mergeCell ref="BN9:BN10"/>
    <mergeCell ref="BO9:BO10"/>
    <mergeCell ref="BP9:BP10"/>
    <mergeCell ref="BS9:BS10"/>
    <mergeCell ref="BU9:BU10"/>
    <mergeCell ref="AX7:AX8"/>
    <mergeCell ref="AM7:AM8"/>
    <mergeCell ref="AH38:AQ38"/>
    <mergeCell ref="AH28:AH31"/>
    <mergeCell ref="AQ7:AQ8"/>
    <mergeCell ref="AR7:AR8"/>
    <mergeCell ref="AQ9:AQ10"/>
    <mergeCell ref="AR9:AR10"/>
    <mergeCell ref="AQ16:AQ17"/>
    <mergeCell ref="AR16:AR17"/>
    <mergeCell ref="AW16:AW17"/>
    <mergeCell ref="AN33:AN34"/>
    <mergeCell ref="AH33:AH35"/>
    <mergeCell ref="AI33:AI35"/>
    <mergeCell ref="AS33:AS34"/>
    <mergeCell ref="AT33:AT34"/>
    <mergeCell ref="AM33:AM34"/>
    <mergeCell ref="AJ33:AJ34"/>
    <mergeCell ref="AK33:AK34"/>
    <mergeCell ref="AU9:AU10"/>
    <mergeCell ref="AN9:AN10"/>
    <mergeCell ref="AX9:AX10"/>
    <mergeCell ref="AW9:AW10"/>
    <mergeCell ref="AN16:AN17"/>
    <mergeCell ref="AE9:AE14"/>
    <mergeCell ref="AF9:AF14"/>
    <mergeCell ref="AW62:AW63"/>
    <mergeCell ref="AF65:AF66"/>
    <mergeCell ref="AE65:AE66"/>
    <mergeCell ref="BQ16:BQ17"/>
    <mergeCell ref="BQ33:BQ34"/>
    <mergeCell ref="BQ62:BQ63"/>
    <mergeCell ref="AI20:AI21"/>
    <mergeCell ref="AI22:AI24"/>
    <mergeCell ref="AG28:AG31"/>
    <mergeCell ref="AG39:AG45"/>
    <mergeCell ref="AH39:AH45"/>
    <mergeCell ref="AI40:AI45"/>
    <mergeCell ref="BA32:BG32"/>
    <mergeCell ref="BH28:BH31"/>
    <mergeCell ref="BI28:BI31"/>
    <mergeCell ref="BJ28:BJ31"/>
    <mergeCell ref="AG47:AG52"/>
    <mergeCell ref="AG54:AG59"/>
    <mergeCell ref="AG33:AG35"/>
    <mergeCell ref="BK28:BK31"/>
    <mergeCell ref="BA36:BG36"/>
    <mergeCell ref="BH33:BH35"/>
    <mergeCell ref="BQ65:BQ66"/>
    <mergeCell ref="AU33:AU34"/>
    <mergeCell ref="AY9:AY10"/>
    <mergeCell ref="AZ9:AZ10"/>
    <mergeCell ref="AI11:AI14"/>
    <mergeCell ref="AJ16:AJ17"/>
    <mergeCell ref="AK16:AK17"/>
    <mergeCell ref="AL16:AL17"/>
    <mergeCell ref="AS16:AS17"/>
    <mergeCell ref="AT16:AT17"/>
    <mergeCell ref="AV9:AV10"/>
    <mergeCell ref="AM16:AM17"/>
    <mergeCell ref="AI9:AI10"/>
    <mergeCell ref="AJ9:AJ10"/>
    <mergeCell ref="AK9:AK10"/>
    <mergeCell ref="AL9:AL10"/>
    <mergeCell ref="AM9:AM10"/>
    <mergeCell ref="AS9:AS10"/>
    <mergeCell ref="AT9:AT10"/>
    <mergeCell ref="BI33:BI35"/>
    <mergeCell ref="BJ33:BJ35"/>
    <mergeCell ref="BK33:BK35"/>
    <mergeCell ref="AI16:AI17"/>
    <mergeCell ref="AV16:AV17"/>
    <mergeCell ref="BV7:BV8"/>
    <mergeCell ref="BU6:BV6"/>
    <mergeCell ref="A7:A8"/>
    <mergeCell ref="AC7:AC8"/>
    <mergeCell ref="AD7:AD8"/>
    <mergeCell ref="AC6:AF6"/>
    <mergeCell ref="BM7:BM8"/>
    <mergeCell ref="BN7:BN8"/>
    <mergeCell ref="BO7:BO8"/>
    <mergeCell ref="BP7:BP8"/>
    <mergeCell ref="BQ7:BQ8"/>
    <mergeCell ref="AI7:AI8"/>
    <mergeCell ref="AJ7:AJ8"/>
    <mergeCell ref="AK7:AK8"/>
    <mergeCell ref="AL7:AL8"/>
    <mergeCell ref="AS7:AS8"/>
    <mergeCell ref="AT7:AT8"/>
    <mergeCell ref="Q7:Q8"/>
    <mergeCell ref="R7:R8"/>
    <mergeCell ref="AH7:AH8"/>
    <mergeCell ref="S7:S8"/>
    <mergeCell ref="BL6:BP6"/>
    <mergeCell ref="I7:I8"/>
    <mergeCell ref="J7:J8"/>
    <mergeCell ref="BU7:BU8"/>
    <mergeCell ref="B5:C5"/>
    <mergeCell ref="D5:BM5"/>
    <mergeCell ref="D1:BL1"/>
    <mergeCell ref="D2:BL2"/>
    <mergeCell ref="D3:BL3"/>
    <mergeCell ref="D4:BL4"/>
    <mergeCell ref="B1:C4"/>
    <mergeCell ref="B7:B8"/>
    <mergeCell ref="C7:C8"/>
    <mergeCell ref="D7:D8"/>
    <mergeCell ref="E7:E8"/>
    <mergeCell ref="F7:F8"/>
    <mergeCell ref="BE7:BE8"/>
    <mergeCell ref="BL7:BL8"/>
    <mergeCell ref="AU7:AU8"/>
    <mergeCell ref="AV7:AV8"/>
    <mergeCell ref="AW7:AW8"/>
    <mergeCell ref="AY7:AY8"/>
    <mergeCell ref="AG6:AZ6"/>
    <mergeCell ref="BA6:BG6"/>
    <mergeCell ref="BF7:BF8"/>
    <mergeCell ref="BC7:BC8"/>
    <mergeCell ref="AF7:AF8"/>
    <mergeCell ref="B9:B14"/>
    <mergeCell ref="C9:C14"/>
    <mergeCell ref="D11:D14"/>
    <mergeCell ref="H54:H55"/>
    <mergeCell ref="I54:I55"/>
    <mergeCell ref="E47:E52"/>
    <mergeCell ref="F47:F52"/>
    <mergeCell ref="G47:G52"/>
    <mergeCell ref="H47:H52"/>
    <mergeCell ref="I47:I52"/>
    <mergeCell ref="B16:B66"/>
    <mergeCell ref="C16:C37"/>
    <mergeCell ref="D20:D24"/>
    <mergeCell ref="D33:D37"/>
    <mergeCell ref="C39:C52"/>
    <mergeCell ref="D42:D45"/>
    <mergeCell ref="D47:D52"/>
    <mergeCell ref="C54:C63"/>
    <mergeCell ref="D54:D55"/>
    <mergeCell ref="H17:H18"/>
    <mergeCell ref="E11:E14"/>
    <mergeCell ref="E61:E63"/>
    <mergeCell ref="F61:F63"/>
    <mergeCell ref="G61:G63"/>
    <mergeCell ref="H61:H63"/>
    <mergeCell ref="E42:E45"/>
    <mergeCell ref="F42:F45"/>
    <mergeCell ref="G42:G45"/>
    <mergeCell ref="H42:H45"/>
    <mergeCell ref="E33:E37"/>
    <mergeCell ref="F33:F37"/>
    <mergeCell ref="G33:G37"/>
    <mergeCell ref="H33:H37"/>
    <mergeCell ref="H20:H24"/>
    <mergeCell ref="G17:G18"/>
    <mergeCell ref="E20:E24"/>
    <mergeCell ref="F20:F24"/>
    <mergeCell ref="G20:G24"/>
    <mergeCell ref="I20:I24"/>
    <mergeCell ref="B68:B77"/>
    <mergeCell ref="C68:C77"/>
    <mergeCell ref="D68:D77"/>
    <mergeCell ref="E68:E77"/>
    <mergeCell ref="F68:F77"/>
    <mergeCell ref="E65:E66"/>
    <mergeCell ref="F65:F66"/>
    <mergeCell ref="G65:G66"/>
    <mergeCell ref="H65:H66"/>
    <mergeCell ref="G68:G77"/>
    <mergeCell ref="H68:H77"/>
    <mergeCell ref="I61:I63"/>
    <mergeCell ref="E58:E59"/>
    <mergeCell ref="F58:F59"/>
    <mergeCell ref="G58:G59"/>
    <mergeCell ref="H58:H59"/>
    <mergeCell ref="I58:I59"/>
    <mergeCell ref="D58:D59"/>
    <mergeCell ref="D61:D63"/>
    <mergeCell ref="C65:C66"/>
    <mergeCell ref="D65:D66"/>
    <mergeCell ref="I68:I77"/>
    <mergeCell ref="I33:I37"/>
    <mergeCell ref="I65:I66"/>
    <mergeCell ref="I42:I45"/>
    <mergeCell ref="O39:P39"/>
    <mergeCell ref="O44:P44"/>
    <mergeCell ref="O45:P45"/>
    <mergeCell ref="J65:J66"/>
    <mergeCell ref="O50:P50"/>
    <mergeCell ref="J61:J63"/>
    <mergeCell ref="J54:J59"/>
    <mergeCell ref="K54:K55"/>
    <mergeCell ref="L54:L55"/>
    <mergeCell ref="M54:M55"/>
    <mergeCell ref="O62:P62"/>
    <mergeCell ref="O63:P63"/>
    <mergeCell ref="M47:M49"/>
    <mergeCell ref="O65:P65"/>
    <mergeCell ref="O66:P66"/>
    <mergeCell ref="L47:L49"/>
    <mergeCell ref="O52:P52"/>
    <mergeCell ref="K64:Q64"/>
    <mergeCell ref="Q54:Q55"/>
    <mergeCell ref="K60:Q60"/>
    <mergeCell ref="J39:J45"/>
    <mergeCell ref="O54:P55"/>
    <mergeCell ref="J47:J52"/>
    <mergeCell ref="K47:K49"/>
    <mergeCell ref="O59:P59"/>
    <mergeCell ref="N47:N49"/>
    <mergeCell ref="O47:P49"/>
    <mergeCell ref="O51:P51"/>
    <mergeCell ref="N54:N55"/>
    <mergeCell ref="O56:P56"/>
    <mergeCell ref="O61:P61"/>
    <mergeCell ref="O57:P57"/>
    <mergeCell ref="O58:P58"/>
    <mergeCell ref="K73:K74"/>
    <mergeCell ref="J72:J75"/>
    <mergeCell ref="O72:P72"/>
    <mergeCell ref="O75:P75"/>
    <mergeCell ref="J68:J70"/>
    <mergeCell ref="K68:K69"/>
    <mergeCell ref="L68:L69"/>
    <mergeCell ref="M68:M69"/>
    <mergeCell ref="N68:N69"/>
    <mergeCell ref="O73:P74"/>
    <mergeCell ref="O70:P70"/>
    <mergeCell ref="O68:P69"/>
    <mergeCell ref="O77:P77"/>
    <mergeCell ref="Q68:Q69"/>
    <mergeCell ref="R68:R69"/>
    <mergeCell ref="S68:S69"/>
    <mergeCell ref="N73:N74"/>
    <mergeCell ref="M73:M74"/>
    <mergeCell ref="L73:L74"/>
    <mergeCell ref="R73:R74"/>
    <mergeCell ref="Q73:Q74"/>
    <mergeCell ref="Q47:Q49"/>
    <mergeCell ref="R47:R49"/>
    <mergeCell ref="S47:S49"/>
    <mergeCell ref="K46:Q46"/>
    <mergeCell ref="AK62:AK63"/>
    <mergeCell ref="O40:P40"/>
    <mergeCell ref="O41:P41"/>
    <mergeCell ref="O42:P42"/>
    <mergeCell ref="O43:P43"/>
    <mergeCell ref="U47:U49"/>
    <mergeCell ref="W54:W55"/>
    <mergeCell ref="AK42:AK45"/>
    <mergeCell ref="AH46:AQ46"/>
    <mergeCell ref="AH47:AH52"/>
    <mergeCell ref="AI47:AI49"/>
    <mergeCell ref="AN42:AN45"/>
    <mergeCell ref="AJ42:AJ45"/>
    <mergeCell ref="AH60:AQ60"/>
    <mergeCell ref="AH53:AQ53"/>
    <mergeCell ref="AF39:AF63"/>
    <mergeCell ref="AE39:AE63"/>
    <mergeCell ref="AH54:AH59"/>
    <mergeCell ref="K53:Q53"/>
    <mergeCell ref="AN62:AN63"/>
    <mergeCell ref="AL42:AL45"/>
    <mergeCell ref="AM42:AM45"/>
    <mergeCell ref="AF33:AF37"/>
    <mergeCell ref="AE33:AE37"/>
    <mergeCell ref="AL33:AL34"/>
    <mergeCell ref="AB54:AB55"/>
    <mergeCell ref="R46:Z46"/>
    <mergeCell ref="Z47:Z49"/>
    <mergeCell ref="R53:Z53"/>
    <mergeCell ref="Z54:Z55"/>
    <mergeCell ref="R60:Z60"/>
    <mergeCell ref="AZ16:AZ17"/>
    <mergeCell ref="AZ62:AZ63"/>
    <mergeCell ref="AW33:AW34"/>
    <mergeCell ref="AQ33:AQ34"/>
    <mergeCell ref="AR33:AR34"/>
    <mergeCell ref="AQ42:AQ45"/>
    <mergeCell ref="AV33:AV34"/>
    <mergeCell ref="AR42:AR45"/>
    <mergeCell ref="AU16:AU17"/>
    <mergeCell ref="AX62:AX63"/>
    <mergeCell ref="AY62:AY63"/>
    <mergeCell ref="AZ33:AZ34"/>
    <mergeCell ref="AX16:AX17"/>
    <mergeCell ref="AX33:AX34"/>
    <mergeCell ref="AY16:AY17"/>
    <mergeCell ref="AY33:AY34"/>
    <mergeCell ref="AQ62:AQ63"/>
    <mergeCell ref="AR62:AR63"/>
    <mergeCell ref="AH27:AQ27"/>
    <mergeCell ref="AH32:AQ32"/>
    <mergeCell ref="AT42:AT45"/>
    <mergeCell ref="AS42:AS45"/>
    <mergeCell ref="AI54:AI55"/>
    <mergeCell ref="AI56:AI57"/>
    <mergeCell ref="BC9:BC10"/>
    <mergeCell ref="BS7:BS8"/>
    <mergeCell ref="BD42:BD45"/>
    <mergeCell ref="A9:A77"/>
    <mergeCell ref="AC9:AC77"/>
    <mergeCell ref="AD9:AD77"/>
    <mergeCell ref="BL62:BL63"/>
    <mergeCell ref="BM62:BM63"/>
    <mergeCell ref="BE16:BE17"/>
    <mergeCell ref="T73:T74"/>
    <mergeCell ref="S73:S74"/>
    <mergeCell ref="BE62:BE63"/>
    <mergeCell ref="BA62:BA63"/>
    <mergeCell ref="AG65:AG66"/>
    <mergeCell ref="AH65:AH66"/>
    <mergeCell ref="AI65:AI66"/>
    <mergeCell ref="AL62:AL63"/>
    <mergeCell ref="AS62:AS63"/>
    <mergeCell ref="AT62:AT63"/>
    <mergeCell ref="AU62:AU63"/>
    <mergeCell ref="AV62:AV63"/>
    <mergeCell ref="AH61:AH63"/>
    <mergeCell ref="AI61:AI63"/>
    <mergeCell ref="AJ62:AJ63"/>
    <mergeCell ref="BM33:BM34"/>
    <mergeCell ref="BV42:BV45"/>
    <mergeCell ref="V7:V8"/>
    <mergeCell ref="V11:V14"/>
    <mergeCell ref="V17:V18"/>
    <mergeCell ref="V22:V24"/>
    <mergeCell ref="BF42:BF45"/>
    <mergeCell ref="BG42:BG45"/>
    <mergeCell ref="BL42:BL45"/>
    <mergeCell ref="BM42:BM45"/>
    <mergeCell ref="BN42:BN45"/>
    <mergeCell ref="BO42:BO45"/>
    <mergeCell ref="BP42:BP45"/>
    <mergeCell ref="BQ42:BQ45"/>
    <mergeCell ref="BU42:BU45"/>
    <mergeCell ref="AU42:AU45"/>
    <mergeCell ref="AV42:AV45"/>
    <mergeCell ref="AW42:AW45"/>
    <mergeCell ref="AX42:AX45"/>
    <mergeCell ref="AY42:AY45"/>
    <mergeCell ref="AZ42:AZ45"/>
    <mergeCell ref="AZ7:AZ8"/>
    <mergeCell ref="BA7:BA8"/>
    <mergeCell ref="BB7:BB8"/>
    <mergeCell ref="X54:X55"/>
    <mergeCell ref="BP62:BP63"/>
    <mergeCell ref="BR65:BR66"/>
    <mergeCell ref="BB42:BB45"/>
    <mergeCell ref="BC42:BC45"/>
    <mergeCell ref="BR62:BR63"/>
    <mergeCell ref="BD7:BD8"/>
    <mergeCell ref="BC62:BC63"/>
    <mergeCell ref="BD62:BD63"/>
    <mergeCell ref="BC16:BC17"/>
    <mergeCell ref="BD16:BD17"/>
    <mergeCell ref="BF62:BF63"/>
    <mergeCell ref="BG62:BG63"/>
    <mergeCell ref="BQ9:BQ10"/>
    <mergeCell ref="BE42:BE45"/>
    <mergeCell ref="BB62:BB63"/>
    <mergeCell ref="BG7:BG8"/>
    <mergeCell ref="BF16:BF17"/>
    <mergeCell ref="BF33:BF34"/>
    <mergeCell ref="BM16:BM17"/>
    <mergeCell ref="BN16:BN17"/>
    <mergeCell ref="BO16:BO17"/>
    <mergeCell ref="BP16:BP17"/>
    <mergeCell ref="BL33:BL34"/>
    <mergeCell ref="T47:T49"/>
    <mergeCell ref="S54:S55"/>
    <mergeCell ref="T54:T55"/>
    <mergeCell ref="R11:R14"/>
    <mergeCell ref="V47:V49"/>
    <mergeCell ref="V54:V55"/>
    <mergeCell ref="U73:U74"/>
    <mergeCell ref="V73:V74"/>
    <mergeCell ref="V68:V69"/>
    <mergeCell ref="U68:U69"/>
    <mergeCell ref="U54:U55"/>
    <mergeCell ref="T68:T69"/>
    <mergeCell ref="R54:R55"/>
    <mergeCell ref="K7:K8"/>
    <mergeCell ref="L7:L8"/>
    <mergeCell ref="M7:M8"/>
    <mergeCell ref="AF28:AF31"/>
    <mergeCell ref="K22:K24"/>
    <mergeCell ref="L22:L24"/>
    <mergeCell ref="M22:M24"/>
    <mergeCell ref="AN7:AN8"/>
    <mergeCell ref="AE7:AE8"/>
    <mergeCell ref="N7:N8"/>
    <mergeCell ref="O7:P7"/>
    <mergeCell ref="T7:T8"/>
    <mergeCell ref="AG7:AG8"/>
    <mergeCell ref="AH9:AH14"/>
    <mergeCell ref="U22:U24"/>
    <mergeCell ref="O29:P29"/>
    <mergeCell ref="Y7:Y8"/>
    <mergeCell ref="AA7:AA8"/>
    <mergeCell ref="AB7:AB8"/>
    <mergeCell ref="Y22:Y24"/>
    <mergeCell ref="AA22:AA24"/>
    <mergeCell ref="S11:S14"/>
    <mergeCell ref="AA11:AA14"/>
    <mergeCell ref="AB11:AB14"/>
    <mergeCell ref="K38:Q38"/>
    <mergeCell ref="J37:J38"/>
    <mergeCell ref="J20:J24"/>
    <mergeCell ref="O30:P30"/>
    <mergeCell ref="O31:P31"/>
    <mergeCell ref="T22:T24"/>
    <mergeCell ref="O28:P28"/>
    <mergeCell ref="O20:P20"/>
    <mergeCell ref="O21:P21"/>
    <mergeCell ref="J26:J27"/>
    <mergeCell ref="J28:J32"/>
    <mergeCell ref="J33:J36"/>
    <mergeCell ref="R38:Z38"/>
    <mergeCell ref="O37:P37"/>
    <mergeCell ref="X47:X49"/>
    <mergeCell ref="X68:X69"/>
    <mergeCell ref="J9:J15"/>
    <mergeCell ref="AH15:AQ15"/>
    <mergeCell ref="J16:J19"/>
    <mergeCell ref="K19:Q19"/>
    <mergeCell ref="AH19:AQ19"/>
    <mergeCell ref="AG16:AG19"/>
    <mergeCell ref="K25:Q25"/>
    <mergeCell ref="AH25:AQ25"/>
    <mergeCell ref="AG20:AG24"/>
    <mergeCell ref="AH20:AH24"/>
    <mergeCell ref="T11:T14"/>
    <mergeCell ref="U11:U14"/>
    <mergeCell ref="O9:P9"/>
    <mergeCell ref="O10:P10"/>
    <mergeCell ref="N22:N24"/>
    <mergeCell ref="O22:P24"/>
    <mergeCell ref="Q22:Q24"/>
    <mergeCell ref="O34:P34"/>
    <mergeCell ref="O35:P35"/>
    <mergeCell ref="R36:Z36"/>
    <mergeCell ref="K15:Q15"/>
    <mergeCell ref="K27:Q27"/>
    <mergeCell ref="AP7:AP8"/>
    <mergeCell ref="AP9:AP10"/>
    <mergeCell ref="AP16:AP17"/>
    <mergeCell ref="AP33:AP34"/>
    <mergeCell ref="AP42:AP45"/>
    <mergeCell ref="AP62:AP63"/>
    <mergeCell ref="AM62:AM63"/>
    <mergeCell ref="AO62:AO63"/>
    <mergeCell ref="Y68:Y69"/>
    <mergeCell ref="AA17:AA18"/>
    <mergeCell ref="AB17:AB18"/>
    <mergeCell ref="AB22:AB24"/>
    <mergeCell ref="AA47:AA49"/>
    <mergeCell ref="AB47:AB49"/>
    <mergeCell ref="AA54:AA55"/>
    <mergeCell ref="AE28:AE31"/>
    <mergeCell ref="Y54:Y55"/>
    <mergeCell ref="AA68:AA69"/>
    <mergeCell ref="AB68:AB69"/>
    <mergeCell ref="Y11:Y14"/>
    <mergeCell ref="Y17:Y18"/>
    <mergeCell ref="Y47:Y49"/>
    <mergeCell ref="AG61:AG63"/>
    <mergeCell ref="AH36:AQ36"/>
    <mergeCell ref="BT7:BT8"/>
    <mergeCell ref="BT9:BT10"/>
    <mergeCell ref="BT16:BT17"/>
    <mergeCell ref="BT33:BT34"/>
    <mergeCell ref="BT42:BT45"/>
    <mergeCell ref="BT62:BT63"/>
    <mergeCell ref="BA28:BA29"/>
    <mergeCell ref="BA30:BA31"/>
    <mergeCell ref="BC28:BC29"/>
    <mergeCell ref="BC30:BC31"/>
    <mergeCell ref="BD30:BD31"/>
    <mergeCell ref="BD28:BD29"/>
    <mergeCell ref="BE28:BE29"/>
    <mergeCell ref="BE30:BE31"/>
    <mergeCell ref="BR7:BR8"/>
    <mergeCell ref="BR9:BR10"/>
    <mergeCell ref="BR16:BR17"/>
    <mergeCell ref="BR33:BR34"/>
    <mergeCell ref="BR42:BR45"/>
    <mergeCell ref="BS16:BS17"/>
    <mergeCell ref="BS42:BS45"/>
    <mergeCell ref="BG33:BG34"/>
    <mergeCell ref="BN62:BN63"/>
    <mergeCell ref="BO62:BO63"/>
    <mergeCell ref="Z7:Z8"/>
    <mergeCell ref="Z11:Z14"/>
    <mergeCell ref="R15:Z15"/>
    <mergeCell ref="Z17:Z18"/>
    <mergeCell ref="R19:Z19"/>
    <mergeCell ref="Z22:Z24"/>
    <mergeCell ref="R25:Z25"/>
    <mergeCell ref="R27:Z27"/>
    <mergeCell ref="R32:Z32"/>
    <mergeCell ref="X7:X8"/>
    <mergeCell ref="X11:X14"/>
    <mergeCell ref="X17:X18"/>
    <mergeCell ref="X22:X24"/>
    <mergeCell ref="AM82:AQ82"/>
    <mergeCell ref="R64:Z64"/>
    <mergeCell ref="R67:Z67"/>
    <mergeCell ref="Z68:Z69"/>
    <mergeCell ref="R71:Z71"/>
    <mergeCell ref="Z73:Z74"/>
    <mergeCell ref="R76:Z76"/>
    <mergeCell ref="R78:Z78"/>
    <mergeCell ref="U82:Z82"/>
    <mergeCell ref="X73:X74"/>
    <mergeCell ref="Y73:Y74"/>
    <mergeCell ref="AA73:AA74"/>
    <mergeCell ref="AB73:AB74"/>
    <mergeCell ref="W68:W69"/>
    <mergeCell ref="W73:W74"/>
  </mergeCells>
  <hyperlinks>
    <hyperlink ref="BR49" r:id="rId1" xr:uid="{F1A70788-B45E-400E-B6B4-721B7C7911F7}"/>
    <hyperlink ref="BR54" r:id="rId2" xr:uid="{111790EB-FF62-4071-9035-991AF1AAB20D}"/>
    <hyperlink ref="BR57" r:id="rId3" xr:uid="{7731D846-80BC-4838-99C4-7BA925AC1D31}"/>
    <hyperlink ref="BR69" r:id="rId4" xr:uid="{BBCAD18E-2D40-4191-B79B-FED9E65F68DA}"/>
    <hyperlink ref="BS40" r:id="rId5" display="https://community.secop.gov.co/Public/Tendering/OpportunityDetail/Index?noticeUID=CO1.NTC.4722896&amp;isFromPublicArea=True&amp;isModal=False" xr:uid="{DEECF4C3-1566-447D-B32A-7CBE222B01FF}"/>
    <hyperlink ref="BS73" r:id="rId6" display="https://community.secop.gov.co/Public/Tendering/OpportunityDetail/Index?noticeUID=CO1.NTC.4722896&amp;isFromPublicArea=True&amp;isModal=False" xr:uid="{56011B7C-E444-4C85-BC45-B2FB65556AB5}"/>
    <hyperlink ref="BS37" r:id="rId7" display="https://community.secop.gov.co/Public/Tendering/OpportunityDetail/Index?noticeUID=CO1.NTC.4874824&amp;isFromPublicArea=True&amp;isModal=False" xr:uid="{791BFC76-6F6E-424D-84E8-8EDD3DC43067}"/>
    <hyperlink ref="BS35" r:id="rId8" display="https://community.secop.gov.co/Public/Tendering/OpportunityDetail/Index?noticeUID=CO1.NTC.4874824&amp;isFromPublicArea=True&amp;isModal=False" xr:uid="{A123DB49-AEA9-4366-8D9D-477EDA5EB81F}"/>
    <hyperlink ref="BT56" r:id="rId9" xr:uid="{770DA460-0485-400F-8FFC-F935DEDEAC4C}"/>
  </hyperlinks>
  <pageMargins left="0.7" right="0.7" top="0.75" bottom="0.75" header="0.3" footer="0.3"/>
  <pageSetup paperSize="9" orientation="portrait" r:id="rId10"/>
  <ignoredErrors>
    <ignoredError sqref="AA38:AB38 AA53 AA60 AQ71 R60 AH71:AO71" formula="1"/>
  </ignoredErrors>
  <drawing r:id="rId11"/>
  <legacyDrawing r:id="rId1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F4CD-898E-4DE4-B97A-65453DAB87AD}">
  <dimension ref="A1:BS46"/>
  <sheetViews>
    <sheetView topLeftCell="AS34" zoomScale="40" zoomScaleNormal="40" workbookViewId="0">
      <selection activeCell="BE39" sqref="BE39"/>
    </sheetView>
  </sheetViews>
  <sheetFormatPr baseColWidth="10" defaultColWidth="11.42578125" defaultRowHeight="26.25" x14ac:dyDescent="0.4"/>
  <cols>
    <col min="1" max="1" width="20.5703125" style="32" customWidth="1"/>
    <col min="2" max="2" width="33.140625" style="32" customWidth="1"/>
    <col min="3" max="4" width="11.42578125" style="32"/>
    <col min="5" max="5" width="13.7109375" style="32" customWidth="1"/>
    <col min="6" max="6" width="13.85546875" style="32" customWidth="1"/>
    <col min="7" max="7" width="15.85546875" style="32" customWidth="1"/>
    <col min="8" max="8" width="14.7109375" style="32" customWidth="1"/>
    <col min="9" max="9" width="19.7109375" style="32" customWidth="1"/>
    <col min="10" max="10" width="14.42578125" style="32" customWidth="1"/>
    <col min="11" max="11" width="16" style="32" customWidth="1"/>
    <col min="12" max="12" width="16.7109375" style="32" customWidth="1"/>
    <col min="13" max="13" width="20" style="32" customWidth="1"/>
    <col min="14" max="14" width="19.28515625" style="32" customWidth="1"/>
    <col min="15" max="16" width="11.42578125" style="32"/>
    <col min="17" max="17" width="19.7109375" style="32" customWidth="1"/>
    <col min="18" max="18" width="14.28515625" style="32" customWidth="1"/>
    <col min="19" max="19" width="15.5703125" style="32" customWidth="1"/>
    <col min="20" max="20" width="15.42578125" style="32" customWidth="1"/>
    <col min="21" max="22" width="21.5703125" style="32" customWidth="1"/>
    <col min="23" max="23" width="24.140625" style="32" customWidth="1"/>
    <col min="24" max="24" width="46" style="32" customWidth="1"/>
    <col min="25" max="25" width="34.7109375" style="32" customWidth="1"/>
    <col min="26" max="28" width="15.42578125" style="32" customWidth="1"/>
    <col min="29" max="29" width="24" style="32" customWidth="1"/>
    <col min="30" max="30" width="28.7109375" style="32" customWidth="1"/>
    <col min="31" max="31" width="16.28515625" style="32" customWidth="1"/>
    <col min="32" max="32" width="54.7109375" style="32" bestFit="1" customWidth="1"/>
    <col min="33" max="33" width="48.42578125" style="32" bestFit="1" customWidth="1"/>
    <col min="34" max="34" width="22.5703125" style="32" customWidth="1"/>
    <col min="35" max="35" width="23.85546875" style="32" customWidth="1"/>
    <col min="36" max="39" width="19.85546875" style="32" customWidth="1"/>
    <col min="40" max="40" width="29.28515625" style="224" customWidth="1"/>
    <col min="41" max="41" width="31.28515625" style="225" customWidth="1"/>
    <col min="42" max="42" width="17.28515625" style="32" customWidth="1"/>
    <col min="43" max="43" width="22.7109375" style="32" customWidth="1"/>
    <col min="44" max="44" width="21.85546875" style="32" customWidth="1"/>
    <col min="45" max="45" width="18.85546875" style="32" customWidth="1"/>
    <col min="46" max="47" width="17.85546875" style="32" customWidth="1"/>
    <col min="48" max="48" width="19.7109375" style="32" customWidth="1"/>
    <col min="49" max="49" width="19" style="32" customWidth="1"/>
    <col min="50" max="50" width="20" style="32" customWidth="1"/>
    <col min="51" max="51" width="37" style="32" customWidth="1"/>
    <col min="52" max="52" width="21.28515625" style="32" customWidth="1"/>
    <col min="53" max="53" width="17.85546875" style="32" customWidth="1"/>
    <col min="54" max="54" width="22.140625" style="32" customWidth="1"/>
    <col min="55" max="55" width="37.7109375" style="32" customWidth="1"/>
    <col min="56" max="56" width="45.28515625" style="32" customWidth="1"/>
    <col min="57" max="57" width="46.42578125" style="32" customWidth="1"/>
    <col min="58" max="58" width="46.140625" style="32" customWidth="1"/>
    <col min="59" max="59" width="44.7109375" style="32" customWidth="1"/>
    <col min="60" max="60" width="32.140625" style="32" customWidth="1"/>
    <col min="61" max="61" width="18.5703125" style="32" customWidth="1"/>
    <col min="62" max="62" width="18.85546875" style="32" customWidth="1"/>
    <col min="63" max="63" width="19.5703125" style="32" customWidth="1"/>
    <col min="64" max="64" width="15.5703125" style="32" customWidth="1"/>
    <col min="65" max="65" width="19.42578125" style="32" customWidth="1"/>
    <col min="66" max="69" width="32.42578125" style="32" customWidth="1"/>
    <col min="70" max="70" width="21.85546875" style="32" customWidth="1"/>
    <col min="71" max="71" width="19.7109375" style="32" customWidth="1"/>
    <col min="72" max="16384" width="11.42578125" style="32"/>
  </cols>
  <sheetData>
    <row r="1" spans="1:71" ht="29.25" customHeight="1" x14ac:dyDescent="0.4">
      <c r="B1" s="346" t="s">
        <v>0</v>
      </c>
      <c r="C1" s="346"/>
      <c r="D1" s="343" t="s">
        <v>1</v>
      </c>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c r="BI1" s="344"/>
      <c r="BJ1" s="344"/>
      <c r="BK1" s="344"/>
      <c r="BL1" s="344"/>
      <c r="BM1" s="344"/>
      <c r="BN1" s="345"/>
      <c r="BO1" s="29"/>
      <c r="BP1" s="29"/>
      <c r="BQ1" s="29"/>
      <c r="BR1" s="33" t="s">
        <v>2</v>
      </c>
    </row>
    <row r="2" spans="1:71" ht="30" customHeight="1" x14ac:dyDescent="0.4">
      <c r="B2" s="346"/>
      <c r="C2" s="346"/>
      <c r="D2" s="343" t="s">
        <v>3</v>
      </c>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AX2" s="344"/>
      <c r="AY2" s="344"/>
      <c r="AZ2" s="344"/>
      <c r="BA2" s="344"/>
      <c r="BB2" s="344"/>
      <c r="BC2" s="344"/>
      <c r="BD2" s="344"/>
      <c r="BE2" s="344"/>
      <c r="BF2" s="344"/>
      <c r="BG2" s="344"/>
      <c r="BH2" s="344"/>
      <c r="BI2" s="344"/>
      <c r="BJ2" s="344"/>
      <c r="BK2" s="344"/>
      <c r="BL2" s="344"/>
      <c r="BM2" s="344"/>
      <c r="BN2" s="345"/>
      <c r="BO2" s="29"/>
      <c r="BP2" s="29"/>
      <c r="BQ2" s="29"/>
      <c r="BR2" s="33" t="s">
        <v>4</v>
      </c>
    </row>
    <row r="3" spans="1:71" ht="30.75" customHeight="1" x14ac:dyDescent="0.4">
      <c r="B3" s="346"/>
      <c r="C3" s="346"/>
      <c r="D3" s="343" t="s">
        <v>5</v>
      </c>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4"/>
      <c r="BJ3" s="344"/>
      <c r="BK3" s="344"/>
      <c r="BL3" s="344"/>
      <c r="BM3" s="344"/>
      <c r="BN3" s="345"/>
      <c r="BO3" s="29"/>
      <c r="BP3" s="29"/>
      <c r="BQ3" s="29"/>
      <c r="BR3" s="33" t="s">
        <v>6</v>
      </c>
    </row>
    <row r="4" spans="1:71" ht="24.75" customHeight="1" x14ac:dyDescent="0.4">
      <c r="B4" s="346"/>
      <c r="C4" s="346"/>
      <c r="D4" s="343" t="s">
        <v>7</v>
      </c>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AX4" s="344"/>
      <c r="AY4" s="344"/>
      <c r="AZ4" s="344"/>
      <c r="BA4" s="344"/>
      <c r="BB4" s="344"/>
      <c r="BC4" s="344"/>
      <c r="BD4" s="344"/>
      <c r="BE4" s="344"/>
      <c r="BF4" s="344"/>
      <c r="BG4" s="344"/>
      <c r="BH4" s="344"/>
      <c r="BI4" s="344"/>
      <c r="BJ4" s="344"/>
      <c r="BK4" s="344"/>
      <c r="BL4" s="344"/>
      <c r="BM4" s="344"/>
      <c r="BN4" s="345"/>
      <c r="BO4" s="29"/>
      <c r="BP4" s="29"/>
      <c r="BQ4" s="29"/>
      <c r="BR4" s="33" t="s">
        <v>8</v>
      </c>
    </row>
    <row r="5" spans="1:71" ht="27" customHeight="1" x14ac:dyDescent="0.4">
      <c r="B5" s="340" t="s">
        <v>9</v>
      </c>
      <c r="C5" s="340"/>
      <c r="D5" s="341" t="s">
        <v>10</v>
      </c>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c r="AZ5" s="341"/>
      <c r="BA5" s="341"/>
      <c r="BB5" s="341"/>
      <c r="BC5" s="341"/>
      <c r="BD5" s="341"/>
      <c r="BE5" s="341"/>
      <c r="BF5" s="341"/>
      <c r="BG5" s="341"/>
      <c r="BH5" s="341"/>
      <c r="BI5" s="341"/>
      <c r="BJ5" s="341"/>
      <c r="BK5" s="341"/>
      <c r="BL5" s="341"/>
      <c r="BM5" s="341"/>
      <c r="BN5" s="341"/>
      <c r="BO5" s="342"/>
      <c r="BP5" s="342"/>
      <c r="BQ5" s="342"/>
      <c r="BR5" s="342"/>
    </row>
    <row r="6" spans="1:71" ht="30.75" customHeight="1" thickBot="1" x14ac:dyDescent="0.45">
      <c r="A6" s="350" t="s">
        <v>11</v>
      </c>
      <c r="B6" s="351"/>
      <c r="C6" s="351"/>
      <c r="D6" s="351"/>
      <c r="E6" s="351"/>
      <c r="F6" s="351"/>
      <c r="G6" s="351"/>
      <c r="H6" s="351"/>
      <c r="I6" s="351"/>
      <c r="J6" s="351"/>
      <c r="K6" s="351"/>
      <c r="L6" s="351"/>
      <c r="M6" s="351"/>
      <c r="N6" s="351"/>
      <c r="O6" s="351"/>
      <c r="P6" s="351"/>
      <c r="Q6" s="351"/>
      <c r="R6" s="351"/>
      <c r="S6" s="351"/>
      <c r="T6" s="351"/>
      <c r="U6" s="351"/>
      <c r="V6" s="352"/>
      <c r="W6" s="34"/>
      <c r="X6" s="34"/>
      <c r="Y6" s="34"/>
      <c r="Z6" s="343" t="s">
        <v>12</v>
      </c>
      <c r="AA6" s="344"/>
      <c r="AB6" s="344"/>
      <c r="AC6" s="345"/>
      <c r="AD6" s="454" t="s">
        <v>13</v>
      </c>
      <c r="AE6" s="455"/>
      <c r="AF6" s="455"/>
      <c r="AG6" s="455"/>
      <c r="AH6" s="455"/>
      <c r="AI6" s="455"/>
      <c r="AJ6" s="455"/>
      <c r="AK6" s="455"/>
      <c r="AL6" s="455"/>
      <c r="AM6" s="455"/>
      <c r="AN6" s="455"/>
      <c r="AO6" s="455"/>
      <c r="AP6" s="455"/>
      <c r="AQ6" s="455"/>
      <c r="AR6" s="455"/>
      <c r="AS6" s="455"/>
      <c r="AT6" s="455"/>
      <c r="AU6" s="455"/>
      <c r="AV6" s="455"/>
      <c r="AW6" s="455"/>
      <c r="AX6" s="456"/>
      <c r="AY6" s="469" t="s">
        <v>14</v>
      </c>
      <c r="AZ6" s="469"/>
      <c r="BA6" s="469"/>
      <c r="BB6" s="469"/>
      <c r="BC6" s="127"/>
      <c r="BD6" s="127"/>
      <c r="BE6" s="127"/>
      <c r="BF6" s="127"/>
      <c r="BG6" s="127"/>
      <c r="BH6" s="127"/>
      <c r="BI6" s="468" t="s">
        <v>15</v>
      </c>
      <c r="BJ6" s="468"/>
      <c r="BK6" s="468"/>
      <c r="BL6" s="468"/>
      <c r="BM6" s="468"/>
      <c r="BN6" s="128"/>
      <c r="BO6" s="129"/>
      <c r="BP6" s="129"/>
      <c r="BQ6" s="129"/>
      <c r="BR6" s="460" t="s">
        <v>16</v>
      </c>
      <c r="BS6" s="461"/>
    </row>
    <row r="7" spans="1:71" ht="43.9" customHeight="1" x14ac:dyDescent="0.4">
      <c r="A7" s="443" t="s">
        <v>17</v>
      </c>
      <c r="B7" s="438" t="s">
        <v>18</v>
      </c>
      <c r="C7" s="438" t="s">
        <v>19</v>
      </c>
      <c r="D7" s="438" t="s">
        <v>20</v>
      </c>
      <c r="E7" s="438" t="s">
        <v>21</v>
      </c>
      <c r="F7" s="438" t="s">
        <v>22</v>
      </c>
      <c r="G7" s="438" t="s">
        <v>23</v>
      </c>
      <c r="H7" s="438" t="s">
        <v>24</v>
      </c>
      <c r="I7" s="438" t="s">
        <v>25</v>
      </c>
      <c r="J7" s="438" t="s">
        <v>26</v>
      </c>
      <c r="K7" s="438" t="s">
        <v>27</v>
      </c>
      <c r="L7" s="438" t="s">
        <v>28</v>
      </c>
      <c r="M7" s="438" t="s">
        <v>29</v>
      </c>
      <c r="N7" s="438" t="s">
        <v>30</v>
      </c>
      <c r="O7" s="439" t="s">
        <v>757</v>
      </c>
      <c r="P7" s="439"/>
      <c r="Q7" s="438" t="s">
        <v>32</v>
      </c>
      <c r="R7" s="438" t="s">
        <v>33</v>
      </c>
      <c r="S7" s="438" t="s">
        <v>34</v>
      </c>
      <c r="T7" s="438" t="s">
        <v>35</v>
      </c>
      <c r="U7" s="438" t="s">
        <v>36</v>
      </c>
      <c r="V7" s="438" t="s">
        <v>758</v>
      </c>
      <c r="W7" s="436" t="s">
        <v>759</v>
      </c>
      <c r="X7" s="374" t="s">
        <v>1052</v>
      </c>
      <c r="Y7" s="374" t="s">
        <v>760</v>
      </c>
      <c r="Z7" s="264" t="s">
        <v>40</v>
      </c>
      <c r="AA7" s="264" t="s">
        <v>41</v>
      </c>
      <c r="AB7" s="264" t="s">
        <v>42</v>
      </c>
      <c r="AC7" s="264" t="s">
        <v>43</v>
      </c>
      <c r="AD7" s="438" t="s">
        <v>44</v>
      </c>
      <c r="AE7" s="438" t="s">
        <v>45</v>
      </c>
      <c r="AF7" s="438" t="s">
        <v>46</v>
      </c>
      <c r="AG7" s="440" t="s">
        <v>47</v>
      </c>
      <c r="AH7" s="440" t="s">
        <v>48</v>
      </c>
      <c r="AI7" s="440" t="s">
        <v>49</v>
      </c>
      <c r="AJ7" s="441" t="s">
        <v>50</v>
      </c>
      <c r="AK7" s="441" t="s">
        <v>51</v>
      </c>
      <c r="AL7" s="441" t="s">
        <v>52</v>
      </c>
      <c r="AM7" s="446" t="s">
        <v>1016</v>
      </c>
      <c r="AN7" s="431" t="s">
        <v>1017</v>
      </c>
      <c r="AO7" s="433" t="s">
        <v>1016</v>
      </c>
      <c r="AP7" s="440" t="s">
        <v>53</v>
      </c>
      <c r="AQ7" s="440" t="s">
        <v>54</v>
      </c>
      <c r="AR7" s="440" t="s">
        <v>55</v>
      </c>
      <c r="AS7" s="304" t="s">
        <v>56</v>
      </c>
      <c r="AT7" s="304" t="s">
        <v>57</v>
      </c>
      <c r="AU7" s="445" t="s">
        <v>1054</v>
      </c>
      <c r="AV7" s="304" t="s">
        <v>59</v>
      </c>
      <c r="AW7" s="304" t="s">
        <v>60</v>
      </c>
      <c r="AX7" s="304" t="s">
        <v>61</v>
      </c>
      <c r="AY7" s="304" t="s">
        <v>62</v>
      </c>
      <c r="AZ7" s="304" t="s">
        <v>63</v>
      </c>
      <c r="BA7" s="304" t="s">
        <v>64</v>
      </c>
      <c r="BB7" s="347" t="s">
        <v>65</v>
      </c>
      <c r="BC7" s="270" t="s">
        <v>1062</v>
      </c>
      <c r="BD7" s="270" t="s">
        <v>1069</v>
      </c>
      <c r="BE7" s="470" t="s">
        <v>1034</v>
      </c>
      <c r="BF7" s="470" t="s">
        <v>1066</v>
      </c>
      <c r="BG7" s="470" t="s">
        <v>1036</v>
      </c>
      <c r="BH7" s="470" t="s">
        <v>1037</v>
      </c>
      <c r="BI7" s="462" t="s">
        <v>66</v>
      </c>
      <c r="BJ7" s="464" t="s">
        <v>67</v>
      </c>
      <c r="BK7" s="466" t="s">
        <v>68</v>
      </c>
      <c r="BL7" s="462" t="s">
        <v>69</v>
      </c>
      <c r="BM7" s="439" t="s">
        <v>70</v>
      </c>
      <c r="BN7" s="264" t="s">
        <v>71</v>
      </c>
      <c r="BO7" s="264" t="s">
        <v>761</v>
      </c>
      <c r="BP7" s="264" t="s">
        <v>762</v>
      </c>
      <c r="BQ7" s="241" t="s">
        <v>1020</v>
      </c>
      <c r="BR7" s="264" t="s">
        <v>74</v>
      </c>
      <c r="BS7" s="264" t="s">
        <v>75</v>
      </c>
    </row>
    <row r="8" spans="1:71" ht="84.6" customHeight="1" thickBot="1" x14ac:dyDescent="0.45">
      <c r="A8" s="444"/>
      <c r="B8" s="439"/>
      <c r="C8" s="439"/>
      <c r="D8" s="439"/>
      <c r="E8" s="439"/>
      <c r="F8" s="439"/>
      <c r="G8" s="439"/>
      <c r="H8" s="439"/>
      <c r="I8" s="439"/>
      <c r="J8" s="439"/>
      <c r="K8" s="439"/>
      <c r="L8" s="439"/>
      <c r="M8" s="439"/>
      <c r="N8" s="439"/>
      <c r="O8" s="35" t="s">
        <v>76</v>
      </c>
      <c r="P8" s="35" t="s">
        <v>77</v>
      </c>
      <c r="Q8" s="439"/>
      <c r="R8" s="439"/>
      <c r="S8" s="439"/>
      <c r="T8" s="439"/>
      <c r="U8" s="439"/>
      <c r="V8" s="439"/>
      <c r="W8" s="437"/>
      <c r="X8" s="375"/>
      <c r="Y8" s="375"/>
      <c r="Z8" s="264"/>
      <c r="AA8" s="264"/>
      <c r="AB8" s="264"/>
      <c r="AC8" s="264"/>
      <c r="AD8" s="438"/>
      <c r="AE8" s="438"/>
      <c r="AF8" s="438"/>
      <c r="AG8" s="440"/>
      <c r="AH8" s="440"/>
      <c r="AI8" s="440"/>
      <c r="AJ8" s="442"/>
      <c r="AK8" s="442"/>
      <c r="AL8" s="442"/>
      <c r="AM8" s="447"/>
      <c r="AN8" s="432"/>
      <c r="AO8" s="434"/>
      <c r="AP8" s="440"/>
      <c r="AQ8" s="440"/>
      <c r="AR8" s="440"/>
      <c r="AS8" s="304"/>
      <c r="AT8" s="304"/>
      <c r="AU8" s="445"/>
      <c r="AV8" s="304"/>
      <c r="AW8" s="304"/>
      <c r="AX8" s="304"/>
      <c r="AY8" s="304"/>
      <c r="AZ8" s="304"/>
      <c r="BA8" s="304"/>
      <c r="BB8" s="347"/>
      <c r="BC8" s="270"/>
      <c r="BD8" s="270"/>
      <c r="BE8" s="471"/>
      <c r="BF8" s="471"/>
      <c r="BG8" s="471"/>
      <c r="BH8" s="471"/>
      <c r="BI8" s="463"/>
      <c r="BJ8" s="465"/>
      <c r="BK8" s="467"/>
      <c r="BL8" s="463"/>
      <c r="BM8" s="264"/>
      <c r="BN8" s="264"/>
      <c r="BO8" s="264"/>
      <c r="BP8" s="264"/>
      <c r="BQ8" s="241"/>
      <c r="BR8" s="264"/>
      <c r="BS8" s="264"/>
    </row>
    <row r="9" spans="1:71" ht="409.5" x14ac:dyDescent="0.4">
      <c r="A9" s="246" t="s">
        <v>78</v>
      </c>
      <c r="B9" s="246" t="s">
        <v>161</v>
      </c>
      <c r="C9" s="246" t="s">
        <v>162</v>
      </c>
      <c r="D9" s="246" t="s">
        <v>763</v>
      </c>
      <c r="E9" s="246" t="s">
        <v>764</v>
      </c>
      <c r="F9" s="246" t="s">
        <v>765</v>
      </c>
      <c r="G9" s="246">
        <v>17.02</v>
      </c>
      <c r="H9" s="246" t="s">
        <v>166</v>
      </c>
      <c r="I9" s="246">
        <v>17.02</v>
      </c>
      <c r="J9" s="246" t="s">
        <v>766</v>
      </c>
      <c r="K9" s="246" t="s">
        <v>767</v>
      </c>
      <c r="L9" s="246" t="s">
        <v>768</v>
      </c>
      <c r="M9" s="246" t="s">
        <v>769</v>
      </c>
      <c r="N9" s="246" t="s">
        <v>770</v>
      </c>
      <c r="O9" s="246">
        <v>2</v>
      </c>
      <c r="P9" s="246"/>
      <c r="Q9" s="246" t="s">
        <v>771</v>
      </c>
      <c r="R9" s="246">
        <v>1</v>
      </c>
      <c r="S9" s="246" t="s">
        <v>772</v>
      </c>
      <c r="T9" s="246" t="s">
        <v>773</v>
      </c>
      <c r="U9" s="246" t="s">
        <v>774</v>
      </c>
      <c r="V9" s="246" t="s">
        <v>774</v>
      </c>
      <c r="W9" s="246" t="s">
        <v>774</v>
      </c>
      <c r="X9" s="430">
        <f>93.76%+3.13%</f>
        <v>0.96890000000000009</v>
      </c>
      <c r="Y9" s="430">
        <f>93.76%+3.13%</f>
        <v>0.96890000000000009</v>
      </c>
      <c r="Z9" s="246" t="s">
        <v>91</v>
      </c>
      <c r="AA9" s="246" t="s">
        <v>91</v>
      </c>
      <c r="AB9" s="246" t="s">
        <v>172</v>
      </c>
      <c r="AC9" s="246" t="s">
        <v>173</v>
      </c>
      <c r="AD9" s="256" t="s">
        <v>775</v>
      </c>
      <c r="AE9" s="256" t="s">
        <v>776</v>
      </c>
      <c r="AF9" s="256" t="s">
        <v>777</v>
      </c>
      <c r="AG9" s="44" t="s">
        <v>778</v>
      </c>
      <c r="AH9" s="44" t="s">
        <v>491</v>
      </c>
      <c r="AI9" s="44">
        <v>8</v>
      </c>
      <c r="AJ9" s="44">
        <v>0</v>
      </c>
      <c r="AK9" s="44">
        <v>0</v>
      </c>
      <c r="AL9" s="44">
        <v>0</v>
      </c>
      <c r="AM9" s="44">
        <v>4</v>
      </c>
      <c r="AN9" s="219">
        <f>SUM(AJ9:AM9)</f>
        <v>4</v>
      </c>
      <c r="AO9" s="220">
        <f>+AN9/AI9</f>
        <v>0.5</v>
      </c>
      <c r="AP9" s="130">
        <v>0.81669999999999998</v>
      </c>
      <c r="AQ9" s="46" t="s">
        <v>136</v>
      </c>
      <c r="AR9" s="46" t="s">
        <v>101</v>
      </c>
      <c r="AS9" s="46" t="s">
        <v>137</v>
      </c>
      <c r="AT9" s="46" t="s">
        <v>779</v>
      </c>
      <c r="AU9" s="46" t="s">
        <v>779</v>
      </c>
      <c r="AV9" s="46" t="s">
        <v>181</v>
      </c>
      <c r="AW9" s="46" t="s">
        <v>10</v>
      </c>
      <c r="AX9" s="46" t="s">
        <v>780</v>
      </c>
      <c r="AY9" s="64">
        <v>1782298304</v>
      </c>
      <c r="AZ9" s="46" t="s">
        <v>107</v>
      </c>
      <c r="BA9" s="46" t="s">
        <v>781</v>
      </c>
      <c r="BB9" s="46" t="s">
        <v>782</v>
      </c>
      <c r="BC9" s="131">
        <v>950799903</v>
      </c>
      <c r="BD9" s="131">
        <v>0</v>
      </c>
      <c r="BE9" s="472">
        <v>2182298304</v>
      </c>
      <c r="BF9" s="472">
        <v>1312556273</v>
      </c>
      <c r="BG9" s="472">
        <v>0</v>
      </c>
      <c r="BH9" s="474">
        <v>0</v>
      </c>
      <c r="BI9" s="46" t="s">
        <v>371</v>
      </c>
      <c r="BJ9" s="46" t="s">
        <v>783</v>
      </c>
      <c r="BK9" s="46" t="s">
        <v>784</v>
      </c>
      <c r="BL9" s="44">
        <v>0</v>
      </c>
      <c r="BM9" s="132">
        <v>44927</v>
      </c>
      <c r="BN9" s="46" t="s">
        <v>785</v>
      </c>
      <c r="BO9" s="46"/>
      <c r="BP9" s="46"/>
      <c r="BQ9" s="46" t="s">
        <v>1055</v>
      </c>
      <c r="BR9" s="51" t="s">
        <v>786</v>
      </c>
      <c r="BS9" s="51" t="s">
        <v>786</v>
      </c>
    </row>
    <row r="10" spans="1:71" ht="99.75" customHeight="1" x14ac:dyDescent="0.4">
      <c r="A10" s="246"/>
      <c r="B10" s="246"/>
      <c r="C10" s="246"/>
      <c r="D10" s="246"/>
      <c r="E10" s="246"/>
      <c r="F10" s="246"/>
      <c r="G10" s="246"/>
      <c r="H10" s="246"/>
      <c r="I10" s="246"/>
      <c r="J10" s="246"/>
      <c r="K10" s="246"/>
      <c r="L10" s="246"/>
      <c r="M10" s="246"/>
      <c r="N10" s="246"/>
      <c r="O10" s="246"/>
      <c r="P10" s="246"/>
      <c r="Q10" s="246"/>
      <c r="R10" s="246"/>
      <c r="S10" s="246"/>
      <c r="T10" s="246"/>
      <c r="U10" s="246"/>
      <c r="V10" s="246"/>
      <c r="W10" s="246"/>
      <c r="X10" s="430"/>
      <c r="Y10" s="430"/>
      <c r="Z10" s="246"/>
      <c r="AA10" s="246"/>
      <c r="AB10" s="246"/>
      <c r="AC10" s="246"/>
      <c r="AD10" s="435"/>
      <c r="AE10" s="257"/>
      <c r="AF10" s="257"/>
      <c r="AG10" s="44" t="s">
        <v>787</v>
      </c>
      <c r="AH10" s="44" t="s">
        <v>491</v>
      </c>
      <c r="AI10" s="44">
        <v>8</v>
      </c>
      <c r="AJ10" s="44">
        <v>0</v>
      </c>
      <c r="AK10" s="44">
        <v>8</v>
      </c>
      <c r="AL10" s="44">
        <v>0</v>
      </c>
      <c r="AM10" s="44">
        <v>0</v>
      </c>
      <c r="AN10" s="219">
        <f>SUM(AJ10:AM10)</f>
        <v>8</v>
      </c>
      <c r="AO10" s="220">
        <f t="shared" ref="AO10:AO34" si="0">+AN10/AI10</f>
        <v>1</v>
      </c>
      <c r="AP10" s="130">
        <v>0.18329999999999999</v>
      </c>
      <c r="AQ10" s="46" t="s">
        <v>788</v>
      </c>
      <c r="AR10" s="46" t="s">
        <v>101</v>
      </c>
      <c r="AS10" s="46" t="s">
        <v>789</v>
      </c>
      <c r="AT10" s="46" t="s">
        <v>779</v>
      </c>
      <c r="AU10" s="46" t="s">
        <v>779</v>
      </c>
      <c r="AV10" s="46" t="s">
        <v>181</v>
      </c>
      <c r="AW10" s="46" t="s">
        <v>10</v>
      </c>
      <c r="AX10" s="46" t="s">
        <v>790</v>
      </c>
      <c r="AY10" s="64">
        <v>400000000</v>
      </c>
      <c r="AZ10" s="46" t="s">
        <v>107</v>
      </c>
      <c r="BA10" s="46" t="s">
        <v>781</v>
      </c>
      <c r="BB10" s="46" t="s">
        <v>782</v>
      </c>
      <c r="BC10" s="131">
        <v>361756370</v>
      </c>
      <c r="BD10" s="131">
        <v>0</v>
      </c>
      <c r="BE10" s="473"/>
      <c r="BF10" s="473"/>
      <c r="BG10" s="473"/>
      <c r="BH10" s="475"/>
      <c r="BI10" s="46" t="s">
        <v>371</v>
      </c>
      <c r="BJ10" s="46" t="s">
        <v>791</v>
      </c>
      <c r="BK10" s="46" t="s">
        <v>792</v>
      </c>
      <c r="BL10" s="44">
        <v>0</v>
      </c>
      <c r="BM10" s="132" t="s">
        <v>793</v>
      </c>
      <c r="BN10" s="46"/>
      <c r="BO10" s="46" t="s">
        <v>794</v>
      </c>
      <c r="BP10" s="46"/>
      <c r="BQ10" s="46"/>
      <c r="BR10" s="51" t="s">
        <v>786</v>
      </c>
      <c r="BS10" s="51" t="s">
        <v>786</v>
      </c>
    </row>
    <row r="11" spans="1:71" ht="99.75" customHeight="1" x14ac:dyDescent="0.4">
      <c r="A11" s="246"/>
      <c r="B11" s="246"/>
      <c r="C11" s="246"/>
      <c r="D11" s="246"/>
      <c r="E11" s="246"/>
      <c r="F11" s="246"/>
      <c r="G11" s="246"/>
      <c r="H11" s="246"/>
      <c r="I11" s="246"/>
      <c r="J11" s="246"/>
      <c r="K11" s="246"/>
      <c r="L11" s="246"/>
      <c r="M11" s="246"/>
      <c r="N11" s="246"/>
      <c r="O11" s="246"/>
      <c r="P11" s="246"/>
      <c r="Q11" s="246"/>
      <c r="R11" s="246"/>
      <c r="S11" s="246"/>
      <c r="T11" s="246"/>
      <c r="U11" s="246"/>
      <c r="V11" s="246"/>
      <c r="W11" s="246"/>
      <c r="X11" s="430"/>
      <c r="Y11" s="430"/>
      <c r="Z11" s="246"/>
      <c r="AA11" s="246"/>
      <c r="AB11" s="246"/>
      <c r="AC11" s="246"/>
      <c r="AD11" s="257"/>
      <c r="AE11" s="425" t="s">
        <v>795</v>
      </c>
      <c r="AF11" s="426"/>
      <c r="AG11" s="426"/>
      <c r="AH11" s="426"/>
      <c r="AI11" s="426"/>
      <c r="AJ11" s="426"/>
      <c r="AK11" s="426"/>
      <c r="AL11" s="426"/>
      <c r="AM11" s="426"/>
      <c r="AN11" s="427"/>
      <c r="AO11" s="220">
        <f>AVERAGE(AO9:AO10)</f>
        <v>0.75</v>
      </c>
      <c r="AP11" s="130"/>
      <c r="AQ11" s="46"/>
      <c r="AR11" s="46"/>
      <c r="AS11" s="46"/>
      <c r="AT11" s="46"/>
      <c r="AU11" s="46"/>
      <c r="AV11" s="457" t="s">
        <v>993</v>
      </c>
      <c r="AW11" s="458"/>
      <c r="AX11" s="458"/>
      <c r="AY11" s="458"/>
      <c r="AZ11" s="458"/>
      <c r="BA11" s="458"/>
      <c r="BB11" s="458"/>
      <c r="BC11" s="458"/>
      <c r="BD11" s="459"/>
      <c r="BE11" s="160">
        <f>+BE9</f>
        <v>2182298304</v>
      </c>
      <c r="BF11" s="160">
        <f t="shared" ref="BF11:BH11" si="1">+BF9</f>
        <v>1312556273</v>
      </c>
      <c r="BG11" s="160">
        <f t="shared" si="1"/>
        <v>0</v>
      </c>
      <c r="BH11" s="161">
        <f t="shared" si="1"/>
        <v>0</v>
      </c>
      <c r="BI11" s="46"/>
      <c r="BJ11" s="46"/>
      <c r="BK11" s="46"/>
      <c r="BL11" s="44"/>
      <c r="BM11" s="132"/>
      <c r="BN11" s="46"/>
      <c r="BO11" s="46"/>
      <c r="BP11" s="46"/>
      <c r="BQ11" s="46"/>
      <c r="BR11" s="51"/>
      <c r="BS11" s="51"/>
    </row>
    <row r="12" spans="1:71" ht="409.5" x14ac:dyDescent="0.4">
      <c r="A12" s="246"/>
      <c r="B12" s="246"/>
      <c r="C12" s="246"/>
      <c r="D12" s="246"/>
      <c r="E12" s="246"/>
      <c r="F12" s="246"/>
      <c r="G12" s="246"/>
      <c r="H12" s="246"/>
      <c r="I12" s="246"/>
      <c r="J12" s="246"/>
      <c r="K12" s="246"/>
      <c r="L12" s="246"/>
      <c r="M12" s="246"/>
      <c r="N12" s="246"/>
      <c r="O12" s="246"/>
      <c r="P12" s="246"/>
      <c r="Q12" s="246"/>
      <c r="R12" s="246"/>
      <c r="S12" s="246"/>
      <c r="T12" s="246"/>
      <c r="U12" s="246"/>
      <c r="V12" s="246"/>
      <c r="W12" s="246"/>
      <c r="X12" s="430"/>
      <c r="Y12" s="430"/>
      <c r="Z12" s="246"/>
      <c r="AA12" s="246"/>
      <c r="AB12" s="246"/>
      <c r="AC12" s="246"/>
      <c r="AD12" s="256" t="s">
        <v>796</v>
      </c>
      <c r="AE12" s="243" t="s">
        <v>797</v>
      </c>
      <c r="AF12" s="243" t="s">
        <v>798</v>
      </c>
      <c r="AG12" s="57" t="s">
        <v>799</v>
      </c>
      <c r="AH12" s="44" t="s">
        <v>491</v>
      </c>
      <c r="AI12" s="44">
        <v>1</v>
      </c>
      <c r="AJ12" s="44">
        <v>0</v>
      </c>
      <c r="AK12" s="44">
        <v>0</v>
      </c>
      <c r="AL12" s="44">
        <v>0</v>
      </c>
      <c r="AM12" s="44">
        <v>0</v>
      </c>
      <c r="AN12" s="219">
        <f>SUM(AJ12:AM12)</f>
        <v>0</v>
      </c>
      <c r="AO12" s="220">
        <f t="shared" si="0"/>
        <v>0</v>
      </c>
      <c r="AP12" s="130">
        <v>3.2399999999999998E-2</v>
      </c>
      <c r="AQ12" s="46" t="s">
        <v>136</v>
      </c>
      <c r="AR12" s="46" t="s">
        <v>101</v>
      </c>
      <c r="AS12" s="46" t="s">
        <v>137</v>
      </c>
      <c r="AT12" s="46" t="s">
        <v>779</v>
      </c>
      <c r="AU12" s="46" t="s">
        <v>779</v>
      </c>
      <c r="AV12" s="46" t="s">
        <v>181</v>
      </c>
      <c r="AW12" s="46" t="s">
        <v>10</v>
      </c>
      <c r="AX12" s="46" t="s">
        <v>780</v>
      </c>
      <c r="AY12" s="64">
        <v>50000000</v>
      </c>
      <c r="AZ12" s="46" t="s">
        <v>107</v>
      </c>
      <c r="BA12" s="46" t="s">
        <v>796</v>
      </c>
      <c r="BB12" s="46" t="s">
        <v>800</v>
      </c>
      <c r="BC12" s="131">
        <v>0</v>
      </c>
      <c r="BD12" s="131">
        <v>0</v>
      </c>
      <c r="BE12" s="472">
        <v>1541660874.28</v>
      </c>
      <c r="BF12" s="472">
        <v>452000000</v>
      </c>
      <c r="BG12" s="472">
        <v>10000000</v>
      </c>
      <c r="BH12" s="474">
        <f>+BG12/BE12</f>
        <v>6.4865108577593549E-3</v>
      </c>
      <c r="BI12" s="46" t="s">
        <v>371</v>
      </c>
      <c r="BJ12" s="46" t="s">
        <v>801</v>
      </c>
      <c r="BK12" s="46" t="s">
        <v>230</v>
      </c>
      <c r="BL12" s="44">
        <v>0</v>
      </c>
      <c r="BM12" s="50">
        <v>44927</v>
      </c>
      <c r="BN12" s="51" t="s">
        <v>802</v>
      </c>
      <c r="BO12" s="51"/>
      <c r="BP12" s="51"/>
      <c r="BQ12" s="51"/>
      <c r="BR12" s="51" t="s">
        <v>786</v>
      </c>
      <c r="BS12" s="51" t="s">
        <v>786</v>
      </c>
    </row>
    <row r="13" spans="1:71" ht="409.5" x14ac:dyDescent="0.4">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430"/>
      <c r="Y13" s="430"/>
      <c r="Z13" s="246"/>
      <c r="AA13" s="246"/>
      <c r="AB13" s="246"/>
      <c r="AC13" s="246"/>
      <c r="AD13" s="435"/>
      <c r="AE13" s="243"/>
      <c r="AF13" s="243"/>
      <c r="AG13" s="57" t="s">
        <v>803</v>
      </c>
      <c r="AH13" s="44" t="s">
        <v>491</v>
      </c>
      <c r="AI13" s="44">
        <v>1</v>
      </c>
      <c r="AJ13" s="44">
        <v>0</v>
      </c>
      <c r="AK13" s="44">
        <v>0</v>
      </c>
      <c r="AL13" s="44">
        <v>0</v>
      </c>
      <c r="AM13" s="44">
        <v>0</v>
      </c>
      <c r="AN13" s="219">
        <f>SUM(AJ13:AM13)</f>
        <v>0</v>
      </c>
      <c r="AO13" s="220">
        <f t="shared" si="0"/>
        <v>0</v>
      </c>
      <c r="AP13" s="130">
        <v>1.7399999999999999E-2</v>
      </c>
      <c r="AQ13" s="46" t="s">
        <v>788</v>
      </c>
      <c r="AR13" s="46" t="s">
        <v>101</v>
      </c>
      <c r="AS13" s="46" t="s">
        <v>789</v>
      </c>
      <c r="AT13" s="46" t="s">
        <v>779</v>
      </c>
      <c r="AU13" s="46">
        <v>0</v>
      </c>
      <c r="AV13" s="46" t="s">
        <v>181</v>
      </c>
      <c r="AW13" s="46" t="s">
        <v>10</v>
      </c>
      <c r="AX13" s="46" t="s">
        <v>780</v>
      </c>
      <c r="AY13" s="64">
        <v>26818744.280000001</v>
      </c>
      <c r="AZ13" s="46" t="s">
        <v>107</v>
      </c>
      <c r="BA13" s="46" t="s">
        <v>796</v>
      </c>
      <c r="BB13" s="46" t="s">
        <v>800</v>
      </c>
      <c r="BC13" s="131">
        <v>0</v>
      </c>
      <c r="BD13" s="131">
        <v>0</v>
      </c>
      <c r="BE13" s="476"/>
      <c r="BF13" s="476"/>
      <c r="BG13" s="476"/>
      <c r="BH13" s="477"/>
      <c r="BI13" s="46" t="s">
        <v>371</v>
      </c>
      <c r="BJ13" s="46" t="s">
        <v>803</v>
      </c>
      <c r="BK13" s="46" t="s">
        <v>230</v>
      </c>
      <c r="BL13" s="44">
        <v>0</v>
      </c>
      <c r="BM13" s="50">
        <v>45108</v>
      </c>
      <c r="BN13" s="51"/>
      <c r="BO13" s="51"/>
      <c r="BP13" s="51"/>
      <c r="BQ13" s="51"/>
      <c r="BR13" s="51"/>
      <c r="BS13" s="51"/>
    </row>
    <row r="14" spans="1:71" ht="409.5" x14ac:dyDescent="0.4">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430"/>
      <c r="Y14" s="430"/>
      <c r="Z14" s="246"/>
      <c r="AA14" s="246"/>
      <c r="AB14" s="246"/>
      <c r="AC14" s="246"/>
      <c r="AD14" s="435"/>
      <c r="AE14" s="243"/>
      <c r="AF14" s="243"/>
      <c r="AG14" s="57" t="s">
        <v>804</v>
      </c>
      <c r="AH14" s="44" t="s">
        <v>559</v>
      </c>
      <c r="AI14" s="44">
        <v>1</v>
      </c>
      <c r="AJ14" s="44">
        <v>0</v>
      </c>
      <c r="AK14" s="44">
        <v>0</v>
      </c>
      <c r="AL14" s="44">
        <v>0</v>
      </c>
      <c r="AM14" s="44">
        <v>1</v>
      </c>
      <c r="AN14" s="219">
        <f>SUM(AJ14:AM14)</f>
        <v>1</v>
      </c>
      <c r="AO14" s="220">
        <f t="shared" si="0"/>
        <v>1</v>
      </c>
      <c r="AP14" s="130">
        <v>0.1946</v>
      </c>
      <c r="AQ14" s="46" t="s">
        <v>136</v>
      </c>
      <c r="AR14" s="46" t="s">
        <v>101</v>
      </c>
      <c r="AS14" s="46" t="s">
        <v>137</v>
      </c>
      <c r="AT14" s="46" t="s">
        <v>779</v>
      </c>
      <c r="AU14" s="46">
        <v>0</v>
      </c>
      <c r="AV14" s="46" t="s">
        <v>181</v>
      </c>
      <c r="AW14" s="46" t="s">
        <v>10</v>
      </c>
      <c r="AX14" s="46" t="s">
        <v>780</v>
      </c>
      <c r="AY14" s="64">
        <v>400000000</v>
      </c>
      <c r="AZ14" s="46" t="s">
        <v>107</v>
      </c>
      <c r="BA14" s="46" t="s">
        <v>796</v>
      </c>
      <c r="BB14" s="46" t="s">
        <v>800</v>
      </c>
      <c r="BC14" s="131">
        <v>400000000</v>
      </c>
      <c r="BD14" s="131">
        <v>10000000</v>
      </c>
      <c r="BE14" s="476"/>
      <c r="BF14" s="476"/>
      <c r="BG14" s="476"/>
      <c r="BH14" s="477"/>
      <c r="BI14" s="46" t="s">
        <v>371</v>
      </c>
      <c r="BJ14" s="46" t="s">
        <v>805</v>
      </c>
      <c r="BK14" s="46" t="s">
        <v>338</v>
      </c>
      <c r="BL14" s="44">
        <v>0</v>
      </c>
      <c r="BM14" s="50">
        <v>44927</v>
      </c>
      <c r="BN14" s="51" t="s">
        <v>802</v>
      </c>
      <c r="BO14" s="51"/>
      <c r="BP14" s="52" t="s">
        <v>806</v>
      </c>
      <c r="BQ14" s="52" t="s">
        <v>1056</v>
      </c>
      <c r="BR14" s="51" t="s">
        <v>786</v>
      </c>
      <c r="BS14" s="51" t="s">
        <v>786</v>
      </c>
    </row>
    <row r="15" spans="1:71" ht="409.5" x14ac:dyDescent="0.4">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430"/>
      <c r="Y15" s="430"/>
      <c r="Z15" s="246"/>
      <c r="AA15" s="246"/>
      <c r="AB15" s="246"/>
      <c r="AC15" s="246"/>
      <c r="AD15" s="435"/>
      <c r="AE15" s="243"/>
      <c r="AF15" s="243" t="s">
        <v>807</v>
      </c>
      <c r="AG15" s="57" t="s">
        <v>808</v>
      </c>
      <c r="AH15" s="133" t="s">
        <v>569</v>
      </c>
      <c r="AI15" s="44">
        <v>1</v>
      </c>
      <c r="AJ15" s="44">
        <v>0</v>
      </c>
      <c r="AK15" s="44">
        <v>0</v>
      </c>
      <c r="AL15" s="44">
        <v>0</v>
      </c>
      <c r="AM15" s="44">
        <v>6</v>
      </c>
      <c r="AN15" s="219">
        <f>SUM(AJ15:AM15)</f>
        <v>6</v>
      </c>
      <c r="AO15" s="220">
        <v>1</v>
      </c>
      <c r="AP15" s="130">
        <v>0.1588</v>
      </c>
      <c r="AQ15" s="46" t="s">
        <v>136</v>
      </c>
      <c r="AR15" s="46" t="s">
        <v>101</v>
      </c>
      <c r="AS15" s="46" t="s">
        <v>137</v>
      </c>
      <c r="AT15" s="46" t="s">
        <v>809</v>
      </c>
      <c r="AU15" s="46" t="s">
        <v>809</v>
      </c>
      <c r="AV15" s="46" t="s">
        <v>181</v>
      </c>
      <c r="AW15" s="46" t="s">
        <v>10</v>
      </c>
      <c r="AX15" s="46" t="s">
        <v>790</v>
      </c>
      <c r="AY15" s="64">
        <v>244842130</v>
      </c>
      <c r="AZ15" s="46" t="s">
        <v>107</v>
      </c>
      <c r="BA15" s="46" t="s">
        <v>796</v>
      </c>
      <c r="BB15" s="46" t="s">
        <v>800</v>
      </c>
      <c r="BC15" s="131">
        <v>52000000</v>
      </c>
      <c r="BD15" s="131">
        <v>0</v>
      </c>
      <c r="BE15" s="476"/>
      <c r="BF15" s="476"/>
      <c r="BG15" s="476"/>
      <c r="BH15" s="477"/>
      <c r="BI15" s="46" t="s">
        <v>371</v>
      </c>
      <c r="BJ15" s="46" t="s">
        <v>810</v>
      </c>
      <c r="BK15" s="46" t="s">
        <v>91</v>
      </c>
      <c r="BL15" s="46" t="s">
        <v>91</v>
      </c>
      <c r="BM15" s="55" t="s">
        <v>91</v>
      </c>
      <c r="BN15" s="51" t="s">
        <v>802</v>
      </c>
      <c r="BO15" s="51"/>
      <c r="BP15" s="52" t="s">
        <v>811</v>
      </c>
      <c r="BQ15" s="52" t="s">
        <v>1057</v>
      </c>
      <c r="BR15" s="51" t="s">
        <v>786</v>
      </c>
      <c r="BS15" s="51" t="s">
        <v>786</v>
      </c>
    </row>
    <row r="16" spans="1:71" ht="409.5" x14ac:dyDescent="0.4">
      <c r="A16" s="246"/>
      <c r="B16" s="246"/>
      <c r="C16" s="246"/>
      <c r="D16" s="246"/>
      <c r="E16" s="246"/>
      <c r="F16" s="246"/>
      <c r="G16" s="246"/>
      <c r="H16" s="246"/>
      <c r="I16" s="246"/>
      <c r="J16" s="246"/>
      <c r="K16" s="246"/>
      <c r="L16" s="246"/>
      <c r="M16" s="246"/>
      <c r="N16" s="246"/>
      <c r="O16" s="246"/>
      <c r="P16" s="246"/>
      <c r="Q16" s="246"/>
      <c r="R16" s="246"/>
      <c r="S16" s="246"/>
      <c r="T16" s="246"/>
      <c r="U16" s="246"/>
      <c r="V16" s="246"/>
      <c r="W16" s="246"/>
      <c r="X16" s="430"/>
      <c r="Y16" s="430"/>
      <c r="Z16" s="246"/>
      <c r="AA16" s="246"/>
      <c r="AB16" s="246"/>
      <c r="AC16" s="246"/>
      <c r="AD16" s="435"/>
      <c r="AE16" s="243"/>
      <c r="AF16" s="243"/>
      <c r="AG16" s="57" t="s">
        <v>812</v>
      </c>
      <c r="AH16" s="44" t="s">
        <v>335</v>
      </c>
      <c r="AI16" s="44">
        <v>50</v>
      </c>
      <c r="AJ16" s="44">
        <v>0</v>
      </c>
      <c r="AK16" s="44">
        <v>0</v>
      </c>
      <c r="AL16" s="44">
        <v>0</v>
      </c>
      <c r="AM16" s="44">
        <v>0</v>
      </c>
      <c r="AN16" s="219">
        <f>SUM(AJ16:AM16)</f>
        <v>0</v>
      </c>
      <c r="AO16" s="220">
        <f t="shared" si="0"/>
        <v>0</v>
      </c>
      <c r="AP16" s="130">
        <v>0.5968</v>
      </c>
      <c r="AQ16" s="46" t="s">
        <v>136</v>
      </c>
      <c r="AR16" s="46" t="s">
        <v>101</v>
      </c>
      <c r="AS16" s="46" t="s">
        <v>137</v>
      </c>
      <c r="AT16" s="46" t="s">
        <v>779</v>
      </c>
      <c r="AU16" s="46" t="s">
        <v>779</v>
      </c>
      <c r="AV16" s="46" t="s">
        <v>181</v>
      </c>
      <c r="AW16" s="46" t="s">
        <v>10</v>
      </c>
      <c r="AX16" s="46" t="s">
        <v>813</v>
      </c>
      <c r="AY16" s="64">
        <v>820000000</v>
      </c>
      <c r="AZ16" s="46" t="s">
        <v>107</v>
      </c>
      <c r="BA16" s="46" t="s">
        <v>796</v>
      </c>
      <c r="BB16" s="46" t="s">
        <v>800</v>
      </c>
      <c r="BC16" s="131">
        <v>0</v>
      </c>
      <c r="BD16" s="131">
        <v>0</v>
      </c>
      <c r="BE16" s="473"/>
      <c r="BF16" s="473"/>
      <c r="BG16" s="473"/>
      <c r="BH16" s="475"/>
      <c r="BI16" s="46" t="s">
        <v>371</v>
      </c>
      <c r="BJ16" s="46" t="s">
        <v>814</v>
      </c>
      <c r="BK16" s="46" t="s">
        <v>792</v>
      </c>
      <c r="BL16" s="44">
        <v>0</v>
      </c>
      <c r="BM16" s="50">
        <v>44927</v>
      </c>
      <c r="BN16" s="51" t="s">
        <v>802</v>
      </c>
      <c r="BO16" s="51"/>
      <c r="BP16" s="51"/>
      <c r="BQ16" s="51"/>
      <c r="BR16" s="51" t="s">
        <v>786</v>
      </c>
      <c r="BS16" s="51" t="s">
        <v>786</v>
      </c>
    </row>
    <row r="17" spans="1:71" ht="71.25" customHeight="1" x14ac:dyDescent="0.4">
      <c r="A17" s="246"/>
      <c r="B17" s="246"/>
      <c r="C17" s="246"/>
      <c r="D17" s="246"/>
      <c r="E17" s="246"/>
      <c r="F17" s="246"/>
      <c r="G17" s="246"/>
      <c r="H17" s="246"/>
      <c r="I17" s="246"/>
      <c r="J17" s="246"/>
      <c r="K17" s="246"/>
      <c r="L17" s="246"/>
      <c r="M17" s="246"/>
      <c r="N17" s="246"/>
      <c r="O17" s="246"/>
      <c r="P17" s="246"/>
      <c r="Q17" s="246"/>
      <c r="R17" s="246"/>
      <c r="S17" s="246"/>
      <c r="T17" s="246"/>
      <c r="U17" s="246"/>
      <c r="V17" s="246"/>
      <c r="W17" s="246"/>
      <c r="X17" s="430"/>
      <c r="Y17" s="430"/>
      <c r="Z17" s="246"/>
      <c r="AA17" s="246"/>
      <c r="AB17" s="246"/>
      <c r="AC17" s="246"/>
      <c r="AD17" s="257"/>
      <c r="AE17" s="425" t="s">
        <v>815</v>
      </c>
      <c r="AF17" s="426"/>
      <c r="AG17" s="426"/>
      <c r="AH17" s="426"/>
      <c r="AI17" s="426"/>
      <c r="AJ17" s="426"/>
      <c r="AK17" s="426"/>
      <c r="AL17" s="426"/>
      <c r="AM17" s="426"/>
      <c r="AN17" s="427"/>
      <c r="AO17" s="220">
        <f>AVERAGE(AO12:AO16)</f>
        <v>0.4</v>
      </c>
      <c r="AP17" s="130"/>
      <c r="AQ17" s="46"/>
      <c r="AR17" s="46"/>
      <c r="AS17" s="46"/>
      <c r="AT17" s="46"/>
      <c r="AU17" s="46"/>
      <c r="AV17" s="229" t="s">
        <v>994</v>
      </c>
      <c r="AW17" s="230"/>
      <c r="AX17" s="230"/>
      <c r="AY17" s="230"/>
      <c r="AZ17" s="230"/>
      <c r="BA17" s="230"/>
      <c r="BB17" s="230"/>
      <c r="BC17" s="230"/>
      <c r="BD17" s="231"/>
      <c r="BE17" s="162">
        <f>+BE12</f>
        <v>1541660874.28</v>
      </c>
      <c r="BF17" s="162">
        <f t="shared" ref="BF17:BH17" si="2">+BF12</f>
        <v>452000000</v>
      </c>
      <c r="BG17" s="162">
        <f t="shared" si="2"/>
        <v>10000000</v>
      </c>
      <c r="BH17" s="163">
        <f t="shared" si="2"/>
        <v>6.4865108577593549E-3</v>
      </c>
      <c r="BI17" s="46"/>
      <c r="BJ17" s="46"/>
      <c r="BK17" s="46"/>
      <c r="BL17" s="37"/>
      <c r="BM17" s="132"/>
      <c r="BN17" s="51"/>
      <c r="BO17" s="51"/>
      <c r="BP17" s="51"/>
      <c r="BQ17" s="51"/>
      <c r="BR17" s="51"/>
      <c r="BS17" s="51"/>
    </row>
    <row r="18" spans="1:71" ht="409.5" x14ac:dyDescent="0.4">
      <c r="A18" s="246"/>
      <c r="B18" s="246"/>
      <c r="C18" s="246"/>
      <c r="D18" s="246"/>
      <c r="E18" s="246"/>
      <c r="F18" s="246"/>
      <c r="G18" s="246"/>
      <c r="H18" s="246"/>
      <c r="I18" s="246"/>
      <c r="J18" s="246"/>
      <c r="K18" s="246"/>
      <c r="L18" s="246"/>
      <c r="M18" s="246"/>
      <c r="N18" s="246"/>
      <c r="O18" s="246"/>
      <c r="P18" s="246"/>
      <c r="Q18" s="246"/>
      <c r="R18" s="246"/>
      <c r="S18" s="246"/>
      <c r="T18" s="246"/>
      <c r="U18" s="246"/>
      <c r="V18" s="246"/>
      <c r="W18" s="246"/>
      <c r="X18" s="430"/>
      <c r="Y18" s="430"/>
      <c r="Z18" s="246"/>
      <c r="AA18" s="246"/>
      <c r="AB18" s="246"/>
      <c r="AC18" s="246"/>
      <c r="AD18" s="256" t="s">
        <v>816</v>
      </c>
      <c r="AE18" s="243" t="s">
        <v>817</v>
      </c>
      <c r="AF18" s="448" t="s">
        <v>818</v>
      </c>
      <c r="AG18" s="68" t="s">
        <v>819</v>
      </c>
      <c r="AH18" s="44" t="s">
        <v>335</v>
      </c>
      <c r="AI18" s="44">
        <v>1</v>
      </c>
      <c r="AJ18" s="44">
        <v>0</v>
      </c>
      <c r="AK18" s="44">
        <v>0</v>
      </c>
      <c r="AL18" s="44">
        <v>1</v>
      </c>
      <c r="AM18" s="44">
        <v>0</v>
      </c>
      <c r="AN18" s="219">
        <f>SUM(AJ18:AM18)</f>
        <v>1</v>
      </c>
      <c r="AO18" s="220">
        <f t="shared" si="0"/>
        <v>1</v>
      </c>
      <c r="AP18" s="130">
        <v>0.69840000000000002</v>
      </c>
      <c r="AQ18" s="46" t="s">
        <v>788</v>
      </c>
      <c r="AR18" s="46" t="s">
        <v>101</v>
      </c>
      <c r="AS18" s="46" t="s">
        <v>789</v>
      </c>
      <c r="AT18" s="46" t="s">
        <v>820</v>
      </c>
      <c r="AU18" s="46" t="s">
        <v>820</v>
      </c>
      <c r="AV18" s="46" t="s">
        <v>181</v>
      </c>
      <c r="AW18" s="46" t="s">
        <v>10</v>
      </c>
      <c r="AX18" s="46" t="s">
        <v>821</v>
      </c>
      <c r="AY18" s="64">
        <v>2737156643</v>
      </c>
      <c r="AZ18" s="46" t="s">
        <v>107</v>
      </c>
      <c r="BA18" s="46" t="s">
        <v>822</v>
      </c>
      <c r="BB18" s="46" t="s">
        <v>823</v>
      </c>
      <c r="BC18" s="131">
        <v>1139306000</v>
      </c>
      <c r="BD18" s="131">
        <v>0</v>
      </c>
      <c r="BE18" s="472">
        <v>1723159626.0799999</v>
      </c>
      <c r="BF18" s="472">
        <v>1325358400</v>
      </c>
      <c r="BG18" s="472">
        <v>0</v>
      </c>
      <c r="BH18" s="474">
        <f>+BG18/BE18</f>
        <v>0</v>
      </c>
      <c r="BI18" s="46" t="s">
        <v>371</v>
      </c>
      <c r="BJ18" s="46" t="s">
        <v>824</v>
      </c>
      <c r="BK18" s="46" t="s">
        <v>792</v>
      </c>
      <c r="BL18" s="37">
        <v>0</v>
      </c>
      <c r="BM18" s="132">
        <v>44927</v>
      </c>
      <c r="BN18" s="51" t="s">
        <v>802</v>
      </c>
      <c r="BO18" s="46" t="s">
        <v>825</v>
      </c>
      <c r="BP18" s="46" t="s">
        <v>826</v>
      </c>
      <c r="BQ18" s="46"/>
      <c r="BR18" s="51" t="s">
        <v>786</v>
      </c>
      <c r="BS18" s="51" t="s">
        <v>786</v>
      </c>
    </row>
    <row r="19" spans="1:71" ht="409.5" x14ac:dyDescent="0.4">
      <c r="A19" s="246"/>
      <c r="B19" s="246"/>
      <c r="C19" s="246"/>
      <c r="D19" s="246"/>
      <c r="E19" s="246"/>
      <c r="F19" s="246"/>
      <c r="G19" s="246"/>
      <c r="H19" s="246"/>
      <c r="I19" s="246"/>
      <c r="J19" s="246"/>
      <c r="K19" s="246"/>
      <c r="L19" s="246"/>
      <c r="M19" s="246"/>
      <c r="N19" s="246"/>
      <c r="O19" s="246"/>
      <c r="P19" s="246"/>
      <c r="Q19" s="246"/>
      <c r="R19" s="246"/>
      <c r="S19" s="246"/>
      <c r="T19" s="246"/>
      <c r="U19" s="246"/>
      <c r="V19" s="246"/>
      <c r="W19" s="246"/>
      <c r="X19" s="430"/>
      <c r="Y19" s="430"/>
      <c r="Z19" s="246"/>
      <c r="AA19" s="246"/>
      <c r="AB19" s="246"/>
      <c r="AC19" s="246"/>
      <c r="AD19" s="435"/>
      <c r="AE19" s="243"/>
      <c r="AF19" s="449"/>
      <c r="AG19" s="68" t="s">
        <v>827</v>
      </c>
      <c r="AH19" s="44" t="s">
        <v>335</v>
      </c>
      <c r="AI19" s="44">
        <v>1</v>
      </c>
      <c r="AJ19" s="44">
        <v>0</v>
      </c>
      <c r="AK19" s="44">
        <v>9</v>
      </c>
      <c r="AL19" s="44">
        <v>7</v>
      </c>
      <c r="AM19" s="44">
        <v>0</v>
      </c>
      <c r="AN19" s="219">
        <f>SUM(AJ19:AM19)</f>
        <v>16</v>
      </c>
      <c r="AO19" s="220">
        <v>1</v>
      </c>
      <c r="AP19" s="130">
        <v>3.27E-2</v>
      </c>
      <c r="AQ19" s="46" t="s">
        <v>788</v>
      </c>
      <c r="AR19" s="46" t="s">
        <v>101</v>
      </c>
      <c r="AS19" s="46" t="s">
        <v>789</v>
      </c>
      <c r="AT19" s="46" t="s">
        <v>820</v>
      </c>
      <c r="AU19" s="46" t="s">
        <v>820</v>
      </c>
      <c r="AV19" s="46" t="s">
        <v>181</v>
      </c>
      <c r="AW19" s="46" t="s">
        <v>10</v>
      </c>
      <c r="AX19" s="46" t="s">
        <v>828</v>
      </c>
      <c r="AY19" s="64">
        <v>128000000</v>
      </c>
      <c r="AZ19" s="46" t="s">
        <v>107</v>
      </c>
      <c r="BA19" s="46" t="s">
        <v>822</v>
      </c>
      <c r="BB19" s="46" t="s">
        <v>823</v>
      </c>
      <c r="BC19" s="131">
        <v>0</v>
      </c>
      <c r="BD19" s="131">
        <v>0</v>
      </c>
      <c r="BE19" s="476"/>
      <c r="BF19" s="476"/>
      <c r="BG19" s="476"/>
      <c r="BH19" s="477"/>
      <c r="BI19" s="46"/>
      <c r="BJ19" s="46"/>
      <c r="BK19" s="46"/>
      <c r="BL19" s="37"/>
      <c r="BM19" s="132"/>
      <c r="BN19" s="51"/>
      <c r="BO19" s="46" t="s">
        <v>829</v>
      </c>
      <c r="BP19" s="46" t="s">
        <v>830</v>
      </c>
      <c r="BQ19" s="46" t="s">
        <v>1058</v>
      </c>
      <c r="BR19" s="51"/>
      <c r="BS19" s="51"/>
    </row>
    <row r="20" spans="1:71" ht="409.5" x14ac:dyDescent="0.4">
      <c r="A20" s="246"/>
      <c r="B20" s="246"/>
      <c r="C20" s="246"/>
      <c r="D20" s="246"/>
      <c r="E20" s="246"/>
      <c r="F20" s="246"/>
      <c r="G20" s="246"/>
      <c r="H20" s="246"/>
      <c r="I20" s="246"/>
      <c r="J20" s="246"/>
      <c r="K20" s="246"/>
      <c r="L20" s="246"/>
      <c r="M20" s="246"/>
      <c r="N20" s="246"/>
      <c r="O20" s="246"/>
      <c r="P20" s="246"/>
      <c r="Q20" s="246"/>
      <c r="R20" s="246"/>
      <c r="S20" s="246"/>
      <c r="T20" s="246"/>
      <c r="U20" s="246"/>
      <c r="V20" s="246"/>
      <c r="W20" s="246"/>
      <c r="X20" s="430"/>
      <c r="Y20" s="430"/>
      <c r="Z20" s="246"/>
      <c r="AA20" s="246"/>
      <c r="AB20" s="246"/>
      <c r="AC20" s="246"/>
      <c r="AD20" s="435"/>
      <c r="AE20" s="243"/>
      <c r="AF20" s="449"/>
      <c r="AG20" s="68" t="s">
        <v>831</v>
      </c>
      <c r="AH20" s="44" t="s">
        <v>491</v>
      </c>
      <c r="AI20" s="44">
        <v>30</v>
      </c>
      <c r="AJ20" s="44">
        <v>0</v>
      </c>
      <c r="AK20" s="44">
        <v>0</v>
      </c>
      <c r="AL20" s="44">
        <v>14</v>
      </c>
      <c r="AM20" s="44">
        <v>8</v>
      </c>
      <c r="AN20" s="219">
        <f>SUM(AJ20:AM20)</f>
        <v>22</v>
      </c>
      <c r="AO20" s="220">
        <f t="shared" si="0"/>
        <v>0.73333333333333328</v>
      </c>
      <c r="AP20" s="130">
        <v>6.2600000000000003E-2</v>
      </c>
      <c r="AQ20" s="46" t="s">
        <v>136</v>
      </c>
      <c r="AR20" s="46" t="s">
        <v>101</v>
      </c>
      <c r="AS20" s="46" t="s">
        <v>137</v>
      </c>
      <c r="AT20" s="46" t="s">
        <v>820</v>
      </c>
      <c r="AU20" s="46">
        <v>0</v>
      </c>
      <c r="AV20" s="46" t="s">
        <v>181</v>
      </c>
      <c r="AW20" s="46" t="s">
        <v>10</v>
      </c>
      <c r="AX20" s="46" t="s">
        <v>780</v>
      </c>
      <c r="AY20" s="64">
        <v>245159626.08000001</v>
      </c>
      <c r="AZ20" s="46" t="s">
        <v>107</v>
      </c>
      <c r="BA20" s="46" t="s">
        <v>822</v>
      </c>
      <c r="BB20" s="46" t="s">
        <v>823</v>
      </c>
      <c r="BC20" s="217">
        <v>117052400</v>
      </c>
      <c r="BD20" s="131">
        <v>0</v>
      </c>
      <c r="BE20" s="476"/>
      <c r="BF20" s="476"/>
      <c r="BG20" s="476"/>
      <c r="BH20" s="477"/>
      <c r="BI20" s="46" t="s">
        <v>371</v>
      </c>
      <c r="BJ20" s="46" t="s">
        <v>832</v>
      </c>
      <c r="BK20" s="46" t="s">
        <v>833</v>
      </c>
      <c r="BL20" s="44">
        <v>0</v>
      </c>
      <c r="BM20" s="50">
        <v>44927</v>
      </c>
      <c r="BN20" s="51" t="s">
        <v>802</v>
      </c>
      <c r="BO20" s="51"/>
      <c r="BP20" s="46" t="s">
        <v>834</v>
      </c>
      <c r="BQ20" s="46" t="s">
        <v>1059</v>
      </c>
      <c r="BR20" s="51" t="s">
        <v>786</v>
      </c>
      <c r="BS20" s="51" t="s">
        <v>786</v>
      </c>
    </row>
    <row r="21" spans="1:71" ht="409.5" x14ac:dyDescent="0.4">
      <c r="A21" s="246"/>
      <c r="B21" s="246"/>
      <c r="C21" s="246"/>
      <c r="D21" s="246"/>
      <c r="E21" s="246"/>
      <c r="F21" s="246"/>
      <c r="G21" s="246"/>
      <c r="H21" s="246"/>
      <c r="I21" s="246"/>
      <c r="J21" s="246"/>
      <c r="K21" s="246"/>
      <c r="L21" s="246"/>
      <c r="M21" s="246"/>
      <c r="N21" s="246"/>
      <c r="O21" s="246"/>
      <c r="P21" s="246"/>
      <c r="Q21" s="246"/>
      <c r="R21" s="246"/>
      <c r="S21" s="246"/>
      <c r="T21" s="246"/>
      <c r="U21" s="246"/>
      <c r="V21" s="246"/>
      <c r="W21" s="246"/>
      <c r="X21" s="430"/>
      <c r="Y21" s="430"/>
      <c r="Z21" s="246"/>
      <c r="AA21" s="246"/>
      <c r="AB21" s="246"/>
      <c r="AC21" s="246"/>
      <c r="AD21" s="435"/>
      <c r="AE21" s="243"/>
      <c r="AF21" s="450"/>
      <c r="AG21" s="68" t="s">
        <v>835</v>
      </c>
      <c r="AH21" s="44" t="s">
        <v>836</v>
      </c>
      <c r="AI21" s="44">
        <v>1</v>
      </c>
      <c r="AJ21" s="44">
        <v>0</v>
      </c>
      <c r="AK21" s="44">
        <v>0</v>
      </c>
      <c r="AL21" s="44">
        <v>0</v>
      </c>
      <c r="AM21" s="44">
        <v>0</v>
      </c>
      <c r="AN21" s="219">
        <f>SUM(AJ21:AM21)</f>
        <v>0</v>
      </c>
      <c r="AO21" s="220">
        <f t="shared" si="0"/>
        <v>0</v>
      </c>
      <c r="AP21" s="130">
        <v>0.2064</v>
      </c>
      <c r="AQ21" s="46" t="s">
        <v>136</v>
      </c>
      <c r="AR21" s="46" t="s">
        <v>101</v>
      </c>
      <c r="AS21" s="46" t="s">
        <v>137</v>
      </c>
      <c r="AT21" s="46" t="s">
        <v>820</v>
      </c>
      <c r="AU21" s="46">
        <v>0</v>
      </c>
      <c r="AV21" s="46" t="s">
        <v>181</v>
      </c>
      <c r="AW21" s="46" t="s">
        <v>10</v>
      </c>
      <c r="AX21" s="46" t="s">
        <v>780</v>
      </c>
      <c r="AY21" s="64">
        <v>808983792</v>
      </c>
      <c r="AZ21" s="46" t="s">
        <v>107</v>
      </c>
      <c r="BA21" s="46" t="s">
        <v>822</v>
      </c>
      <c r="BB21" s="46" t="s">
        <v>823</v>
      </c>
      <c r="BC21" s="131">
        <v>0</v>
      </c>
      <c r="BD21" s="131">
        <v>0</v>
      </c>
      <c r="BE21" s="473"/>
      <c r="BF21" s="473"/>
      <c r="BG21" s="473"/>
      <c r="BH21" s="475"/>
      <c r="BI21" s="46" t="s">
        <v>371</v>
      </c>
      <c r="BJ21" s="46" t="s">
        <v>837</v>
      </c>
      <c r="BK21" s="46" t="s">
        <v>792</v>
      </c>
      <c r="BL21" s="44">
        <v>0</v>
      </c>
      <c r="BM21" s="50">
        <v>44927</v>
      </c>
      <c r="BN21" s="51" t="s">
        <v>802</v>
      </c>
      <c r="BO21" s="51"/>
      <c r="BP21" s="51"/>
      <c r="BQ21" s="68" t="s">
        <v>1058</v>
      </c>
      <c r="BR21" s="51" t="s">
        <v>786</v>
      </c>
      <c r="BS21" s="51" t="s">
        <v>786</v>
      </c>
    </row>
    <row r="22" spans="1:71" ht="96" customHeight="1" x14ac:dyDescent="0.4">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430"/>
      <c r="Y22" s="430"/>
      <c r="Z22" s="246"/>
      <c r="AA22" s="246"/>
      <c r="AB22" s="246"/>
      <c r="AC22" s="246"/>
      <c r="AD22" s="257"/>
      <c r="AE22" s="425" t="s">
        <v>838</v>
      </c>
      <c r="AF22" s="426"/>
      <c r="AG22" s="426"/>
      <c r="AH22" s="426"/>
      <c r="AI22" s="426"/>
      <c r="AJ22" s="426"/>
      <c r="AK22" s="426"/>
      <c r="AL22" s="426"/>
      <c r="AM22" s="426"/>
      <c r="AN22" s="427"/>
      <c r="AO22" s="220">
        <f>AVERAGE(AO18:AO21)</f>
        <v>0.68333333333333335</v>
      </c>
      <c r="AP22" s="130"/>
      <c r="AQ22" s="46"/>
      <c r="AR22" s="46"/>
      <c r="AS22" s="43"/>
      <c r="AT22" s="55"/>
      <c r="AU22" s="55"/>
      <c r="AV22" s="425" t="s">
        <v>995</v>
      </c>
      <c r="AW22" s="426"/>
      <c r="AX22" s="426"/>
      <c r="AY22" s="426"/>
      <c r="AZ22" s="426"/>
      <c r="BA22" s="426"/>
      <c r="BB22" s="426"/>
      <c r="BC22" s="426"/>
      <c r="BD22" s="427"/>
      <c r="BE22" s="162">
        <f>+BE18</f>
        <v>1723159626.0799999</v>
      </c>
      <c r="BF22" s="162">
        <f t="shared" ref="BF22:BG22" si="3">+BF18</f>
        <v>1325358400</v>
      </c>
      <c r="BG22" s="162">
        <f t="shared" si="3"/>
        <v>0</v>
      </c>
      <c r="BH22" s="163">
        <f>+BH18</f>
        <v>0</v>
      </c>
      <c r="BI22" s="46"/>
      <c r="BJ22" s="46"/>
      <c r="BK22" s="46"/>
      <c r="BL22" s="44"/>
      <c r="BM22" s="50"/>
      <c r="BN22" s="51"/>
      <c r="BO22" s="51"/>
      <c r="BP22" s="51"/>
      <c r="BQ22" s="51"/>
      <c r="BR22" s="51"/>
      <c r="BS22" s="51"/>
    </row>
    <row r="23" spans="1:71" ht="409.5" x14ac:dyDescent="0.4">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430"/>
      <c r="Y23" s="430"/>
      <c r="Z23" s="246"/>
      <c r="AA23" s="246"/>
      <c r="AB23" s="246"/>
      <c r="AC23" s="246"/>
      <c r="AD23" s="256" t="s">
        <v>839</v>
      </c>
      <c r="AE23" s="380" t="s">
        <v>840</v>
      </c>
      <c r="AF23" s="68" t="s">
        <v>841</v>
      </c>
      <c r="AG23" s="44" t="s">
        <v>842</v>
      </c>
      <c r="AH23" s="44" t="s">
        <v>843</v>
      </c>
      <c r="AI23" s="44">
        <v>1</v>
      </c>
      <c r="AJ23" s="44">
        <v>1</v>
      </c>
      <c r="AK23" s="44">
        <v>0</v>
      </c>
      <c r="AL23" s="44">
        <v>0</v>
      </c>
      <c r="AM23" s="44">
        <v>0</v>
      </c>
      <c r="AN23" s="219">
        <f>SUM(AJ23:AM23)</f>
        <v>1</v>
      </c>
      <c r="AO23" s="220">
        <f t="shared" si="0"/>
        <v>1</v>
      </c>
      <c r="AP23" s="130">
        <v>0.9</v>
      </c>
      <c r="AQ23" s="46" t="s">
        <v>136</v>
      </c>
      <c r="AR23" s="46" t="s">
        <v>101</v>
      </c>
      <c r="AS23" s="43" t="s">
        <v>137</v>
      </c>
      <c r="AT23" s="55" t="s">
        <v>844</v>
      </c>
      <c r="AU23" s="55" t="s">
        <v>844</v>
      </c>
      <c r="AV23" s="43" t="s">
        <v>181</v>
      </c>
      <c r="AW23" s="46" t="s">
        <v>10</v>
      </c>
      <c r="AX23" s="46" t="s">
        <v>790</v>
      </c>
      <c r="AY23" s="64">
        <v>4824744984.0200005</v>
      </c>
      <c r="AZ23" s="46" t="s">
        <v>107</v>
      </c>
      <c r="BA23" s="46" t="s">
        <v>845</v>
      </c>
      <c r="BB23" s="46" t="s">
        <v>846</v>
      </c>
      <c r="BC23" s="218">
        <v>2614416573</v>
      </c>
      <c r="BD23" s="64">
        <v>1910609541.5</v>
      </c>
      <c r="BE23" s="472">
        <v>5360827760.0200005</v>
      </c>
      <c r="BF23" s="472">
        <v>2931760332</v>
      </c>
      <c r="BG23" s="472">
        <v>2900025956</v>
      </c>
      <c r="BH23" s="474">
        <f>+BG23/BE23</f>
        <v>0.54096607572954003</v>
      </c>
      <c r="BI23" s="46" t="s">
        <v>371</v>
      </c>
      <c r="BJ23" s="46" t="s">
        <v>847</v>
      </c>
      <c r="BK23" s="46" t="s">
        <v>848</v>
      </c>
      <c r="BL23" s="44">
        <v>0</v>
      </c>
      <c r="BM23" s="50">
        <v>44927</v>
      </c>
      <c r="BN23" s="46" t="s">
        <v>849</v>
      </c>
      <c r="BO23" s="46" t="s">
        <v>850</v>
      </c>
      <c r="BP23" s="46" t="s">
        <v>851</v>
      </c>
      <c r="BQ23" s="46" t="s">
        <v>1060</v>
      </c>
      <c r="BR23" s="51" t="s">
        <v>786</v>
      </c>
      <c r="BS23" s="51" t="s">
        <v>786</v>
      </c>
    </row>
    <row r="24" spans="1:71" ht="409.5" x14ac:dyDescent="0.4">
      <c r="A24" s="246"/>
      <c r="B24" s="246"/>
      <c r="C24" s="246"/>
      <c r="D24" s="246"/>
      <c r="E24" s="246"/>
      <c r="F24" s="246"/>
      <c r="G24" s="246"/>
      <c r="H24" s="246"/>
      <c r="I24" s="246"/>
      <c r="J24" s="246"/>
      <c r="K24" s="246"/>
      <c r="L24" s="246"/>
      <c r="M24" s="246"/>
      <c r="N24" s="246"/>
      <c r="O24" s="246"/>
      <c r="P24" s="246"/>
      <c r="Q24" s="246"/>
      <c r="R24" s="246"/>
      <c r="S24" s="246"/>
      <c r="T24" s="246"/>
      <c r="U24" s="246"/>
      <c r="V24" s="246"/>
      <c r="W24" s="246"/>
      <c r="X24" s="430"/>
      <c r="Y24" s="430"/>
      <c r="Z24" s="246"/>
      <c r="AA24" s="246"/>
      <c r="AB24" s="246"/>
      <c r="AC24" s="246"/>
      <c r="AD24" s="435"/>
      <c r="AE24" s="380"/>
      <c r="AF24" s="68" t="s">
        <v>852</v>
      </c>
      <c r="AG24" s="44" t="s">
        <v>853</v>
      </c>
      <c r="AH24" s="44" t="s">
        <v>854</v>
      </c>
      <c r="AI24" s="44">
        <v>1</v>
      </c>
      <c r="AJ24" s="44">
        <v>1</v>
      </c>
      <c r="AK24" s="44">
        <v>0</v>
      </c>
      <c r="AL24" s="44">
        <v>0</v>
      </c>
      <c r="AM24" s="44">
        <v>0</v>
      </c>
      <c r="AN24" s="219">
        <f>SUM(AJ24:AM24)</f>
        <v>1</v>
      </c>
      <c r="AO24" s="220">
        <f t="shared" si="0"/>
        <v>1</v>
      </c>
      <c r="AP24" s="130">
        <v>0.1</v>
      </c>
      <c r="AQ24" s="46" t="s">
        <v>136</v>
      </c>
      <c r="AR24" s="46" t="s">
        <v>101</v>
      </c>
      <c r="AS24" s="46" t="s">
        <v>137</v>
      </c>
      <c r="AT24" s="46" t="s">
        <v>844</v>
      </c>
      <c r="AU24" s="46" t="s">
        <v>844</v>
      </c>
      <c r="AV24" s="46" t="s">
        <v>181</v>
      </c>
      <c r="AW24" s="46" t="s">
        <v>10</v>
      </c>
      <c r="AX24" s="46" t="s">
        <v>790</v>
      </c>
      <c r="AY24" s="64">
        <v>536082776</v>
      </c>
      <c r="AZ24" s="46" t="s">
        <v>107</v>
      </c>
      <c r="BA24" s="46" t="s">
        <v>845</v>
      </c>
      <c r="BB24" s="46" t="s">
        <v>846</v>
      </c>
      <c r="BC24" s="135">
        <v>317343759</v>
      </c>
      <c r="BD24" s="64">
        <v>989416414.60000002</v>
      </c>
      <c r="BE24" s="473"/>
      <c r="BF24" s="473"/>
      <c r="BG24" s="473"/>
      <c r="BH24" s="475"/>
      <c r="BI24" s="46" t="s">
        <v>371</v>
      </c>
      <c r="BJ24" s="46" t="s">
        <v>855</v>
      </c>
      <c r="BK24" s="46" t="s">
        <v>856</v>
      </c>
      <c r="BL24" s="44">
        <v>0</v>
      </c>
      <c r="BM24" s="50">
        <v>44927</v>
      </c>
      <c r="BN24" s="46" t="s">
        <v>857</v>
      </c>
      <c r="BO24" s="46" t="s">
        <v>850</v>
      </c>
      <c r="BP24" s="46" t="s">
        <v>858</v>
      </c>
      <c r="BQ24" s="46" t="s">
        <v>1060</v>
      </c>
      <c r="BR24" s="51" t="s">
        <v>786</v>
      </c>
      <c r="BS24" s="51" t="s">
        <v>786</v>
      </c>
    </row>
    <row r="25" spans="1:71" ht="112.5" customHeight="1" x14ac:dyDescent="0.4">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430"/>
      <c r="Y25" s="430"/>
      <c r="Z25" s="246"/>
      <c r="AA25" s="246"/>
      <c r="AB25" s="246"/>
      <c r="AC25" s="246"/>
      <c r="AD25" s="257"/>
      <c r="AE25" s="425" t="s">
        <v>859</v>
      </c>
      <c r="AF25" s="426"/>
      <c r="AG25" s="426"/>
      <c r="AH25" s="426"/>
      <c r="AI25" s="426"/>
      <c r="AJ25" s="426"/>
      <c r="AK25" s="426"/>
      <c r="AL25" s="426"/>
      <c r="AM25" s="426"/>
      <c r="AN25" s="427"/>
      <c r="AO25" s="220">
        <f>AVERAGE(AO23:AO24)</f>
        <v>1</v>
      </c>
      <c r="AP25" s="130"/>
      <c r="AQ25" s="46"/>
      <c r="AR25" s="46"/>
      <c r="AS25" s="46"/>
      <c r="AT25" s="46"/>
      <c r="AU25" s="46"/>
      <c r="AV25" s="229" t="s">
        <v>996</v>
      </c>
      <c r="AW25" s="230"/>
      <c r="AX25" s="230"/>
      <c r="AY25" s="230"/>
      <c r="AZ25" s="230"/>
      <c r="BA25" s="230"/>
      <c r="BB25" s="230"/>
      <c r="BC25" s="230"/>
      <c r="BD25" s="231"/>
      <c r="BE25" s="162">
        <f>+BE23</f>
        <v>5360827760.0200005</v>
      </c>
      <c r="BF25" s="162">
        <f t="shared" ref="BF25:BH25" si="4">+BF23</f>
        <v>2931760332</v>
      </c>
      <c r="BG25" s="162">
        <f t="shared" si="4"/>
        <v>2900025956</v>
      </c>
      <c r="BH25" s="163">
        <f t="shared" si="4"/>
        <v>0.54096607572954003</v>
      </c>
      <c r="BI25" s="46"/>
      <c r="BJ25" s="46"/>
      <c r="BK25" s="46"/>
      <c r="BL25" s="44"/>
      <c r="BM25" s="50"/>
      <c r="BN25" s="46"/>
      <c r="BO25" s="46"/>
      <c r="BP25" s="137"/>
      <c r="BQ25" s="137"/>
      <c r="BR25" s="51"/>
      <c r="BS25" s="51"/>
    </row>
    <row r="26" spans="1:71" ht="409.5" x14ac:dyDescent="0.4">
      <c r="A26" s="246"/>
      <c r="B26" s="246"/>
      <c r="C26" s="246"/>
      <c r="D26" s="246"/>
      <c r="E26" s="246"/>
      <c r="F26" s="246"/>
      <c r="G26" s="246"/>
      <c r="H26" s="246"/>
      <c r="I26" s="246"/>
      <c r="J26" s="246"/>
      <c r="K26" s="246"/>
      <c r="L26" s="246"/>
      <c r="M26" s="246"/>
      <c r="N26" s="246"/>
      <c r="O26" s="246"/>
      <c r="P26" s="246"/>
      <c r="Q26" s="246"/>
      <c r="R26" s="246"/>
      <c r="S26" s="246"/>
      <c r="T26" s="246"/>
      <c r="U26" s="246"/>
      <c r="V26" s="246"/>
      <c r="W26" s="246"/>
      <c r="X26" s="430"/>
      <c r="Y26" s="430"/>
      <c r="Z26" s="246"/>
      <c r="AA26" s="246"/>
      <c r="AB26" s="246"/>
      <c r="AC26" s="246"/>
      <c r="AD26" s="256" t="s">
        <v>860</v>
      </c>
      <c r="AE26" s="451" t="s">
        <v>861</v>
      </c>
      <c r="AF26" s="451" t="s">
        <v>862</v>
      </c>
      <c r="AG26" s="44" t="s">
        <v>863</v>
      </c>
      <c r="AH26" s="44" t="s">
        <v>491</v>
      </c>
      <c r="AI26" s="44">
        <v>1</v>
      </c>
      <c r="AJ26" s="44">
        <v>0</v>
      </c>
      <c r="AK26" s="44">
        <v>0</v>
      </c>
      <c r="AL26" s="44">
        <v>0</v>
      </c>
      <c r="AM26" s="44">
        <v>0</v>
      </c>
      <c r="AN26" s="219">
        <f>SUM(AJ26:AM26)</f>
        <v>0</v>
      </c>
      <c r="AO26" s="220">
        <f t="shared" si="0"/>
        <v>0</v>
      </c>
      <c r="AP26" s="130">
        <v>0.1615</v>
      </c>
      <c r="AQ26" s="46" t="s">
        <v>136</v>
      </c>
      <c r="AR26" s="46" t="s">
        <v>101</v>
      </c>
      <c r="AS26" s="46" t="s">
        <v>137</v>
      </c>
      <c r="AT26" s="46" t="s">
        <v>864</v>
      </c>
      <c r="AU26" s="46">
        <v>0</v>
      </c>
      <c r="AV26" s="46" t="s">
        <v>181</v>
      </c>
      <c r="AW26" s="46" t="s">
        <v>10</v>
      </c>
      <c r="AX26" s="46" t="s">
        <v>780</v>
      </c>
      <c r="AY26" s="64">
        <v>346140435</v>
      </c>
      <c r="AZ26" s="46" t="s">
        <v>107</v>
      </c>
      <c r="BA26" s="46" t="s">
        <v>860</v>
      </c>
      <c r="BB26" s="46" t="s">
        <v>865</v>
      </c>
      <c r="BC26" s="131">
        <v>0</v>
      </c>
      <c r="BD26" s="131">
        <v>0</v>
      </c>
      <c r="BE26" s="472">
        <v>1339202073.6400001</v>
      </c>
      <c r="BF26" s="472">
        <v>761696324.60000002</v>
      </c>
      <c r="BG26" s="472">
        <v>79665714.599999994</v>
      </c>
      <c r="BH26" s="474">
        <f>+BG26/BE26</f>
        <v>5.9487448659234582E-2</v>
      </c>
      <c r="BI26" s="46" t="s">
        <v>371</v>
      </c>
      <c r="BJ26" s="46" t="s">
        <v>866</v>
      </c>
      <c r="BK26" s="46" t="s">
        <v>338</v>
      </c>
      <c r="BL26" s="44">
        <v>0</v>
      </c>
      <c r="BM26" s="50">
        <v>44927</v>
      </c>
      <c r="BN26" s="51" t="s">
        <v>802</v>
      </c>
      <c r="BO26" s="51"/>
      <c r="BQ26" s="215" t="s">
        <v>1058</v>
      </c>
      <c r="BR26" s="51" t="s">
        <v>786</v>
      </c>
      <c r="BS26" s="51" t="s">
        <v>786</v>
      </c>
    </row>
    <row r="27" spans="1:71" ht="409.5" x14ac:dyDescent="0.4">
      <c r="A27" s="246"/>
      <c r="B27" s="246"/>
      <c r="C27" s="246"/>
      <c r="D27" s="246"/>
      <c r="E27" s="246"/>
      <c r="F27" s="246"/>
      <c r="G27" s="246"/>
      <c r="H27" s="246"/>
      <c r="I27" s="246"/>
      <c r="J27" s="246"/>
      <c r="K27" s="246"/>
      <c r="L27" s="246"/>
      <c r="M27" s="246"/>
      <c r="N27" s="246"/>
      <c r="O27" s="246"/>
      <c r="P27" s="246"/>
      <c r="Q27" s="246"/>
      <c r="R27" s="246"/>
      <c r="S27" s="246"/>
      <c r="T27" s="246"/>
      <c r="U27" s="246"/>
      <c r="V27" s="246"/>
      <c r="W27" s="246"/>
      <c r="X27" s="430"/>
      <c r="Y27" s="430"/>
      <c r="Z27" s="246"/>
      <c r="AA27" s="246"/>
      <c r="AB27" s="246"/>
      <c r="AC27" s="246"/>
      <c r="AD27" s="435"/>
      <c r="AE27" s="452"/>
      <c r="AF27" s="452"/>
      <c r="AG27" s="44" t="s">
        <v>867</v>
      </c>
      <c r="AH27" s="44" t="s">
        <v>491</v>
      </c>
      <c r="AI27" s="44">
        <v>1</v>
      </c>
      <c r="AJ27" s="44">
        <v>0</v>
      </c>
      <c r="AK27" s="44">
        <v>0</v>
      </c>
      <c r="AL27" s="44">
        <v>0</v>
      </c>
      <c r="AM27" s="44">
        <v>1</v>
      </c>
      <c r="AN27" s="219">
        <f>SUM(AJ27:AM27)</f>
        <v>1</v>
      </c>
      <c r="AO27" s="220">
        <f t="shared" si="0"/>
        <v>1</v>
      </c>
      <c r="AP27" s="130">
        <v>0.45269999999999999</v>
      </c>
      <c r="AQ27" s="46" t="s">
        <v>136</v>
      </c>
      <c r="AR27" s="46" t="s">
        <v>101</v>
      </c>
      <c r="AS27" s="46" t="s">
        <v>137</v>
      </c>
      <c r="AT27" s="46" t="s">
        <v>864</v>
      </c>
      <c r="AU27" s="46" t="s">
        <v>864</v>
      </c>
      <c r="AV27" s="46" t="s">
        <v>181</v>
      </c>
      <c r="AW27" s="46" t="s">
        <v>10</v>
      </c>
      <c r="AX27" s="46" t="s">
        <v>780</v>
      </c>
      <c r="AY27" s="64">
        <v>970129338</v>
      </c>
      <c r="AZ27" s="46" t="s">
        <v>107</v>
      </c>
      <c r="BA27" s="46" t="s">
        <v>860</v>
      </c>
      <c r="BB27" s="46" t="s">
        <v>865</v>
      </c>
      <c r="BC27" s="131">
        <v>529838610</v>
      </c>
      <c r="BD27" s="131">
        <v>0</v>
      </c>
      <c r="BE27" s="476"/>
      <c r="BF27" s="476"/>
      <c r="BG27" s="476"/>
      <c r="BH27" s="477"/>
      <c r="BI27" s="46" t="s">
        <v>371</v>
      </c>
      <c r="BJ27" s="46" t="s">
        <v>868</v>
      </c>
      <c r="BK27" s="46" t="s">
        <v>338</v>
      </c>
      <c r="BL27" s="44">
        <v>0</v>
      </c>
      <c r="BM27" s="50">
        <v>44927</v>
      </c>
      <c r="BN27" s="51" t="s">
        <v>802</v>
      </c>
      <c r="BO27" s="51"/>
      <c r="BP27" s="52" t="s">
        <v>869</v>
      </c>
      <c r="BQ27" s="52" t="s">
        <v>1061</v>
      </c>
      <c r="BR27" s="51" t="s">
        <v>786</v>
      </c>
      <c r="BS27" s="51" t="s">
        <v>786</v>
      </c>
    </row>
    <row r="28" spans="1:71" ht="409.5" x14ac:dyDescent="0.4">
      <c r="A28" s="246"/>
      <c r="B28" s="246"/>
      <c r="C28" s="246"/>
      <c r="D28" s="246"/>
      <c r="E28" s="246"/>
      <c r="F28" s="246"/>
      <c r="G28" s="246"/>
      <c r="H28" s="246"/>
      <c r="I28" s="246"/>
      <c r="J28" s="246"/>
      <c r="K28" s="246"/>
      <c r="L28" s="246"/>
      <c r="M28" s="246"/>
      <c r="N28" s="246"/>
      <c r="O28" s="246"/>
      <c r="P28" s="246"/>
      <c r="Q28" s="246"/>
      <c r="R28" s="246"/>
      <c r="S28" s="246"/>
      <c r="T28" s="246"/>
      <c r="U28" s="246"/>
      <c r="V28" s="246"/>
      <c r="W28" s="246"/>
      <c r="X28" s="430"/>
      <c r="Y28" s="430"/>
      <c r="Z28" s="246"/>
      <c r="AA28" s="246"/>
      <c r="AB28" s="246"/>
      <c r="AC28" s="246"/>
      <c r="AD28" s="435"/>
      <c r="AE28" s="452"/>
      <c r="AF28" s="452"/>
      <c r="AG28" s="44" t="s">
        <v>870</v>
      </c>
      <c r="AH28" s="44" t="s">
        <v>491</v>
      </c>
      <c r="AI28" s="44">
        <v>1</v>
      </c>
      <c r="AJ28" s="44">
        <v>0</v>
      </c>
      <c r="AK28" s="44">
        <v>0</v>
      </c>
      <c r="AL28" s="44">
        <v>1</v>
      </c>
      <c r="AM28" s="44">
        <v>0</v>
      </c>
      <c r="AN28" s="219">
        <f>SUM(AJ28:AM28)</f>
        <v>1</v>
      </c>
      <c r="AO28" s="220">
        <f t="shared" si="0"/>
        <v>1</v>
      </c>
      <c r="AP28" s="130">
        <v>0.13719999999999999</v>
      </c>
      <c r="AQ28" s="46" t="s">
        <v>788</v>
      </c>
      <c r="AR28" s="46" t="s">
        <v>101</v>
      </c>
      <c r="AS28" s="46" t="s">
        <v>789</v>
      </c>
      <c r="AT28" s="46" t="s">
        <v>864</v>
      </c>
      <c r="AU28" s="46" t="s">
        <v>864</v>
      </c>
      <c r="AV28" s="46" t="s">
        <v>181</v>
      </c>
      <c r="AW28" s="46" t="s">
        <v>10</v>
      </c>
      <c r="AX28" s="46" t="s">
        <v>790</v>
      </c>
      <c r="AY28" s="64">
        <v>294000000</v>
      </c>
      <c r="AZ28" s="46" t="s">
        <v>107</v>
      </c>
      <c r="BA28" s="46" t="s">
        <v>860</v>
      </c>
      <c r="BB28" s="46" t="s">
        <v>865</v>
      </c>
      <c r="BC28" s="131">
        <v>231857714.59999999</v>
      </c>
      <c r="BD28" s="131">
        <v>0</v>
      </c>
      <c r="BE28" s="476"/>
      <c r="BF28" s="476"/>
      <c r="BG28" s="476"/>
      <c r="BH28" s="477"/>
      <c r="BI28" s="46" t="s">
        <v>371</v>
      </c>
      <c r="BJ28" s="44" t="s">
        <v>871</v>
      </c>
      <c r="BK28" s="46" t="s">
        <v>338</v>
      </c>
      <c r="BL28" s="44">
        <v>0</v>
      </c>
      <c r="BM28" s="50" t="s">
        <v>793</v>
      </c>
      <c r="BN28" s="51"/>
      <c r="BO28" s="51"/>
      <c r="BP28" s="51"/>
      <c r="BQ28" s="51"/>
      <c r="BR28" s="51" t="s">
        <v>786</v>
      </c>
      <c r="BS28" s="51" t="s">
        <v>786</v>
      </c>
    </row>
    <row r="29" spans="1:71" ht="409.5" x14ac:dyDescent="0.4">
      <c r="A29" s="246"/>
      <c r="B29" s="246"/>
      <c r="C29" s="246"/>
      <c r="D29" s="246"/>
      <c r="E29" s="246"/>
      <c r="F29" s="246"/>
      <c r="G29" s="246"/>
      <c r="H29" s="246"/>
      <c r="I29" s="246"/>
      <c r="J29" s="246"/>
      <c r="K29" s="246"/>
      <c r="L29" s="246"/>
      <c r="M29" s="246"/>
      <c r="N29" s="246"/>
      <c r="O29" s="246"/>
      <c r="P29" s="246"/>
      <c r="Q29" s="246"/>
      <c r="R29" s="246"/>
      <c r="S29" s="246"/>
      <c r="T29" s="246"/>
      <c r="U29" s="246"/>
      <c r="V29" s="246"/>
      <c r="W29" s="246"/>
      <c r="X29" s="430"/>
      <c r="Y29" s="430"/>
      <c r="Z29" s="246"/>
      <c r="AA29" s="246"/>
      <c r="AB29" s="246"/>
      <c r="AC29" s="246"/>
      <c r="AD29" s="435"/>
      <c r="AE29" s="453"/>
      <c r="AF29" s="453"/>
      <c r="AG29" s="44" t="s">
        <v>872</v>
      </c>
      <c r="AH29" s="44" t="s">
        <v>491</v>
      </c>
      <c r="AI29" s="44">
        <v>1</v>
      </c>
      <c r="AJ29" s="44">
        <v>0</v>
      </c>
      <c r="AK29" s="44">
        <v>0</v>
      </c>
      <c r="AL29" s="44">
        <v>0</v>
      </c>
      <c r="AM29" s="44">
        <v>0</v>
      </c>
      <c r="AN29" s="219">
        <f>SUM(AJ29:AM29)</f>
        <v>0</v>
      </c>
      <c r="AO29" s="220">
        <f t="shared" si="0"/>
        <v>0</v>
      </c>
      <c r="AP29" s="130">
        <v>0.24859999999999999</v>
      </c>
      <c r="AQ29" s="46" t="s">
        <v>788</v>
      </c>
      <c r="AR29" s="46" t="s">
        <v>101</v>
      </c>
      <c r="AS29" s="46" t="s">
        <v>789</v>
      </c>
      <c r="AT29" s="46" t="s">
        <v>864</v>
      </c>
      <c r="AU29" s="46">
        <v>0</v>
      </c>
      <c r="AV29" s="46" t="s">
        <v>181</v>
      </c>
      <c r="AW29" s="46" t="s">
        <v>10</v>
      </c>
      <c r="AX29" s="46" t="s">
        <v>790</v>
      </c>
      <c r="AY29" s="64">
        <v>532791865.63999999</v>
      </c>
      <c r="AZ29" s="46" t="s">
        <v>107</v>
      </c>
      <c r="BA29" s="46" t="s">
        <v>860</v>
      </c>
      <c r="BB29" s="46" t="s">
        <v>865</v>
      </c>
      <c r="BC29" s="131">
        <v>0</v>
      </c>
      <c r="BD29" s="64">
        <v>79665714</v>
      </c>
      <c r="BE29" s="473"/>
      <c r="BF29" s="473"/>
      <c r="BG29" s="473"/>
      <c r="BH29" s="475"/>
      <c r="BI29" s="46" t="s">
        <v>371</v>
      </c>
      <c r="BJ29" s="44" t="s">
        <v>873</v>
      </c>
      <c r="BK29" s="46" t="s">
        <v>848</v>
      </c>
      <c r="BL29" s="44">
        <v>0</v>
      </c>
      <c r="BM29" s="50" t="s">
        <v>793</v>
      </c>
      <c r="BN29" s="51"/>
      <c r="BO29" s="51"/>
      <c r="BP29" s="52" t="s">
        <v>874</v>
      </c>
      <c r="BQ29" s="52" t="s">
        <v>1058</v>
      </c>
      <c r="BR29" s="51" t="s">
        <v>786</v>
      </c>
      <c r="BS29" s="51" t="s">
        <v>786</v>
      </c>
    </row>
    <row r="30" spans="1:71" ht="86.25" customHeight="1" x14ac:dyDescent="0.4">
      <c r="A30" s="246"/>
      <c r="B30" s="246"/>
      <c r="C30" s="246"/>
      <c r="D30" s="246"/>
      <c r="E30" s="246"/>
      <c r="F30" s="246"/>
      <c r="G30" s="246"/>
      <c r="H30" s="246"/>
      <c r="I30" s="246"/>
      <c r="J30" s="246"/>
      <c r="K30" s="246"/>
      <c r="L30" s="246"/>
      <c r="M30" s="246"/>
      <c r="N30" s="246"/>
      <c r="O30" s="246"/>
      <c r="P30" s="246"/>
      <c r="Q30" s="246"/>
      <c r="R30" s="246"/>
      <c r="S30" s="246"/>
      <c r="T30" s="246"/>
      <c r="U30" s="246"/>
      <c r="V30" s="246"/>
      <c r="W30" s="246"/>
      <c r="X30" s="430"/>
      <c r="Y30" s="430"/>
      <c r="Z30" s="246"/>
      <c r="AA30" s="246"/>
      <c r="AB30" s="246"/>
      <c r="AC30" s="246"/>
      <c r="AD30" s="257"/>
      <c r="AE30" s="425" t="s">
        <v>875</v>
      </c>
      <c r="AF30" s="426"/>
      <c r="AG30" s="426"/>
      <c r="AH30" s="426"/>
      <c r="AI30" s="426"/>
      <c r="AJ30" s="426"/>
      <c r="AK30" s="426"/>
      <c r="AL30" s="426"/>
      <c r="AM30" s="426"/>
      <c r="AN30" s="427"/>
      <c r="AO30" s="220">
        <f>AVERAGE(AO26:AO29)</f>
        <v>0.5</v>
      </c>
      <c r="AP30" s="130"/>
      <c r="AQ30" s="46"/>
      <c r="AR30" s="46"/>
      <c r="AS30" s="46"/>
      <c r="AT30" s="46"/>
      <c r="AU30" s="46"/>
      <c r="AV30" s="229" t="s">
        <v>997</v>
      </c>
      <c r="AW30" s="230"/>
      <c r="AX30" s="230"/>
      <c r="AY30" s="230"/>
      <c r="AZ30" s="230"/>
      <c r="BA30" s="230"/>
      <c r="BB30" s="230"/>
      <c r="BC30" s="230"/>
      <c r="BD30" s="231"/>
      <c r="BE30" s="162">
        <f>+BE26</f>
        <v>1339202073.6400001</v>
      </c>
      <c r="BF30" s="162">
        <f t="shared" ref="BF30:BG30" si="5">+BF26</f>
        <v>761696324.60000002</v>
      </c>
      <c r="BG30" s="162">
        <f t="shared" si="5"/>
        <v>79665714.599999994</v>
      </c>
      <c r="BH30" s="164">
        <f>+BH26</f>
        <v>5.9487448659234582E-2</v>
      </c>
      <c r="BI30" s="46"/>
      <c r="BJ30" s="44"/>
      <c r="BK30" s="46"/>
      <c r="BL30" s="44"/>
      <c r="BM30" s="50"/>
      <c r="BN30" s="51"/>
      <c r="BO30" s="51"/>
      <c r="BP30" s="52"/>
      <c r="BQ30" s="52"/>
      <c r="BR30" s="51"/>
      <c r="BS30" s="51"/>
    </row>
    <row r="31" spans="1:71" ht="409.5" x14ac:dyDescent="0.4">
      <c r="A31" s="246"/>
      <c r="B31" s="246"/>
      <c r="C31" s="246"/>
      <c r="D31" s="246"/>
      <c r="E31" s="246"/>
      <c r="F31" s="246"/>
      <c r="G31" s="246"/>
      <c r="H31" s="246"/>
      <c r="I31" s="246"/>
      <c r="J31" s="246"/>
      <c r="K31" s="246"/>
      <c r="L31" s="246"/>
      <c r="M31" s="246"/>
      <c r="N31" s="246"/>
      <c r="O31" s="246"/>
      <c r="P31" s="246"/>
      <c r="Q31" s="246"/>
      <c r="R31" s="246"/>
      <c r="S31" s="246"/>
      <c r="T31" s="246"/>
      <c r="U31" s="246"/>
      <c r="V31" s="246"/>
      <c r="W31" s="246"/>
      <c r="X31" s="430"/>
      <c r="Y31" s="430"/>
      <c r="Z31" s="246"/>
      <c r="AA31" s="246"/>
      <c r="AB31" s="246"/>
      <c r="AC31" s="246"/>
      <c r="AD31" s="256" t="s">
        <v>876</v>
      </c>
      <c r="AE31" s="380" t="s">
        <v>877</v>
      </c>
      <c r="AF31" s="57" t="s">
        <v>878</v>
      </c>
      <c r="AG31" s="57" t="s">
        <v>879</v>
      </c>
      <c r="AH31" s="44" t="s">
        <v>491</v>
      </c>
      <c r="AI31" s="44">
        <v>10</v>
      </c>
      <c r="AJ31" s="44">
        <v>0</v>
      </c>
      <c r="AK31" s="44">
        <v>0</v>
      </c>
      <c r="AL31" s="44">
        <v>0</v>
      </c>
      <c r="AM31" s="44">
        <v>0</v>
      </c>
      <c r="AN31" s="219">
        <f>SUM(AJ31:AM31)</f>
        <v>0</v>
      </c>
      <c r="AO31" s="220">
        <f t="shared" si="0"/>
        <v>0</v>
      </c>
      <c r="AP31" s="130">
        <v>0.06</v>
      </c>
      <c r="AQ31" s="46" t="s">
        <v>136</v>
      </c>
      <c r="AR31" s="46" t="s">
        <v>101</v>
      </c>
      <c r="AS31" s="46" t="s">
        <v>137</v>
      </c>
      <c r="AT31" s="46" t="s">
        <v>880</v>
      </c>
      <c r="AU31" s="46">
        <v>0</v>
      </c>
      <c r="AV31" s="46" t="s">
        <v>181</v>
      </c>
      <c r="AW31" s="46" t="s">
        <v>10</v>
      </c>
      <c r="AX31" s="46" t="s">
        <v>780</v>
      </c>
      <c r="AY31" s="131">
        <v>50000000</v>
      </c>
      <c r="AZ31" s="46" t="s">
        <v>107</v>
      </c>
      <c r="BA31" s="46" t="s">
        <v>881</v>
      </c>
      <c r="BB31" s="46" t="s">
        <v>882</v>
      </c>
      <c r="BC31" s="131">
        <v>0</v>
      </c>
      <c r="BD31" s="131">
        <v>0</v>
      </c>
      <c r="BE31" s="472">
        <v>800000000</v>
      </c>
      <c r="BF31" s="472">
        <v>471871674</v>
      </c>
      <c r="BG31" s="472">
        <v>0</v>
      </c>
      <c r="BH31" s="474">
        <f>+BG31/BE31</f>
        <v>0</v>
      </c>
      <c r="BI31" s="46" t="s">
        <v>371</v>
      </c>
      <c r="BJ31" s="46" t="s">
        <v>883</v>
      </c>
      <c r="BK31" s="46" t="s">
        <v>230</v>
      </c>
      <c r="BL31" s="44">
        <v>0</v>
      </c>
      <c r="BM31" s="50">
        <v>44927</v>
      </c>
      <c r="BN31" s="51" t="s">
        <v>802</v>
      </c>
      <c r="BO31" s="51"/>
      <c r="BP31" s="51"/>
      <c r="BQ31" s="216"/>
      <c r="BR31" s="51" t="s">
        <v>786</v>
      </c>
      <c r="BS31" s="51" t="s">
        <v>786</v>
      </c>
    </row>
    <row r="32" spans="1:71" ht="409.5" x14ac:dyDescent="0.4">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430"/>
      <c r="Y32" s="430"/>
      <c r="Z32" s="246"/>
      <c r="AA32" s="246"/>
      <c r="AB32" s="246"/>
      <c r="AC32" s="246"/>
      <c r="AD32" s="435"/>
      <c r="AE32" s="380"/>
      <c r="AF32" s="44" t="s">
        <v>884</v>
      </c>
      <c r="AG32" s="57" t="s">
        <v>885</v>
      </c>
      <c r="AH32" s="44" t="s">
        <v>491</v>
      </c>
      <c r="AI32" s="44">
        <v>7</v>
      </c>
      <c r="AJ32" s="44">
        <v>1</v>
      </c>
      <c r="AK32" s="44">
        <v>2</v>
      </c>
      <c r="AL32" s="44">
        <v>0</v>
      </c>
      <c r="AM32" s="44">
        <v>0</v>
      </c>
      <c r="AN32" s="219">
        <f>SUM(AJ32:AM32)</f>
        <v>3</v>
      </c>
      <c r="AO32" s="220">
        <f t="shared" si="0"/>
        <v>0.42857142857142855</v>
      </c>
      <c r="AP32" s="130">
        <v>0.94</v>
      </c>
      <c r="AQ32" s="46" t="s">
        <v>136</v>
      </c>
      <c r="AR32" s="46" t="s">
        <v>101</v>
      </c>
      <c r="AS32" s="46" t="s">
        <v>137</v>
      </c>
      <c r="AT32" s="46" t="s">
        <v>880</v>
      </c>
      <c r="AU32" s="46" t="s">
        <v>880</v>
      </c>
      <c r="AV32" s="46" t="s">
        <v>181</v>
      </c>
      <c r="AW32" s="46" t="s">
        <v>10</v>
      </c>
      <c r="AX32" s="46" t="s">
        <v>780</v>
      </c>
      <c r="AY32" s="131">
        <v>750000000</v>
      </c>
      <c r="AZ32" s="46" t="s">
        <v>107</v>
      </c>
      <c r="BA32" s="46" t="s">
        <v>881</v>
      </c>
      <c r="BB32" s="46" t="s">
        <v>882</v>
      </c>
      <c r="BC32" s="131">
        <v>471871674</v>
      </c>
      <c r="BD32" s="131">
        <v>0</v>
      </c>
      <c r="BE32" s="473"/>
      <c r="BF32" s="473"/>
      <c r="BG32" s="473"/>
      <c r="BH32" s="475"/>
      <c r="BI32" s="46" t="s">
        <v>371</v>
      </c>
      <c r="BJ32" s="46" t="s">
        <v>886</v>
      </c>
      <c r="BK32" s="55" t="s">
        <v>154</v>
      </c>
      <c r="BL32" s="44">
        <v>0</v>
      </c>
      <c r="BM32" s="50">
        <v>44927</v>
      </c>
      <c r="BN32" s="46" t="s">
        <v>887</v>
      </c>
      <c r="BO32" s="46" t="s">
        <v>888</v>
      </c>
      <c r="BP32" s="46"/>
      <c r="BQ32" s="216"/>
      <c r="BR32" s="51" t="s">
        <v>786</v>
      </c>
      <c r="BS32" s="51" t="s">
        <v>786</v>
      </c>
    </row>
    <row r="33" spans="1:71" ht="56.25" customHeight="1" x14ac:dyDescent="0.4">
      <c r="A33" s="246"/>
      <c r="B33" s="246"/>
      <c r="C33" s="246"/>
      <c r="D33" s="246"/>
      <c r="E33" s="246"/>
      <c r="F33" s="246"/>
      <c r="G33" s="246"/>
      <c r="H33" s="246"/>
      <c r="I33" s="246"/>
      <c r="J33" s="246"/>
      <c r="K33" s="246"/>
      <c r="L33" s="246"/>
      <c r="M33" s="246"/>
      <c r="N33" s="246"/>
      <c r="O33" s="246"/>
      <c r="P33" s="246"/>
      <c r="Q33" s="246"/>
      <c r="R33" s="246"/>
      <c r="S33" s="246"/>
      <c r="T33" s="246"/>
      <c r="U33" s="246"/>
      <c r="V33" s="246"/>
      <c r="W33" s="246"/>
      <c r="X33" s="430"/>
      <c r="Y33" s="430"/>
      <c r="Z33" s="246"/>
      <c r="AA33" s="246"/>
      <c r="AB33" s="246"/>
      <c r="AC33" s="246"/>
      <c r="AD33" s="257"/>
      <c r="AE33" s="425" t="s">
        <v>889</v>
      </c>
      <c r="AF33" s="426"/>
      <c r="AG33" s="426"/>
      <c r="AH33" s="426"/>
      <c r="AI33" s="426"/>
      <c r="AJ33" s="426"/>
      <c r="AK33" s="426"/>
      <c r="AL33" s="426"/>
      <c r="AM33" s="426"/>
      <c r="AN33" s="427"/>
      <c r="AO33" s="220">
        <f>AVERAGE(AO31:AO32)</f>
        <v>0.21428571428571427</v>
      </c>
      <c r="AP33" s="130"/>
      <c r="AQ33" s="46"/>
      <c r="AR33" s="46"/>
      <c r="AS33" s="46"/>
      <c r="AT33" s="46"/>
      <c r="AU33" s="46"/>
      <c r="AV33" s="229" t="s">
        <v>998</v>
      </c>
      <c r="AW33" s="230"/>
      <c r="AX33" s="230"/>
      <c r="AY33" s="230"/>
      <c r="AZ33" s="230"/>
      <c r="BA33" s="230"/>
      <c r="BB33" s="230"/>
      <c r="BC33" s="230"/>
      <c r="BD33" s="231"/>
      <c r="BE33" s="162">
        <f>+BE31</f>
        <v>800000000</v>
      </c>
      <c r="BF33" s="162">
        <f t="shared" ref="BF33:BG33" si="6">+BF31</f>
        <v>471871674</v>
      </c>
      <c r="BG33" s="162">
        <f t="shared" si="6"/>
        <v>0</v>
      </c>
      <c r="BH33" s="164">
        <f>+BH31</f>
        <v>0</v>
      </c>
      <c r="BI33" s="46"/>
      <c r="BJ33" s="46"/>
      <c r="BK33" s="55"/>
      <c r="BL33" s="44"/>
      <c r="BM33" s="50"/>
      <c r="BN33" s="46"/>
      <c r="BO33" s="46"/>
      <c r="BP33" s="46"/>
      <c r="BQ33" s="46"/>
      <c r="BR33" s="51"/>
      <c r="BS33" s="51"/>
    </row>
    <row r="34" spans="1:71" ht="409.5" x14ac:dyDescent="0.4">
      <c r="A34" s="246"/>
      <c r="B34" s="246"/>
      <c r="C34" s="246"/>
      <c r="D34" s="246"/>
      <c r="E34" s="246"/>
      <c r="F34" s="246"/>
      <c r="G34" s="246"/>
      <c r="H34" s="246"/>
      <c r="I34" s="246"/>
      <c r="J34" s="246"/>
      <c r="K34" s="246"/>
      <c r="L34" s="246"/>
      <c r="M34" s="246"/>
      <c r="N34" s="246"/>
      <c r="O34" s="246"/>
      <c r="P34" s="246"/>
      <c r="Q34" s="246"/>
      <c r="R34" s="246"/>
      <c r="S34" s="246"/>
      <c r="T34" s="246"/>
      <c r="U34" s="246"/>
      <c r="V34" s="246"/>
      <c r="W34" s="246"/>
      <c r="X34" s="430"/>
      <c r="Y34" s="430"/>
      <c r="Z34" s="246"/>
      <c r="AA34" s="246"/>
      <c r="AB34" s="246"/>
      <c r="AC34" s="246"/>
      <c r="AD34" s="256" t="s">
        <v>890</v>
      </c>
      <c r="AE34" s="57" t="s">
        <v>891</v>
      </c>
      <c r="AF34" s="57" t="s">
        <v>892</v>
      </c>
      <c r="AG34" s="57" t="s">
        <v>893</v>
      </c>
      <c r="AH34" s="44" t="s">
        <v>894</v>
      </c>
      <c r="AI34" s="44">
        <v>3</v>
      </c>
      <c r="AJ34" s="44">
        <v>3</v>
      </c>
      <c r="AK34" s="44">
        <v>0</v>
      </c>
      <c r="AL34" s="44">
        <v>0</v>
      </c>
      <c r="AM34" s="44">
        <v>0</v>
      </c>
      <c r="AN34" s="219">
        <f>SUM(AJ34:AM34)</f>
        <v>3</v>
      </c>
      <c r="AO34" s="220">
        <f t="shared" si="0"/>
        <v>1</v>
      </c>
      <c r="AP34" s="130">
        <v>1</v>
      </c>
      <c r="AQ34" s="46" t="s">
        <v>136</v>
      </c>
      <c r="AR34" s="46" t="s">
        <v>101</v>
      </c>
      <c r="AS34" s="46" t="s">
        <v>137</v>
      </c>
      <c r="AT34" s="46">
        <v>3</v>
      </c>
      <c r="AU34" s="46">
        <v>3</v>
      </c>
      <c r="AV34" s="46" t="s">
        <v>181</v>
      </c>
      <c r="AW34" s="46" t="s">
        <v>10</v>
      </c>
      <c r="AX34" s="46" t="s">
        <v>780</v>
      </c>
      <c r="AY34" s="131">
        <v>130026720.01000001</v>
      </c>
      <c r="AZ34" s="46" t="s">
        <v>107</v>
      </c>
      <c r="BA34" s="46" t="s">
        <v>895</v>
      </c>
      <c r="BB34" s="46" t="s">
        <v>896</v>
      </c>
      <c r="BC34" s="131">
        <v>128800000</v>
      </c>
      <c r="BD34" s="64">
        <v>128800000</v>
      </c>
      <c r="BE34" s="159">
        <v>130026720</v>
      </c>
      <c r="BF34" s="159">
        <v>128800000</v>
      </c>
      <c r="BG34" s="159">
        <v>128800000</v>
      </c>
      <c r="BH34" s="165">
        <f>+BG34/BE34</f>
        <v>0.99056563143329313</v>
      </c>
      <c r="BI34" s="46" t="s">
        <v>371</v>
      </c>
      <c r="BJ34" s="46" t="s">
        <v>897</v>
      </c>
      <c r="BK34" s="44" t="s">
        <v>140</v>
      </c>
      <c r="BL34" s="44">
        <v>0</v>
      </c>
      <c r="BM34" s="50">
        <v>44927</v>
      </c>
      <c r="BN34" s="136" t="s">
        <v>898</v>
      </c>
      <c r="BO34" s="136"/>
      <c r="BP34" s="136"/>
      <c r="BQ34" s="136"/>
      <c r="BR34" s="51" t="s">
        <v>786</v>
      </c>
      <c r="BS34" s="51" t="s">
        <v>786</v>
      </c>
    </row>
    <row r="35" spans="1:71" ht="90" customHeight="1" x14ac:dyDescent="0.4">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257"/>
      <c r="AE35" s="425" t="s">
        <v>899</v>
      </c>
      <c r="AF35" s="426"/>
      <c r="AG35" s="426"/>
      <c r="AH35" s="426"/>
      <c r="AI35" s="426"/>
      <c r="AJ35" s="426"/>
      <c r="AK35" s="426"/>
      <c r="AL35" s="426"/>
      <c r="AM35" s="426"/>
      <c r="AN35" s="427"/>
      <c r="AO35" s="221">
        <f>+AO34</f>
        <v>1</v>
      </c>
      <c r="AP35" s="51"/>
      <c r="AQ35" s="51"/>
      <c r="AR35" s="51"/>
      <c r="AS35" s="51"/>
      <c r="AT35" s="51"/>
      <c r="AU35" s="51"/>
      <c r="AV35" s="425" t="s">
        <v>999</v>
      </c>
      <c r="AW35" s="426"/>
      <c r="AX35" s="426"/>
      <c r="AY35" s="426"/>
      <c r="AZ35" s="426"/>
      <c r="BA35" s="426"/>
      <c r="BB35" s="426"/>
      <c r="BC35" s="426"/>
      <c r="BD35" s="427"/>
      <c r="BE35" s="166">
        <f>+BE34</f>
        <v>130026720</v>
      </c>
      <c r="BF35" s="166">
        <f t="shared" ref="BF35:BG35" si="7">+BF34</f>
        <v>128800000</v>
      </c>
      <c r="BG35" s="166">
        <f t="shared" si="7"/>
        <v>128800000</v>
      </c>
      <c r="BH35" s="167">
        <f>+BH34</f>
        <v>0.99056563143329313</v>
      </c>
      <c r="BI35" s="51"/>
      <c r="BJ35" s="51"/>
      <c r="BK35" s="51"/>
      <c r="BL35" s="51"/>
      <c r="BM35" s="51"/>
      <c r="BN35" s="51"/>
      <c r="BO35" s="51"/>
      <c r="BP35" s="51"/>
      <c r="BQ35" s="51"/>
      <c r="BR35" s="51"/>
    </row>
    <row r="36" spans="1:71" x14ac:dyDescent="0.4">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222"/>
      <c r="AO36" s="223"/>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row>
    <row r="37" spans="1:71" x14ac:dyDescent="0.4">
      <c r="BC37" s="209"/>
    </row>
    <row r="38" spans="1:71" ht="27" thickBot="1" x14ac:dyDescent="0.45"/>
    <row r="39" spans="1:71" ht="124.5" customHeight="1" thickBot="1" x14ac:dyDescent="0.45">
      <c r="Q39" s="429" t="s">
        <v>900</v>
      </c>
      <c r="R39" s="429"/>
      <c r="S39" s="429"/>
      <c r="T39" s="429"/>
      <c r="U39" s="429"/>
      <c r="V39" s="429"/>
      <c r="W39" s="429"/>
      <c r="X39" s="141">
        <f>+X9</f>
        <v>0.96890000000000009</v>
      </c>
      <c r="Y39" s="141">
        <f>+Y9</f>
        <v>0.96890000000000009</v>
      </c>
      <c r="AE39" s="428" t="s">
        <v>1053</v>
      </c>
      <c r="AF39" s="428"/>
      <c r="AG39" s="428"/>
      <c r="AH39" s="428"/>
      <c r="AI39" s="428"/>
      <c r="AJ39" s="428"/>
      <c r="AK39" s="428"/>
      <c r="AL39" s="428"/>
      <c r="AM39" s="428"/>
      <c r="AN39" s="428"/>
      <c r="AO39" s="140">
        <f>AVERAGE(AO35,AO33,AO30,AO25,AO22,AO17,AO11)</f>
        <v>0.64965986394557818</v>
      </c>
      <c r="AV39" s="478" t="s">
        <v>1063</v>
      </c>
      <c r="AW39" s="479"/>
      <c r="AX39" s="479"/>
      <c r="AY39" s="479"/>
      <c r="AZ39" s="479"/>
      <c r="BA39" s="479"/>
      <c r="BB39" s="479"/>
      <c r="BC39" s="479"/>
      <c r="BD39" s="480"/>
      <c r="BE39" s="168">
        <f>+BE11+BE17+BE22+BE25+BE30+BE33+BE35</f>
        <v>13077175358.02</v>
      </c>
      <c r="BF39" s="168">
        <f t="shared" ref="BF39:BG39" si="8">+BF11+BF17+BF22+BF25+BF30+BF33+BF35</f>
        <v>7384043003.6000004</v>
      </c>
      <c r="BG39" s="168">
        <f t="shared" si="8"/>
        <v>3118491670.5999999</v>
      </c>
    </row>
    <row r="40" spans="1:71" ht="27" thickBot="1" x14ac:dyDescent="0.45"/>
    <row r="41" spans="1:71" ht="216.75" customHeight="1" thickBot="1" x14ac:dyDescent="0.45">
      <c r="BB41" s="481" t="s">
        <v>1064</v>
      </c>
      <c r="BC41" s="482"/>
      <c r="BD41" s="483"/>
      <c r="BE41" s="169">
        <f>+BF39/BE39</f>
        <v>0.56465121874132373</v>
      </c>
    </row>
    <row r="42" spans="1:71" ht="220.5" customHeight="1" thickBot="1" x14ac:dyDescent="0.45">
      <c r="BB42" s="478" t="s">
        <v>1065</v>
      </c>
      <c r="BC42" s="479"/>
      <c r="BD42" s="480"/>
      <c r="BE42" s="170">
        <f>+BG39/BE39</f>
        <v>0.23846829190735627</v>
      </c>
    </row>
    <row r="46" spans="1:71" x14ac:dyDescent="0.4">
      <c r="BD46" s="209"/>
    </row>
  </sheetData>
  <mergeCells count="172">
    <mergeCell ref="AV35:BD35"/>
    <mergeCell ref="AV39:BD39"/>
    <mergeCell ref="BB41:BD41"/>
    <mergeCell ref="BB42:BD42"/>
    <mergeCell ref="AV25:BD25"/>
    <mergeCell ref="BE26:BE29"/>
    <mergeCell ref="BF26:BF29"/>
    <mergeCell ref="BG26:BG29"/>
    <mergeCell ref="BH26:BH29"/>
    <mergeCell ref="AV30:BD30"/>
    <mergeCell ref="BE31:BE32"/>
    <mergeCell ref="BF31:BF32"/>
    <mergeCell ref="BG31:BG32"/>
    <mergeCell ref="BH31:BH32"/>
    <mergeCell ref="AV22:BD22"/>
    <mergeCell ref="BE18:BE21"/>
    <mergeCell ref="BF18:BF21"/>
    <mergeCell ref="BG18:BG21"/>
    <mergeCell ref="BH18:BH21"/>
    <mergeCell ref="BE23:BE24"/>
    <mergeCell ref="BF23:BF24"/>
    <mergeCell ref="BG23:BG24"/>
    <mergeCell ref="BH23:BH24"/>
    <mergeCell ref="BE9:BE10"/>
    <mergeCell ref="BF9:BF10"/>
    <mergeCell ref="BG9:BG10"/>
    <mergeCell ref="BH9:BH10"/>
    <mergeCell ref="AV17:BD17"/>
    <mergeCell ref="BE12:BE16"/>
    <mergeCell ref="BF12:BF16"/>
    <mergeCell ref="BG12:BG16"/>
    <mergeCell ref="BH12:BH16"/>
    <mergeCell ref="BS7:BS8"/>
    <mergeCell ref="BR6:BS6"/>
    <mergeCell ref="BB7:BB8"/>
    <mergeCell ref="BI7:BI8"/>
    <mergeCell ref="BJ7:BJ8"/>
    <mergeCell ref="BK7:BK8"/>
    <mergeCell ref="BL7:BL8"/>
    <mergeCell ref="BM7:BM8"/>
    <mergeCell ref="BI6:BM6"/>
    <mergeCell ref="AY6:BB6"/>
    <mergeCell ref="AY7:AY8"/>
    <mergeCell ref="AZ7:AZ8"/>
    <mergeCell ref="BA7:BA8"/>
    <mergeCell ref="BC7:BC8"/>
    <mergeCell ref="BD7:BD8"/>
    <mergeCell ref="BP7:BP8"/>
    <mergeCell ref="BO7:BO8"/>
    <mergeCell ref="BE7:BE8"/>
    <mergeCell ref="BF7:BF8"/>
    <mergeCell ref="BG7:BG8"/>
    <mergeCell ref="BH7:BH8"/>
    <mergeCell ref="BQ7:BQ8"/>
    <mergeCell ref="AE18:AE21"/>
    <mergeCell ref="AE23:AE24"/>
    <mergeCell ref="AF18:AF21"/>
    <mergeCell ref="AE26:AE29"/>
    <mergeCell ref="AF26:AF29"/>
    <mergeCell ref="A6:V6"/>
    <mergeCell ref="V9:V34"/>
    <mergeCell ref="AD6:AX6"/>
    <mergeCell ref="H9:H34"/>
    <mergeCell ref="I9:I34"/>
    <mergeCell ref="J9:J34"/>
    <mergeCell ref="K9:K34"/>
    <mergeCell ref="L9:L34"/>
    <mergeCell ref="M9:M34"/>
    <mergeCell ref="B9:B34"/>
    <mergeCell ref="C9:C34"/>
    <mergeCell ref="D9:D34"/>
    <mergeCell ref="E9:E34"/>
    <mergeCell ref="F9:F34"/>
    <mergeCell ref="G9:G34"/>
    <mergeCell ref="AV11:BD11"/>
    <mergeCell ref="N9:N34"/>
    <mergeCell ref="O9:P34"/>
    <mergeCell ref="AV33:BD33"/>
    <mergeCell ref="AU7:AU8"/>
    <mergeCell ref="N7:N8"/>
    <mergeCell ref="O7:P7"/>
    <mergeCell ref="Q7:Q8"/>
    <mergeCell ref="R7:R8"/>
    <mergeCell ref="AH7:AH8"/>
    <mergeCell ref="Z7:Z8"/>
    <mergeCell ref="AA7:AA8"/>
    <mergeCell ref="AB7:AB8"/>
    <mergeCell ref="AC7:AC8"/>
    <mergeCell ref="T7:T8"/>
    <mergeCell ref="AD7:AD8"/>
    <mergeCell ref="AE7:AE8"/>
    <mergeCell ref="AI7:AI8"/>
    <mergeCell ref="AS7:AS8"/>
    <mergeCell ref="U7:U8"/>
    <mergeCell ref="AT7:AT8"/>
    <mergeCell ref="AP7:AP8"/>
    <mergeCell ref="AQ7:AQ8"/>
    <mergeCell ref="AR7:AR8"/>
    <mergeCell ref="AL7:AL8"/>
    <mergeCell ref="AM7:AM8"/>
    <mergeCell ref="AE31:AE32"/>
    <mergeCell ref="AE12:AE16"/>
    <mergeCell ref="AE9:AE10"/>
    <mergeCell ref="AF9:AF10"/>
    <mergeCell ref="AK7:AK8"/>
    <mergeCell ref="A7:A8"/>
    <mergeCell ref="B7:B8"/>
    <mergeCell ref="C7:C8"/>
    <mergeCell ref="D7:D8"/>
    <mergeCell ref="E7:E8"/>
    <mergeCell ref="W9:W34"/>
    <mergeCell ref="AF12:AF14"/>
    <mergeCell ref="AF15:AF16"/>
    <mergeCell ref="AJ7:AJ8"/>
    <mergeCell ref="Q9:Q34"/>
    <mergeCell ref="R9:R34"/>
    <mergeCell ref="S9:S34"/>
    <mergeCell ref="T9:T34"/>
    <mergeCell ref="Z9:Z34"/>
    <mergeCell ref="AA9:AA34"/>
    <mergeCell ref="AB9:AB34"/>
    <mergeCell ref="A9:A34"/>
    <mergeCell ref="U9:U34"/>
    <mergeCell ref="AC9:AC34"/>
    <mergeCell ref="AV7:AV8"/>
    <mergeCell ref="W7:W8"/>
    <mergeCell ref="M7:M8"/>
    <mergeCell ref="V7:V8"/>
    <mergeCell ref="F7:F8"/>
    <mergeCell ref="X7:X8"/>
    <mergeCell ref="Y7:Y8"/>
    <mergeCell ref="B1:C4"/>
    <mergeCell ref="D1:BN1"/>
    <mergeCell ref="D2:BN2"/>
    <mergeCell ref="D3:BN3"/>
    <mergeCell ref="D4:BN4"/>
    <mergeCell ref="B5:C5"/>
    <mergeCell ref="D5:BR5"/>
    <mergeCell ref="S7:S8"/>
    <mergeCell ref="G7:G8"/>
    <mergeCell ref="H7:H8"/>
    <mergeCell ref="I7:I8"/>
    <mergeCell ref="J7:J8"/>
    <mergeCell ref="K7:K8"/>
    <mergeCell ref="L7:L8"/>
    <mergeCell ref="AF7:AF8"/>
    <mergeCell ref="AG7:AG8"/>
    <mergeCell ref="AX7:AX8"/>
    <mergeCell ref="AW7:AW8"/>
    <mergeCell ref="Z6:AC6"/>
    <mergeCell ref="BN7:BN8"/>
    <mergeCell ref="BR7:BR8"/>
    <mergeCell ref="AE35:AN35"/>
    <mergeCell ref="AD34:AD35"/>
    <mergeCell ref="AE39:AN39"/>
    <mergeCell ref="Q39:W39"/>
    <mergeCell ref="X9:X34"/>
    <mergeCell ref="Y9:Y34"/>
    <mergeCell ref="AN7:AN8"/>
    <mergeCell ref="AO7:AO8"/>
    <mergeCell ref="AE11:AN11"/>
    <mergeCell ref="AD9:AD11"/>
    <mergeCell ref="AE17:AN17"/>
    <mergeCell ref="AD12:AD17"/>
    <mergeCell ref="AE22:AN22"/>
    <mergeCell ref="AD18:AD22"/>
    <mergeCell ref="AE25:AN25"/>
    <mergeCell ref="AD23:AD25"/>
    <mergeCell ref="AE30:AN30"/>
    <mergeCell ref="AD26:AD30"/>
    <mergeCell ref="AE33:AN33"/>
    <mergeCell ref="AD31:AD33"/>
  </mergeCells>
  <hyperlinks>
    <hyperlink ref="BN23" r:id="rId1" xr:uid="{3A46F9AA-173E-4813-B221-FA0140409570}"/>
    <hyperlink ref="BN24" r:id="rId2" xr:uid="{8F9F55C0-37D9-46BF-AB6F-65FC9BD03D19}"/>
    <hyperlink ref="BQ14" r:id="rId3" xr:uid="{3B1C996D-AD32-443E-9A6F-699D93CD3A55}"/>
    <hyperlink ref="BQ20" r:id="rId4" xr:uid="{78C4A862-1CED-4E8A-B9D4-21FF774C4D20}"/>
    <hyperlink ref="BQ27" r:id="rId5" xr:uid="{D3403E6E-1CDE-4AC2-A948-B3CF0606E06C}"/>
  </hyperlinks>
  <pageMargins left="0.7" right="0.7" top="0.75" bottom="0.75" header="0.3" footer="0.3"/>
  <drawing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C46" sqref="C46:H46"/>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508" t="s">
        <v>901</v>
      </c>
      <c r="B1" s="508"/>
      <c r="C1" s="508"/>
      <c r="D1" s="508"/>
      <c r="E1" s="508"/>
      <c r="F1" s="508"/>
      <c r="G1" s="508"/>
      <c r="H1" s="508"/>
      <c r="I1" s="508"/>
    </row>
    <row r="2" spans="1:51" ht="36.75" customHeight="1" x14ac:dyDescent="0.25">
      <c r="A2" s="508" t="s">
        <v>11</v>
      </c>
      <c r="B2" s="508"/>
      <c r="C2" s="508"/>
      <c r="D2" s="508"/>
      <c r="E2" s="508"/>
      <c r="F2" s="508"/>
      <c r="G2" s="508"/>
      <c r="H2" s="508"/>
      <c r="I2" s="508"/>
      <c r="J2" s="19"/>
      <c r="K2" s="19"/>
      <c r="L2" s="19"/>
      <c r="M2" s="19"/>
      <c r="N2" s="19"/>
      <c r="O2" s="17"/>
      <c r="P2" s="17"/>
      <c r="Q2" s="17"/>
      <c r="R2" s="19"/>
      <c r="S2" s="19"/>
      <c r="T2" s="19"/>
      <c r="U2" s="18"/>
      <c r="V2" s="18"/>
      <c r="W2" s="18"/>
      <c r="X2" s="18"/>
      <c r="Y2" s="19"/>
      <c r="Z2" s="19"/>
      <c r="AA2" s="19"/>
      <c r="AB2" s="20"/>
      <c r="AC2" s="20"/>
      <c r="AD2" s="20"/>
      <c r="AE2" s="20"/>
      <c r="AF2" s="20"/>
      <c r="AG2" s="20"/>
      <c r="AH2" s="21"/>
      <c r="AI2" s="21"/>
      <c r="AJ2" s="21"/>
      <c r="AK2" s="21"/>
      <c r="AL2" s="21"/>
      <c r="AM2" s="21"/>
      <c r="AN2" s="21"/>
      <c r="AO2" s="21"/>
      <c r="AP2" s="21"/>
      <c r="AQ2" s="21"/>
      <c r="AR2" s="17"/>
      <c r="AS2" s="17"/>
      <c r="AT2" s="17"/>
      <c r="AU2" s="17"/>
      <c r="AV2" s="17"/>
      <c r="AW2" s="19"/>
      <c r="AX2" s="16"/>
      <c r="AY2" s="16"/>
    </row>
    <row r="3" spans="1:51" ht="48" customHeight="1" x14ac:dyDescent="0.25">
      <c r="A3" s="25" t="s">
        <v>17</v>
      </c>
      <c r="B3" s="487" t="s">
        <v>902</v>
      </c>
      <c r="C3" s="488"/>
      <c r="D3" s="488"/>
      <c r="E3" s="488"/>
      <c r="F3" s="488"/>
      <c r="G3" s="488"/>
      <c r="H3" s="489"/>
      <c r="I3" s="23"/>
    </row>
    <row r="4" spans="1:51" ht="31.5" customHeight="1" x14ac:dyDescent="0.25">
      <c r="A4" s="25" t="s">
        <v>18</v>
      </c>
      <c r="B4" s="487" t="s">
        <v>903</v>
      </c>
      <c r="C4" s="488"/>
      <c r="D4" s="488"/>
      <c r="E4" s="488"/>
      <c r="F4" s="488"/>
      <c r="G4" s="488"/>
      <c r="H4" s="489"/>
      <c r="I4" s="23"/>
    </row>
    <row r="5" spans="1:51" ht="40.5" customHeight="1" x14ac:dyDescent="0.25">
      <c r="A5" s="25" t="s">
        <v>19</v>
      </c>
      <c r="B5" s="487" t="s">
        <v>904</v>
      </c>
      <c r="C5" s="488"/>
      <c r="D5" s="488"/>
      <c r="E5" s="488"/>
      <c r="F5" s="488"/>
      <c r="G5" s="488"/>
      <c r="H5" s="489"/>
      <c r="I5" s="23"/>
    </row>
    <row r="6" spans="1:51" ht="56.25" customHeight="1" x14ac:dyDescent="0.25">
      <c r="A6" s="25" t="s">
        <v>20</v>
      </c>
      <c r="B6" s="487" t="s">
        <v>905</v>
      </c>
      <c r="C6" s="488"/>
      <c r="D6" s="488"/>
      <c r="E6" s="488"/>
      <c r="F6" s="488"/>
      <c r="G6" s="488"/>
      <c r="H6" s="489"/>
      <c r="I6" s="23"/>
    </row>
    <row r="7" spans="1:51" ht="30" x14ac:dyDescent="0.25">
      <c r="A7" s="25" t="s">
        <v>21</v>
      </c>
      <c r="B7" s="487" t="s">
        <v>906</v>
      </c>
      <c r="C7" s="488"/>
      <c r="D7" s="488"/>
      <c r="E7" s="488"/>
      <c r="F7" s="488"/>
      <c r="G7" s="488"/>
      <c r="H7" s="489"/>
      <c r="I7" s="23"/>
    </row>
    <row r="8" spans="1:51" ht="30" x14ac:dyDescent="0.25">
      <c r="A8" s="25" t="s">
        <v>22</v>
      </c>
      <c r="B8" s="487" t="s">
        <v>907</v>
      </c>
      <c r="C8" s="488"/>
      <c r="D8" s="488"/>
      <c r="E8" s="488"/>
      <c r="F8" s="488"/>
      <c r="G8" s="488"/>
      <c r="H8" s="489"/>
      <c r="I8" s="23"/>
    </row>
    <row r="9" spans="1:51" ht="30" x14ac:dyDescent="0.25">
      <c r="A9" s="25" t="s">
        <v>23</v>
      </c>
      <c r="B9" s="487" t="s">
        <v>908</v>
      </c>
      <c r="C9" s="488"/>
      <c r="D9" s="488"/>
      <c r="E9" s="488"/>
      <c r="F9" s="488"/>
      <c r="G9" s="488"/>
      <c r="H9" s="489"/>
      <c r="I9" s="23"/>
    </row>
    <row r="10" spans="1:51" ht="30" x14ac:dyDescent="0.25">
      <c r="A10" s="25" t="s">
        <v>24</v>
      </c>
      <c r="B10" s="487" t="s">
        <v>909</v>
      </c>
      <c r="C10" s="488"/>
      <c r="D10" s="488"/>
      <c r="E10" s="488"/>
      <c r="F10" s="488"/>
      <c r="G10" s="488"/>
      <c r="H10" s="489"/>
      <c r="I10" s="23"/>
    </row>
    <row r="11" spans="1:51" ht="30" x14ac:dyDescent="0.25">
      <c r="A11" s="25" t="s">
        <v>25</v>
      </c>
      <c r="B11" s="487" t="s">
        <v>910</v>
      </c>
      <c r="C11" s="488"/>
      <c r="D11" s="488"/>
      <c r="E11" s="488"/>
      <c r="F11" s="488"/>
      <c r="G11" s="488"/>
      <c r="H11" s="489"/>
      <c r="I11" s="23"/>
    </row>
    <row r="12" spans="1:51" ht="58.5" customHeight="1" x14ac:dyDescent="0.25">
      <c r="A12" s="25" t="s">
        <v>911</v>
      </c>
      <c r="B12" s="487" t="s">
        <v>912</v>
      </c>
      <c r="C12" s="488"/>
      <c r="D12" s="488"/>
      <c r="E12" s="488"/>
      <c r="F12" s="488"/>
      <c r="G12" s="488"/>
      <c r="H12" s="489"/>
      <c r="I12" s="23"/>
    </row>
    <row r="13" spans="1:51" ht="30" x14ac:dyDescent="0.25">
      <c r="A13" s="25" t="s">
        <v>27</v>
      </c>
      <c r="B13" s="487" t="s">
        <v>913</v>
      </c>
      <c r="C13" s="488"/>
      <c r="D13" s="488"/>
      <c r="E13" s="488"/>
      <c r="F13" s="488"/>
      <c r="G13" s="488"/>
      <c r="H13" s="489"/>
      <c r="I13" s="23"/>
    </row>
    <row r="14" spans="1:51" ht="30" x14ac:dyDescent="0.25">
      <c r="A14" s="25" t="s">
        <v>28</v>
      </c>
      <c r="B14" s="487" t="s">
        <v>914</v>
      </c>
      <c r="C14" s="488"/>
      <c r="D14" s="488"/>
      <c r="E14" s="488"/>
      <c r="F14" s="488"/>
      <c r="G14" s="488"/>
      <c r="H14" s="489"/>
      <c r="I14" s="23"/>
    </row>
    <row r="15" spans="1:51" ht="30" x14ac:dyDescent="0.25">
      <c r="A15" s="25" t="s">
        <v>29</v>
      </c>
      <c r="B15" s="487" t="s">
        <v>915</v>
      </c>
      <c r="C15" s="488"/>
      <c r="D15" s="488"/>
      <c r="E15" s="488"/>
      <c r="F15" s="488"/>
      <c r="G15" s="488"/>
      <c r="H15" s="489"/>
      <c r="I15" s="23"/>
    </row>
    <row r="16" spans="1:51" ht="30" x14ac:dyDescent="0.25">
      <c r="A16" s="25" t="s">
        <v>30</v>
      </c>
      <c r="B16" s="487" t="s">
        <v>916</v>
      </c>
      <c r="C16" s="488"/>
      <c r="D16" s="488"/>
      <c r="E16" s="488"/>
      <c r="F16" s="488"/>
      <c r="G16" s="488"/>
      <c r="H16" s="489"/>
      <c r="I16" s="23"/>
    </row>
    <row r="17" spans="1:9" ht="45" x14ac:dyDescent="0.25">
      <c r="A17" s="25" t="s">
        <v>917</v>
      </c>
      <c r="B17" s="487" t="s">
        <v>918</v>
      </c>
      <c r="C17" s="488"/>
      <c r="D17" s="488"/>
      <c r="E17" s="488"/>
      <c r="F17" s="488"/>
      <c r="G17" s="488"/>
      <c r="H17" s="489"/>
      <c r="I17" s="23"/>
    </row>
    <row r="18" spans="1:9" ht="60" customHeight="1" x14ac:dyDescent="0.25">
      <c r="A18" s="25" t="s">
        <v>32</v>
      </c>
      <c r="B18" s="487" t="s">
        <v>919</v>
      </c>
      <c r="C18" s="488"/>
      <c r="D18" s="488"/>
      <c r="E18" s="488"/>
      <c r="F18" s="488"/>
      <c r="G18" s="488"/>
      <c r="H18" s="489"/>
      <c r="I18" s="23"/>
    </row>
    <row r="19" spans="1:9" ht="45.75" customHeight="1" x14ac:dyDescent="0.25">
      <c r="A19" s="25" t="s">
        <v>33</v>
      </c>
      <c r="B19" s="487" t="s">
        <v>920</v>
      </c>
      <c r="C19" s="488"/>
      <c r="D19" s="488"/>
      <c r="E19" s="488"/>
      <c r="F19" s="488"/>
      <c r="G19" s="488"/>
      <c r="H19" s="489"/>
      <c r="I19" s="23"/>
    </row>
    <row r="20" spans="1:9" ht="51.75" customHeight="1" x14ac:dyDescent="0.25">
      <c r="A20" s="25" t="s">
        <v>34</v>
      </c>
      <c r="B20" s="487" t="s">
        <v>921</v>
      </c>
      <c r="C20" s="488"/>
      <c r="D20" s="488"/>
      <c r="E20" s="488"/>
      <c r="F20" s="488"/>
      <c r="G20" s="488"/>
      <c r="H20" s="489"/>
      <c r="I20" s="23"/>
    </row>
    <row r="21" spans="1:9" ht="57.75" customHeight="1" x14ac:dyDescent="0.25">
      <c r="A21" s="25" t="s">
        <v>35</v>
      </c>
      <c r="B21" s="487" t="s">
        <v>922</v>
      </c>
      <c r="C21" s="488"/>
      <c r="D21" s="488"/>
      <c r="E21" s="488"/>
      <c r="F21" s="488"/>
      <c r="G21" s="488"/>
      <c r="H21" s="489"/>
      <c r="I21" s="23"/>
    </row>
    <row r="22" spans="1:9" x14ac:dyDescent="0.25">
      <c r="A22" s="494"/>
      <c r="B22" s="495"/>
      <c r="C22" s="495"/>
      <c r="D22" s="495"/>
      <c r="E22" s="495"/>
      <c r="F22" s="495"/>
      <c r="G22" s="495"/>
      <c r="H22" s="495"/>
      <c r="I22" s="496"/>
    </row>
    <row r="23" spans="1:9" ht="51" customHeight="1" x14ac:dyDescent="0.25">
      <c r="A23" s="508" t="s">
        <v>923</v>
      </c>
      <c r="B23" s="508"/>
      <c r="C23" s="508"/>
      <c r="D23" s="508"/>
      <c r="E23" s="508"/>
      <c r="F23" s="508"/>
      <c r="G23" s="508"/>
      <c r="H23" s="508"/>
      <c r="I23" s="508"/>
    </row>
    <row r="24" spans="1:9" ht="180" customHeight="1" x14ac:dyDescent="0.25">
      <c r="A24" s="491" t="s">
        <v>924</v>
      </c>
      <c r="B24" s="492"/>
      <c r="C24" s="492"/>
      <c r="D24" s="492"/>
      <c r="E24" s="492"/>
      <c r="F24" s="492"/>
      <c r="G24" s="492"/>
      <c r="H24" s="492"/>
      <c r="I24" s="493"/>
    </row>
    <row r="25" spans="1:9" ht="201" customHeight="1" x14ac:dyDescent="0.25">
      <c r="A25" s="26" t="s">
        <v>40</v>
      </c>
      <c r="B25" s="490" t="s">
        <v>925</v>
      </c>
      <c r="C25" s="490"/>
      <c r="D25" s="490"/>
      <c r="E25" s="490"/>
      <c r="F25" s="490"/>
      <c r="G25" s="490"/>
      <c r="H25" s="490"/>
      <c r="I25" s="490"/>
    </row>
    <row r="26" spans="1:9" ht="120.75" customHeight="1" x14ac:dyDescent="0.25">
      <c r="A26" s="26" t="s">
        <v>41</v>
      </c>
      <c r="B26" s="490" t="s">
        <v>926</v>
      </c>
      <c r="C26" s="490"/>
      <c r="D26" s="490"/>
      <c r="E26" s="490"/>
      <c r="F26" s="490"/>
      <c r="G26" s="490"/>
      <c r="H26" s="490"/>
      <c r="I26" s="490"/>
    </row>
    <row r="27" spans="1:9" ht="87" customHeight="1" x14ac:dyDescent="0.25">
      <c r="A27" s="26" t="s">
        <v>42</v>
      </c>
      <c r="B27" s="490" t="s">
        <v>927</v>
      </c>
      <c r="C27" s="490"/>
      <c r="D27" s="490"/>
      <c r="E27" s="490"/>
      <c r="F27" s="490"/>
      <c r="G27" s="490"/>
      <c r="H27" s="490"/>
      <c r="I27" s="490"/>
    </row>
    <row r="28" spans="1:9" ht="45.75" customHeight="1" x14ac:dyDescent="0.25">
      <c r="A28" s="26" t="s">
        <v>43</v>
      </c>
      <c r="B28" s="490" t="s">
        <v>928</v>
      </c>
      <c r="C28" s="490"/>
      <c r="D28" s="490"/>
      <c r="E28" s="490"/>
      <c r="F28" s="490"/>
      <c r="G28" s="490"/>
      <c r="H28" s="490"/>
      <c r="I28" s="490"/>
    </row>
    <row r="29" spans="1:9" x14ac:dyDescent="0.25">
      <c r="A29" s="497"/>
      <c r="B29" s="497"/>
      <c r="C29" s="497"/>
      <c r="D29" s="497"/>
      <c r="E29" s="497"/>
      <c r="F29" s="497"/>
      <c r="G29" s="497"/>
      <c r="H29" s="497"/>
      <c r="I29" s="497"/>
    </row>
    <row r="30" spans="1:9" ht="45" customHeight="1" x14ac:dyDescent="0.25">
      <c r="A30" s="502" t="s">
        <v>13</v>
      </c>
      <c r="B30" s="502"/>
      <c r="C30" s="502"/>
      <c r="D30" s="502"/>
      <c r="E30" s="502"/>
      <c r="F30" s="502"/>
      <c r="G30" s="502"/>
      <c r="H30" s="502"/>
      <c r="I30" s="502"/>
    </row>
    <row r="31" spans="1:9" ht="42" customHeight="1" x14ac:dyDescent="0.25">
      <c r="A31" s="503" t="s">
        <v>44</v>
      </c>
      <c r="B31" s="503"/>
      <c r="C31" s="484" t="s">
        <v>929</v>
      </c>
      <c r="D31" s="485"/>
      <c r="E31" s="485"/>
      <c r="F31" s="485"/>
      <c r="G31" s="485"/>
      <c r="H31" s="486"/>
      <c r="I31" s="22"/>
    </row>
    <row r="32" spans="1:9" ht="43.5" customHeight="1" x14ac:dyDescent="0.25">
      <c r="A32" s="503" t="s">
        <v>45</v>
      </c>
      <c r="B32" s="503"/>
      <c r="C32" s="484" t="s">
        <v>930</v>
      </c>
      <c r="D32" s="485"/>
      <c r="E32" s="485"/>
      <c r="F32" s="485"/>
      <c r="G32" s="485"/>
      <c r="H32" s="486"/>
      <c r="I32" s="22"/>
    </row>
    <row r="33" spans="1:9" ht="40.5" customHeight="1" x14ac:dyDescent="0.25">
      <c r="A33" s="503" t="s">
        <v>46</v>
      </c>
      <c r="B33" s="503"/>
      <c r="C33" s="484" t="s">
        <v>931</v>
      </c>
      <c r="D33" s="485"/>
      <c r="E33" s="485"/>
      <c r="F33" s="485"/>
      <c r="G33" s="485"/>
      <c r="H33" s="486"/>
      <c r="I33" s="22"/>
    </row>
    <row r="34" spans="1:9" ht="75.75" customHeight="1" x14ac:dyDescent="0.25">
      <c r="A34" s="501" t="s">
        <v>47</v>
      </c>
      <c r="B34" s="501"/>
      <c r="C34" s="487" t="s">
        <v>932</v>
      </c>
      <c r="D34" s="488"/>
      <c r="E34" s="488"/>
      <c r="F34" s="488"/>
      <c r="G34" s="488"/>
      <c r="H34" s="489"/>
      <c r="I34" s="22"/>
    </row>
    <row r="35" spans="1:9" ht="57.75" customHeight="1" x14ac:dyDescent="0.25">
      <c r="A35" s="501" t="s">
        <v>48</v>
      </c>
      <c r="B35" s="501"/>
      <c r="C35" s="484" t="s">
        <v>933</v>
      </c>
      <c r="D35" s="485"/>
      <c r="E35" s="485"/>
      <c r="F35" s="485"/>
      <c r="G35" s="485"/>
      <c r="H35" s="486"/>
      <c r="I35" s="22"/>
    </row>
    <row r="36" spans="1:9" ht="73.5" customHeight="1" x14ac:dyDescent="0.25">
      <c r="A36" s="501" t="s">
        <v>49</v>
      </c>
      <c r="B36" s="501"/>
      <c r="C36" s="484" t="s">
        <v>934</v>
      </c>
      <c r="D36" s="485"/>
      <c r="E36" s="485"/>
      <c r="F36" s="485"/>
      <c r="G36" s="485"/>
      <c r="H36" s="486"/>
      <c r="I36" s="22"/>
    </row>
    <row r="37" spans="1:9" ht="67.5" customHeight="1" x14ac:dyDescent="0.25">
      <c r="A37" s="501" t="s">
        <v>53</v>
      </c>
      <c r="B37" s="501"/>
      <c r="C37" s="484" t="s">
        <v>935</v>
      </c>
      <c r="D37" s="485"/>
      <c r="E37" s="485"/>
      <c r="F37" s="485"/>
      <c r="G37" s="485"/>
      <c r="H37" s="486"/>
      <c r="I37" s="22"/>
    </row>
    <row r="38" spans="1:9" ht="45.75" customHeight="1" x14ac:dyDescent="0.25">
      <c r="A38" s="501" t="s">
        <v>54</v>
      </c>
      <c r="B38" s="501"/>
      <c r="C38" s="484" t="s">
        <v>936</v>
      </c>
      <c r="D38" s="485"/>
      <c r="E38" s="485"/>
      <c r="F38" s="485"/>
      <c r="G38" s="485"/>
      <c r="H38" s="486"/>
      <c r="I38" s="22"/>
    </row>
    <row r="39" spans="1:9" ht="39.75" customHeight="1" x14ac:dyDescent="0.25">
      <c r="A39" s="501" t="s">
        <v>55</v>
      </c>
      <c r="B39" s="501"/>
      <c r="C39" s="484" t="s">
        <v>937</v>
      </c>
      <c r="D39" s="485"/>
      <c r="E39" s="485"/>
      <c r="F39" s="485"/>
      <c r="G39" s="485"/>
      <c r="H39" s="486"/>
      <c r="I39" s="22"/>
    </row>
    <row r="40" spans="1:9" ht="52.5" customHeight="1" x14ac:dyDescent="0.25">
      <c r="A40" s="509" t="s">
        <v>56</v>
      </c>
      <c r="B40" s="509"/>
      <c r="C40" s="484" t="s">
        <v>938</v>
      </c>
      <c r="D40" s="485"/>
      <c r="E40" s="485"/>
      <c r="F40" s="485"/>
      <c r="G40" s="485"/>
      <c r="H40" s="486"/>
      <c r="I40" s="22"/>
    </row>
    <row r="42" spans="1:9" ht="42.75" customHeight="1" x14ac:dyDescent="0.25">
      <c r="A42" s="510" t="s">
        <v>14</v>
      </c>
      <c r="B42" s="510"/>
      <c r="C42" s="510"/>
      <c r="D42" s="510"/>
      <c r="E42" s="510"/>
      <c r="F42" s="510"/>
      <c r="G42" s="510"/>
      <c r="H42" s="510"/>
    </row>
    <row r="43" spans="1:9" ht="53.25" customHeight="1" x14ac:dyDescent="0.25">
      <c r="A43" s="505" t="s">
        <v>57</v>
      </c>
      <c r="B43" s="505"/>
      <c r="C43" s="484" t="s">
        <v>939</v>
      </c>
      <c r="D43" s="485"/>
      <c r="E43" s="485"/>
      <c r="F43" s="485"/>
      <c r="G43" s="485"/>
      <c r="H43" s="486"/>
    </row>
    <row r="44" spans="1:9" ht="69" customHeight="1" x14ac:dyDescent="0.25">
      <c r="A44" s="505" t="s">
        <v>58</v>
      </c>
      <c r="B44" s="505"/>
      <c r="C44" s="487" t="s">
        <v>940</v>
      </c>
      <c r="D44" s="488"/>
      <c r="E44" s="488"/>
      <c r="F44" s="488"/>
      <c r="G44" s="488"/>
      <c r="H44" s="489"/>
    </row>
    <row r="45" spans="1:9" ht="56.25" customHeight="1" x14ac:dyDescent="0.25">
      <c r="A45" s="505" t="s">
        <v>59</v>
      </c>
      <c r="B45" s="505"/>
      <c r="C45" s="484" t="s">
        <v>941</v>
      </c>
      <c r="D45" s="485"/>
      <c r="E45" s="485"/>
      <c r="F45" s="485"/>
      <c r="G45" s="485"/>
      <c r="H45" s="486"/>
    </row>
    <row r="46" spans="1:9" ht="51.75" customHeight="1" x14ac:dyDescent="0.25">
      <c r="A46" s="505" t="s">
        <v>60</v>
      </c>
      <c r="B46" s="505"/>
      <c r="C46" s="484" t="s">
        <v>942</v>
      </c>
      <c r="D46" s="485"/>
      <c r="E46" s="485"/>
      <c r="F46" s="485"/>
      <c r="G46" s="485"/>
      <c r="H46" s="486"/>
    </row>
    <row r="47" spans="1:9" ht="48.75" customHeight="1" x14ac:dyDescent="0.25">
      <c r="A47" s="505" t="s">
        <v>61</v>
      </c>
      <c r="B47" s="505"/>
      <c r="C47" s="484" t="s">
        <v>943</v>
      </c>
      <c r="D47" s="485"/>
      <c r="E47" s="485"/>
      <c r="F47" s="485"/>
      <c r="G47" s="485"/>
      <c r="H47" s="486"/>
    </row>
    <row r="48" spans="1:9" x14ac:dyDescent="0.25">
      <c r="A48" s="507"/>
      <c r="B48" s="507"/>
      <c r="C48" s="507"/>
      <c r="D48" s="507"/>
      <c r="E48" s="507"/>
      <c r="F48" s="507"/>
      <c r="G48" s="507"/>
      <c r="H48" s="507"/>
    </row>
    <row r="49" spans="1:8" ht="34.5" customHeight="1" x14ac:dyDescent="0.25">
      <c r="A49" s="506" t="s">
        <v>15</v>
      </c>
      <c r="B49" s="506"/>
      <c r="C49" s="506"/>
      <c r="D49" s="506"/>
      <c r="E49" s="506"/>
      <c r="F49" s="506"/>
      <c r="G49" s="506"/>
      <c r="H49" s="506"/>
    </row>
    <row r="50" spans="1:8" ht="44.25" customHeight="1" x14ac:dyDescent="0.25">
      <c r="A50" s="505" t="s">
        <v>62</v>
      </c>
      <c r="B50" s="505"/>
      <c r="C50" s="484" t="s">
        <v>944</v>
      </c>
      <c r="D50" s="485"/>
      <c r="E50" s="485"/>
      <c r="F50" s="485"/>
      <c r="G50" s="485"/>
      <c r="H50" s="486"/>
    </row>
    <row r="51" spans="1:8" ht="90" customHeight="1" x14ac:dyDescent="0.25">
      <c r="A51" s="505" t="s">
        <v>63</v>
      </c>
      <c r="B51" s="505"/>
      <c r="C51" s="487" t="s">
        <v>945</v>
      </c>
      <c r="D51" s="485"/>
      <c r="E51" s="485"/>
      <c r="F51" s="485"/>
      <c r="G51" s="485"/>
      <c r="H51" s="486"/>
    </row>
    <row r="52" spans="1:8" ht="40.5" customHeight="1" x14ac:dyDescent="0.25">
      <c r="A52" s="505" t="s">
        <v>64</v>
      </c>
      <c r="B52" s="505"/>
      <c r="C52" s="484" t="s">
        <v>946</v>
      </c>
      <c r="D52" s="485"/>
      <c r="E52" s="485"/>
      <c r="F52" s="485"/>
      <c r="G52" s="485"/>
      <c r="H52" s="486"/>
    </row>
    <row r="53" spans="1:8" ht="32.25" customHeight="1" x14ac:dyDescent="0.25">
      <c r="A53" s="505" t="s">
        <v>65</v>
      </c>
      <c r="B53" s="505"/>
      <c r="C53" s="484" t="s">
        <v>947</v>
      </c>
      <c r="D53" s="485"/>
      <c r="E53" s="485"/>
      <c r="F53" s="485"/>
      <c r="G53" s="485"/>
      <c r="H53" s="486"/>
    </row>
    <row r="54" spans="1:8" ht="51.75" customHeight="1" x14ac:dyDescent="0.25">
      <c r="A54" s="504" t="s">
        <v>66</v>
      </c>
      <c r="B54" s="504"/>
      <c r="C54" s="484" t="s">
        <v>948</v>
      </c>
      <c r="D54" s="485"/>
      <c r="E54" s="485"/>
      <c r="F54" s="485"/>
      <c r="G54" s="485"/>
      <c r="H54" s="486"/>
    </row>
    <row r="55" spans="1:8" ht="65.25" customHeight="1" x14ac:dyDescent="0.25">
      <c r="A55" s="504" t="s">
        <v>67</v>
      </c>
      <c r="B55" s="504"/>
      <c r="C55" s="484" t="s">
        <v>949</v>
      </c>
      <c r="D55" s="485"/>
      <c r="E55" s="485"/>
      <c r="F55" s="485"/>
      <c r="G55" s="485"/>
      <c r="H55" s="486"/>
    </row>
    <row r="56" spans="1:8" ht="40.5" customHeight="1" x14ac:dyDescent="0.25">
      <c r="A56" s="504" t="s">
        <v>68</v>
      </c>
      <c r="B56" s="504"/>
      <c r="C56" s="484" t="s">
        <v>950</v>
      </c>
      <c r="D56" s="485"/>
      <c r="E56" s="485"/>
      <c r="F56" s="485"/>
      <c r="G56" s="485"/>
      <c r="H56" s="486"/>
    </row>
    <row r="57" spans="1:8" ht="60" customHeight="1" x14ac:dyDescent="0.25">
      <c r="A57" s="504" t="s">
        <v>69</v>
      </c>
      <c r="B57" s="504"/>
      <c r="C57" s="484" t="s">
        <v>951</v>
      </c>
      <c r="D57" s="485"/>
      <c r="E57" s="485"/>
      <c r="F57" s="485"/>
      <c r="G57" s="485"/>
      <c r="H57" s="486"/>
    </row>
    <row r="58" spans="1:8" ht="51.75" customHeight="1" x14ac:dyDescent="0.25">
      <c r="A58" s="504" t="s">
        <v>70</v>
      </c>
      <c r="B58" s="504"/>
      <c r="C58" s="484" t="s">
        <v>952</v>
      </c>
      <c r="D58" s="485"/>
      <c r="E58" s="485"/>
      <c r="F58" s="485"/>
      <c r="G58" s="485"/>
      <c r="H58" s="486"/>
    </row>
    <row r="59" spans="1:8" ht="54.75" customHeight="1" x14ac:dyDescent="0.25">
      <c r="A59" s="511" t="s">
        <v>953</v>
      </c>
      <c r="B59" s="511"/>
      <c r="C59" s="484" t="s">
        <v>954</v>
      </c>
      <c r="D59" s="485"/>
      <c r="E59" s="485"/>
      <c r="F59" s="485"/>
      <c r="G59" s="485"/>
      <c r="H59" s="486"/>
    </row>
    <row r="61" spans="1:8" s="22" customFormat="1" ht="182.25" customHeight="1" x14ac:dyDescent="0.25">
      <c r="A61" s="499" t="s">
        <v>955</v>
      </c>
      <c r="B61" s="500"/>
      <c r="C61" s="500"/>
      <c r="D61" s="500"/>
      <c r="E61" s="500"/>
      <c r="F61" s="500"/>
      <c r="G61" s="500"/>
      <c r="H61" s="500"/>
    </row>
    <row r="62" spans="1:8" s="22" customFormat="1" ht="64.5" customHeight="1" x14ac:dyDescent="0.25">
      <c r="A62" s="498" t="s">
        <v>74</v>
      </c>
      <c r="B62" s="498"/>
      <c r="C62" s="487" t="s">
        <v>956</v>
      </c>
      <c r="D62" s="488"/>
      <c r="E62" s="488"/>
      <c r="F62" s="488"/>
      <c r="G62" s="488"/>
      <c r="H62" s="489"/>
    </row>
    <row r="63" spans="1:8" s="22" customFormat="1" ht="69.75" customHeight="1" x14ac:dyDescent="0.25">
      <c r="A63" s="498" t="s">
        <v>75</v>
      </c>
      <c r="B63" s="498"/>
      <c r="C63" s="487" t="s">
        <v>957</v>
      </c>
      <c r="D63" s="488"/>
      <c r="E63" s="488"/>
      <c r="F63" s="488"/>
      <c r="G63" s="488"/>
      <c r="H63" s="489"/>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M7" sqref="M7"/>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512" t="s">
        <v>958</v>
      </c>
      <c r="B1" s="513"/>
      <c r="C1" s="513"/>
      <c r="D1" s="513"/>
      <c r="E1" s="513"/>
      <c r="F1" s="513"/>
      <c r="G1" s="514"/>
    </row>
    <row r="2" spans="1:7" s="13" customFormat="1" ht="43.5" customHeight="1" x14ac:dyDescent="0.25">
      <c r="A2" s="28" t="s">
        <v>959</v>
      </c>
      <c r="B2" s="515" t="s">
        <v>960</v>
      </c>
      <c r="C2" s="515"/>
      <c r="D2" s="515"/>
      <c r="E2" s="515"/>
      <c r="F2" s="515"/>
      <c r="G2" s="15" t="s">
        <v>961</v>
      </c>
    </row>
    <row r="3" spans="1:7" ht="45" customHeight="1" x14ac:dyDescent="0.25">
      <c r="A3" s="8" t="s">
        <v>962</v>
      </c>
      <c r="B3" s="516" t="s">
        <v>963</v>
      </c>
      <c r="C3" s="517"/>
      <c r="D3" s="517"/>
      <c r="E3" s="517"/>
      <c r="F3" s="518"/>
      <c r="G3" s="3" t="s">
        <v>964</v>
      </c>
    </row>
    <row r="4" spans="1:7" ht="45" customHeight="1" x14ac:dyDescent="0.25">
      <c r="A4" s="4"/>
      <c r="B4" s="519"/>
      <c r="C4" s="520"/>
      <c r="D4" s="520"/>
      <c r="E4" s="520"/>
      <c r="F4" s="521"/>
      <c r="G4" s="5"/>
    </row>
    <row r="5" spans="1:7" ht="45" customHeight="1" x14ac:dyDescent="0.25">
      <c r="A5" s="4"/>
      <c r="B5" s="519"/>
      <c r="C5" s="520"/>
      <c r="D5" s="520"/>
      <c r="E5" s="520"/>
      <c r="F5" s="521"/>
      <c r="G5" s="5"/>
    </row>
    <row r="6" spans="1:7" ht="45" customHeight="1" thickBot="1" x14ac:dyDescent="0.3">
      <c r="A6" s="6"/>
      <c r="B6" s="523"/>
      <c r="C6" s="523"/>
      <c r="D6" s="523"/>
      <c r="E6" s="523"/>
      <c r="F6" s="523"/>
      <c r="G6" s="7"/>
    </row>
    <row r="7" spans="1:7" ht="45" customHeight="1" thickBot="1" x14ac:dyDescent="0.3">
      <c r="A7" s="524"/>
      <c r="B7" s="524"/>
      <c r="C7" s="524"/>
      <c r="D7" s="524"/>
      <c r="E7" s="524"/>
      <c r="F7" s="524"/>
      <c r="G7" s="524"/>
    </row>
    <row r="8" spans="1:7" s="13" customFormat="1" ht="45" customHeight="1" x14ac:dyDescent="0.25">
      <c r="A8" s="11"/>
      <c r="B8" s="525" t="s">
        <v>965</v>
      </c>
      <c r="C8" s="525"/>
      <c r="D8" s="525" t="s">
        <v>966</v>
      </c>
      <c r="E8" s="525"/>
      <c r="F8" s="24" t="s">
        <v>959</v>
      </c>
      <c r="G8" s="12" t="s">
        <v>967</v>
      </c>
    </row>
    <row r="9" spans="1:7" ht="45" customHeight="1" x14ac:dyDescent="0.25">
      <c r="A9" s="14" t="s">
        <v>968</v>
      </c>
      <c r="B9" s="526" t="s">
        <v>969</v>
      </c>
      <c r="C9" s="526"/>
      <c r="D9" s="522" t="s">
        <v>970</v>
      </c>
      <c r="E9" s="522"/>
      <c r="F9" s="8" t="s">
        <v>962</v>
      </c>
      <c r="G9" s="9"/>
    </row>
    <row r="10" spans="1:7" ht="45" customHeight="1" x14ac:dyDescent="0.25">
      <c r="A10" s="14" t="s">
        <v>971</v>
      </c>
      <c r="B10" s="522" t="s">
        <v>972</v>
      </c>
      <c r="C10" s="522"/>
      <c r="D10" s="522" t="s">
        <v>973</v>
      </c>
      <c r="E10" s="522"/>
      <c r="F10" s="8" t="s">
        <v>962</v>
      </c>
      <c r="G10" s="9"/>
    </row>
    <row r="11" spans="1:7" ht="45" customHeight="1" thickBot="1" x14ac:dyDescent="0.3">
      <c r="A11" s="27" t="s">
        <v>974</v>
      </c>
      <c r="B11" s="522" t="s">
        <v>972</v>
      </c>
      <c r="C11" s="522"/>
      <c r="D11" s="522" t="s">
        <v>973</v>
      </c>
      <c r="E11" s="522"/>
      <c r="F11" s="8" t="s">
        <v>962</v>
      </c>
      <c r="G11" s="10"/>
    </row>
    <row r="12" spans="1:7" ht="45" customHeight="1" x14ac:dyDescent="0.25"/>
    <row r="13" spans="1:7" ht="45" customHeight="1" x14ac:dyDescent="0.25">
      <c r="E13" s="30"/>
    </row>
    <row r="14" spans="1:7" ht="45" customHeight="1" x14ac:dyDescent="0.25">
      <c r="E14" s="30">
        <v>134700001</v>
      </c>
    </row>
    <row r="15" spans="1:7" ht="45" customHeight="1" x14ac:dyDescent="0.25">
      <c r="E15" s="31">
        <f>E14*100/450000001</f>
        <v>29.933333489037036</v>
      </c>
    </row>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7F73-7727-459A-8687-61482BD6F598}">
  <dimension ref="A1:O20"/>
  <sheetViews>
    <sheetView topLeftCell="A5" workbookViewId="0">
      <selection activeCell="E12" sqref="E12"/>
    </sheetView>
  </sheetViews>
  <sheetFormatPr baseColWidth="10" defaultColWidth="11.42578125" defaultRowHeight="15" x14ac:dyDescent="0.25"/>
  <cols>
    <col min="1" max="1" width="43.140625" customWidth="1"/>
    <col min="2" max="2" width="19.85546875" customWidth="1"/>
    <col min="3" max="3" width="13.5703125" customWidth="1"/>
  </cols>
  <sheetData>
    <row r="1" spans="1:15" x14ac:dyDescent="0.25">
      <c r="A1" s="112" t="s">
        <v>975</v>
      </c>
      <c r="B1" s="112" t="s">
        <v>976</v>
      </c>
      <c r="C1" s="112" t="s">
        <v>977</v>
      </c>
    </row>
    <row r="2" spans="1:15" ht="45" customHeight="1" x14ac:dyDescent="0.25">
      <c r="A2" s="527" t="s">
        <v>89</v>
      </c>
      <c r="B2" s="111" t="s">
        <v>978</v>
      </c>
      <c r="C2" s="22"/>
    </row>
    <row r="3" spans="1:15" ht="29.25" customHeight="1" x14ac:dyDescent="0.25">
      <c r="A3" s="527"/>
      <c r="B3" s="111" t="s">
        <v>979</v>
      </c>
      <c r="C3" s="22"/>
    </row>
    <row r="4" spans="1:15" ht="32.25" customHeight="1" x14ac:dyDescent="0.25">
      <c r="A4" s="527"/>
      <c r="B4" s="111" t="s">
        <v>980</v>
      </c>
      <c r="C4" s="22"/>
    </row>
    <row r="8" spans="1:15" x14ac:dyDescent="0.25">
      <c r="A8" s="528" t="s">
        <v>981</v>
      </c>
      <c r="B8" s="528"/>
      <c r="C8" s="528"/>
      <c r="D8" s="528"/>
      <c r="E8" s="528"/>
      <c r="G8" s="13"/>
      <c r="H8" s="1"/>
      <c r="I8" s="1"/>
      <c r="J8" s="1"/>
      <c r="K8" s="1"/>
      <c r="L8" s="1"/>
      <c r="M8" s="1"/>
      <c r="N8" s="1"/>
    </row>
    <row r="9" spans="1:15" x14ac:dyDescent="0.25">
      <c r="G9" s="13"/>
      <c r="H9" s="1"/>
      <c r="I9" s="1"/>
      <c r="J9" s="1"/>
      <c r="K9" s="1"/>
      <c r="L9" s="1"/>
      <c r="M9" s="1"/>
      <c r="N9" s="1"/>
    </row>
    <row r="10" spans="1:15" x14ac:dyDescent="0.25">
      <c r="A10" t="s">
        <v>982</v>
      </c>
      <c r="G10" s="13"/>
      <c r="H10" s="1"/>
      <c r="I10" s="1"/>
      <c r="J10" s="1"/>
      <c r="K10" s="1"/>
      <c r="L10" s="1"/>
      <c r="M10" s="1"/>
      <c r="N10" s="1"/>
    </row>
    <row r="11" spans="1:15" x14ac:dyDescent="0.25">
      <c r="B11" s="110">
        <v>2020</v>
      </c>
      <c r="C11" s="110">
        <v>2021</v>
      </c>
      <c r="D11" s="110">
        <v>2022</v>
      </c>
      <c r="E11" s="110">
        <v>2023</v>
      </c>
      <c r="G11" s="13"/>
      <c r="H11" s="1"/>
      <c r="I11" s="1"/>
      <c r="J11" s="1"/>
      <c r="K11" s="1" t="s">
        <v>983</v>
      </c>
      <c r="L11" s="1"/>
      <c r="M11" s="1"/>
      <c r="N11" s="1"/>
    </row>
    <row r="12" spans="1:15" ht="45" x14ac:dyDescent="0.25">
      <c r="A12" s="107" t="s">
        <v>770</v>
      </c>
      <c r="B12" s="106">
        <f>+H12+K12</f>
        <v>0.625</v>
      </c>
      <c r="C12" s="106">
        <f>+B12+K12</f>
        <v>0.75</v>
      </c>
      <c r="D12" s="106">
        <f>+C12+K12</f>
        <v>0.875</v>
      </c>
      <c r="E12" s="106">
        <f>+D12+K12</f>
        <v>1</v>
      </c>
      <c r="G12" s="13" t="s">
        <v>984</v>
      </c>
      <c r="H12" s="109">
        <v>0.5</v>
      </c>
      <c r="I12" s="1" t="s">
        <v>985</v>
      </c>
      <c r="J12" s="109">
        <v>0.5</v>
      </c>
      <c r="K12" s="108">
        <f>+J12/4</f>
        <v>0.125</v>
      </c>
      <c r="L12" s="1" t="s">
        <v>986</v>
      </c>
      <c r="M12" s="108">
        <f>+K12/4</f>
        <v>3.125E-2</v>
      </c>
      <c r="N12" s="1"/>
    </row>
    <row r="13" spans="1:15" ht="90" x14ac:dyDescent="0.25">
      <c r="A13" s="107" t="s">
        <v>131</v>
      </c>
      <c r="B13" s="106">
        <v>2.5000000000000001E-3</v>
      </c>
      <c r="C13" s="106">
        <f>+B13+0.25%</f>
        <v>5.0000000000000001E-3</v>
      </c>
      <c r="D13" s="106">
        <f>+C13+0.25%</f>
        <v>7.4999999999999997E-3</v>
      </c>
      <c r="E13" s="106">
        <f>+D13+0.25%</f>
        <v>0.01</v>
      </c>
      <c r="G13" s="13"/>
      <c r="H13" s="1"/>
      <c r="I13" s="1"/>
      <c r="J13" s="1"/>
      <c r="K13" s="1"/>
      <c r="L13" s="1"/>
      <c r="M13" s="1"/>
      <c r="N13" s="1"/>
    </row>
    <row r="14" spans="1:15" ht="45" x14ac:dyDescent="0.25">
      <c r="A14" s="107" t="s">
        <v>235</v>
      </c>
      <c r="B14" s="106">
        <f>0+K14</f>
        <v>0.125</v>
      </c>
      <c r="C14" s="106">
        <f>+B14+K14</f>
        <v>0.25</v>
      </c>
      <c r="D14" s="106">
        <f>+C14+K14</f>
        <v>0.375</v>
      </c>
      <c r="E14" s="106">
        <f>+D14+K14</f>
        <v>0.5</v>
      </c>
      <c r="G14" s="13" t="s">
        <v>987</v>
      </c>
      <c r="H14" s="1">
        <v>0.5</v>
      </c>
      <c r="I14" s="1" t="s">
        <v>988</v>
      </c>
      <c r="J14" s="1">
        <v>0.5</v>
      </c>
      <c r="K14" s="1">
        <f>+J14/4</f>
        <v>0.125</v>
      </c>
      <c r="L14" s="1" t="s">
        <v>986</v>
      </c>
      <c r="M14" s="1">
        <f>+K14/4</f>
        <v>3.125E-2</v>
      </c>
      <c r="N14" s="1"/>
      <c r="O14" s="113">
        <f>(+M14*3)</f>
        <v>9.375E-2</v>
      </c>
    </row>
    <row r="15" spans="1:15" ht="30" x14ac:dyDescent="0.25">
      <c r="A15" s="107" t="s">
        <v>288</v>
      </c>
      <c r="B15" s="106">
        <f>+H15</f>
        <v>0.25</v>
      </c>
      <c r="C15" s="106">
        <f>+B15+H15</f>
        <v>0.5</v>
      </c>
      <c r="D15" s="106">
        <f>+C15+H15</f>
        <v>0.75</v>
      </c>
      <c r="E15" s="106">
        <f>+D15+H15</f>
        <v>1</v>
      </c>
      <c r="G15" s="13" t="s">
        <v>983</v>
      </c>
      <c r="H15" s="1">
        <f>1/4</f>
        <v>0.25</v>
      </c>
      <c r="I15" s="1" t="s">
        <v>986</v>
      </c>
      <c r="J15" s="1">
        <f>+H15/4</f>
        <v>6.25E-2</v>
      </c>
      <c r="K15" s="1"/>
      <c r="L15" s="1"/>
      <c r="M15" s="1"/>
      <c r="N15" s="1"/>
    </row>
    <row r="16" spans="1:15" ht="45" x14ac:dyDescent="0.25">
      <c r="A16" s="107" t="s">
        <v>327</v>
      </c>
      <c r="B16" s="106">
        <f>0+L16</f>
        <v>0.125</v>
      </c>
      <c r="C16" s="106">
        <f>+B16+L16</f>
        <v>0.25</v>
      </c>
      <c r="D16" s="106">
        <f>+C16+L16</f>
        <v>0.375</v>
      </c>
      <c r="E16" s="106">
        <f>+D16+L16</f>
        <v>0.5</v>
      </c>
      <c r="G16" s="13" t="s">
        <v>987</v>
      </c>
      <c r="H16" s="1">
        <v>0.5</v>
      </c>
      <c r="I16" s="1" t="s">
        <v>989</v>
      </c>
      <c r="J16" s="1">
        <v>0.5</v>
      </c>
      <c r="K16" s="1" t="s">
        <v>983</v>
      </c>
      <c r="L16" s="1">
        <f>+J16/4</f>
        <v>0.125</v>
      </c>
      <c r="M16" s="1" t="s">
        <v>986</v>
      </c>
      <c r="N16" s="1">
        <f>+L16/4</f>
        <v>3.125E-2</v>
      </c>
    </row>
    <row r="17" spans="1:15" ht="45" x14ac:dyDescent="0.25">
      <c r="A17" s="107" t="s">
        <v>513</v>
      </c>
      <c r="B17" s="106">
        <f>+J17</f>
        <v>0.125</v>
      </c>
      <c r="C17" s="106">
        <f>+B17+J17</f>
        <v>0.25</v>
      </c>
      <c r="D17" s="106">
        <f>+C17+J17</f>
        <v>0.375</v>
      </c>
      <c r="E17" s="106">
        <f>+D17+J17</f>
        <v>0.5</v>
      </c>
      <c r="G17" s="13" t="s">
        <v>990</v>
      </c>
      <c r="H17" s="1">
        <v>0.5</v>
      </c>
      <c r="I17" s="1" t="s">
        <v>983</v>
      </c>
      <c r="J17" s="1">
        <f>+H17/4</f>
        <v>0.125</v>
      </c>
      <c r="K17" s="1"/>
      <c r="L17" s="1" t="s">
        <v>986</v>
      </c>
      <c r="M17" s="1">
        <f>+J17/4</f>
        <v>3.125E-2</v>
      </c>
      <c r="N17" s="1"/>
    </row>
    <row r="20" spans="1:15" ht="45" x14ac:dyDescent="0.25">
      <c r="A20" s="105" t="s">
        <v>735</v>
      </c>
      <c r="G20" s="2" t="s">
        <v>991</v>
      </c>
      <c r="H20" s="2">
        <v>0.5</v>
      </c>
      <c r="I20" s="2" t="s">
        <v>992</v>
      </c>
      <c r="J20" s="2">
        <v>0.5</v>
      </c>
      <c r="K20" s="2"/>
      <c r="L20" s="2"/>
      <c r="M20" s="2"/>
      <c r="N20" s="2"/>
      <c r="O20" s="2"/>
    </row>
  </sheetData>
  <mergeCells count="2">
    <mergeCell ref="A2:A4"/>
    <mergeCell ref="A8:E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SICC</vt:lpstr>
      <vt:lpstr>PISCC</vt:lpstr>
      <vt:lpstr>INSTRUCTIVO</vt:lpstr>
      <vt:lpstr>CONTROL DE CAMBIOS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Marlene Andrade Hong</cp:lastModifiedBy>
  <cp:revision/>
  <dcterms:created xsi:type="dcterms:W3CDTF">2022-12-26T20:23:47Z</dcterms:created>
  <dcterms:modified xsi:type="dcterms:W3CDTF">2024-01-19T17:31:54Z</dcterms:modified>
  <cp:category/>
  <cp:contentStatus/>
</cp:coreProperties>
</file>