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uzma\OneDrive\Escritorio\SEGUIMIENTOS PLANES DE ACCON A CORTE 30 DE 2023\"/>
    </mc:Choice>
  </mc:AlternateContent>
  <xr:revisionPtr revIDLastSave="0" documentId="8_{D80B9462-808E-4ECA-8E64-6F9A06C014D9}" xr6:coauthVersionLast="47" xr6:coauthVersionMax="47" xr10:uidLastSave="{00000000-0000-0000-0000-000000000000}"/>
  <bookViews>
    <workbookView xWindow="0" yWindow="720" windowWidth="19200" windowHeight="10080" xr2:uid="{00000000-000D-0000-FFFF-FFFF00000000}"/>
  </bookViews>
  <sheets>
    <sheet name="PLAN DE ACCIÓN 2023" sheetId="1" r:id="rId1"/>
    <sheet name="Hoja1" sheetId="2" r:id="rId2"/>
  </sheets>
  <definedNames>
    <definedName name="_Hlk49970378" localSheetId="0">'PLAN DE ACCIÓN 2023'!$AF$14</definedName>
    <definedName name="_xlnm.Print_Area" localSheetId="0">'PLAN DE ACCIÓN 2023'!$A$1:$BA$23</definedName>
    <definedName name="_xlnm.Print_Titles" localSheetId="0">'PLAN DE ACCIÓN 2023'!$1:$5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3" i="1" l="1"/>
  <c r="AK22" i="1"/>
  <c r="AK20" i="1"/>
  <c r="AZ24" i="1"/>
  <c r="AZ23" i="1"/>
  <c r="AY23" i="1"/>
  <c r="AA23" i="1"/>
  <c r="AA13" i="1"/>
  <c r="X23" i="1"/>
  <c r="AB18" i="1"/>
  <c r="AT22" i="1" l="1"/>
  <c r="AT11" i="1"/>
  <c r="AT6" i="1"/>
  <c r="W22" i="1"/>
  <c r="W20" i="1"/>
  <c r="W14" i="1"/>
  <c r="W12" i="1"/>
  <c r="W11" i="1"/>
  <c r="W8" i="1"/>
  <c r="W6" i="1"/>
  <c r="AX23" i="1" l="1"/>
  <c r="AT20" i="1"/>
  <c r="AT14" i="1"/>
  <c r="AT23" i="1" s="1"/>
  <c r="AO11" i="1"/>
  <c r="AI22" i="1"/>
  <c r="AI14" i="1"/>
  <c r="AI6" i="1"/>
  <c r="AO6" i="1"/>
  <c r="Z22" i="1" l="1"/>
  <c r="AA22" i="1" s="1"/>
  <c r="Z6" i="1"/>
  <c r="K5" i="2" s="1"/>
  <c r="Z20" i="1"/>
  <c r="AA20" i="1" s="1"/>
  <c r="AI20" i="1"/>
  <c r="Z21" i="1"/>
  <c r="AA21" i="1" s="1"/>
  <c r="Z16" i="1"/>
  <c r="AA16" i="1" s="1"/>
  <c r="W17" i="1"/>
  <c r="X20" i="1"/>
  <c r="Z12" i="1"/>
  <c r="Z8" i="1"/>
  <c r="AB19" i="1" l="1"/>
  <c r="AA6" i="1"/>
  <c r="H6" i="1"/>
  <c r="Z14" i="1"/>
  <c r="H14" i="1" s="1"/>
  <c r="AA8" i="1"/>
  <c r="K6" i="2"/>
  <c r="Z11" i="1"/>
  <c r="AP11" i="1" s="1"/>
  <c r="AA12" i="1"/>
  <c r="L8" i="2" s="1"/>
  <c r="K8" i="2"/>
  <c r="AB16" i="1"/>
  <c r="AP6" i="1"/>
  <c r="H8" i="1"/>
  <c r="X11" i="1"/>
  <c r="X22" i="1"/>
  <c r="Y19" i="1" s="1"/>
  <c r="AA10" i="1" l="1"/>
  <c r="AB6" i="1"/>
  <c r="AB10" i="1" s="1"/>
  <c r="AA14" i="1"/>
  <c r="AA11" i="1"/>
  <c r="L7" i="2" s="1"/>
  <c r="AB11" i="1"/>
  <c r="M7" i="2" s="1"/>
  <c r="AP14" i="1"/>
  <c r="L6" i="2"/>
  <c r="L5" i="2"/>
  <c r="K7" i="2"/>
  <c r="H11" i="1"/>
  <c r="AH22" i="1"/>
  <c r="AH20" i="1"/>
  <c r="R14" i="1"/>
  <c r="X14" i="1" s="1"/>
  <c r="R12" i="1"/>
  <c r="Y11" i="1" s="1"/>
  <c r="X13" i="1" s="1"/>
  <c r="AH11" i="1"/>
  <c r="AH8" i="1"/>
  <c r="AO22" i="1"/>
  <c r="AP22" i="1" s="1"/>
  <c r="AO20" i="1"/>
  <c r="AP20" i="1" s="1"/>
  <c r="AO14" i="1"/>
  <c r="R6" i="1"/>
  <c r="X6" i="1" s="1"/>
  <c r="R8" i="1"/>
  <c r="X8" i="1" s="1"/>
  <c r="Y14" i="1" l="1"/>
  <c r="X15" i="1"/>
  <c r="AB14" i="1"/>
  <c r="AA15" i="1"/>
  <c r="X10" i="1"/>
  <c r="Y6" i="1"/>
  <c r="Y10" i="1" s="1"/>
  <c r="AJ7" i="1"/>
  <c r="AK7" i="1" s="1"/>
  <c r="AJ6" i="1"/>
  <c r="AK6" i="1" s="1"/>
  <c r="AB24" i="1"/>
  <c r="Y24" i="1"/>
  <c r="M5" i="2"/>
  <c r="AJ9" i="1"/>
  <c r="AK9" i="1" s="1"/>
  <c r="AH14" i="1"/>
  <c r="AK14" i="1" s="1"/>
  <c r="AK15" i="1" s="1"/>
  <c r="AH12" i="1"/>
  <c r="AJ12" i="1" s="1"/>
  <c r="AK12" i="1" s="1"/>
  <c r="X12" i="1"/>
  <c r="AJ8" i="1"/>
  <c r="AK8" i="1" s="1"/>
  <c r="AK10" i="1" l="1"/>
  <c r="AJ11" i="1"/>
  <c r="AK11" i="1" s="1"/>
  <c r="AK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gaona.solano.javier@gmail.com</author>
  </authors>
  <commentList>
    <comment ref="R6" authorId="0" shapeId="0" xr:uid="{00000000-0006-0000-0000-000001000000}">
      <text>
        <r>
          <rPr>
            <b/>
            <sz val="12"/>
            <color rgb="FF000000"/>
            <rFont val="Tahoma"/>
            <family val="2"/>
          </rPr>
          <t xml:space="preserve">SUBSIDIOS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58 CLP 1 y 2
</t>
        </r>
        <r>
          <rPr>
            <b/>
            <sz val="12"/>
            <color rgb="FF000000"/>
            <rFont val="Tahoma"/>
            <family val="2"/>
          </rPr>
          <t xml:space="preserve">  35 Caminos del Cerro
</t>
        </r>
        <r>
          <rPr>
            <b/>
            <sz val="12"/>
            <color rgb="FF000000"/>
            <rFont val="Tahoma"/>
            <family val="2"/>
          </rPr>
          <t xml:space="preserve">230 </t>
        </r>
        <r>
          <rPr>
            <b/>
            <sz val="12"/>
            <color rgb="FF000000"/>
            <rFont val="Tahoma"/>
            <family val="34"/>
          </rPr>
          <t>Convenio CD-06-2021</t>
        </r>
        <r>
          <rPr>
            <sz val="12"/>
            <color rgb="FF000000"/>
            <rFont val="Calibri"/>
            <family val="2"/>
          </rPr>
          <t xml:space="preserve"> </t>
        </r>
        <r>
          <rPr>
            <b/>
            <sz val="12"/>
            <color rgb="FF000000"/>
            <rFont val="Tahoma"/>
            <family val="2"/>
          </rPr>
          <t xml:space="preserve">Presupeusto 2023
</t>
        </r>
        <r>
          <rPr>
            <b/>
            <sz val="12"/>
            <color rgb="FF000000"/>
            <rFont val="Tahoma"/>
            <family val="2"/>
          </rPr>
          <t xml:space="preserve">660 Convenio CD-06-2021 </t>
        </r>
        <r>
          <rPr>
            <b/>
            <sz val="12"/>
            <color rgb="FF000000"/>
            <rFont val="Tahoma"/>
            <family val="34"/>
          </rPr>
          <t>Presupeusto 2022</t>
        </r>
        <r>
          <rPr>
            <sz val="12"/>
            <color rgb="FF000000"/>
            <rFont val="Calibri"/>
            <family val="2"/>
          </rPr>
          <t xml:space="preserve"> </t>
        </r>
      </text>
    </comment>
    <comment ref="R8" authorId="0" shapeId="0" xr:uid="{00000000-0006-0000-0000-000002000000}">
      <text>
        <r>
          <rPr>
            <b/>
            <sz val="12"/>
            <color rgb="FF000000"/>
            <rFont val="Tahoma"/>
            <family val="2"/>
          </rPr>
          <t xml:space="preserve">VIVIENDAS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230 CD-06-2021 Presupuesto 2023
</t>
        </r>
        <r>
          <rPr>
            <b/>
            <sz val="12"/>
            <color rgb="FF000000"/>
            <rFont val="Tahoma"/>
            <family val="34"/>
          </rPr>
          <t>660 CD-06-2021 Presupuesto 2022</t>
        </r>
        <r>
          <rPr>
            <sz val="12"/>
            <color rgb="FF000000"/>
            <rFont val="Tahoma"/>
            <family val="34"/>
          </rPr>
          <t xml:space="preserve"> </t>
        </r>
        <r>
          <rPr>
            <b/>
            <sz val="12"/>
            <color rgb="FF000000"/>
            <rFont val="Tahoma"/>
            <family val="34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126 Bahía San carlos Torre 2
</t>
        </r>
        <r>
          <rPr>
            <b/>
            <sz val="12"/>
            <color rgb="FF000000"/>
            <rFont val="Tahoma"/>
            <family val="2"/>
          </rPr>
          <t xml:space="preserve">  35 Caminos del Cerro</t>
        </r>
      </text>
    </comment>
    <comment ref="R11" authorId="0" shapeId="0" xr:uid="{00000000-0006-0000-0000-000003000000}">
      <text>
        <r>
          <rPr>
            <b/>
            <sz val="12"/>
            <color rgb="FF000000"/>
            <rFont val="Tahoma"/>
            <family val="2"/>
          </rPr>
          <t xml:space="preserve">MEJORAMIENTO URBANO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 1.500 CD-09-2022 Presupuesto 2022</t>
        </r>
      </text>
    </comment>
    <comment ref="R12" authorId="0" shapeId="0" xr:uid="{00000000-0006-0000-0000-000004000000}">
      <text>
        <r>
          <rPr>
            <b/>
            <sz val="12"/>
            <color rgb="FF000000"/>
            <rFont val="Tahoma"/>
            <family val="2"/>
          </rPr>
          <t xml:space="preserve">MEJORAMIENTO RURAL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460 VIVIENDA RURAL DISTRITO Presupuesto 2023
</t>
        </r>
        <r>
          <rPr>
            <b/>
            <sz val="12"/>
            <color rgb="FF000000"/>
            <rFont val="Tahoma"/>
            <family val="2"/>
          </rPr>
          <t xml:space="preserve">232 VIVIENDA RURAL DISTRITL Presupuesto 2022
</t>
        </r>
        <r>
          <rPr>
            <b/>
            <sz val="12"/>
            <color rgb="FF000000"/>
            <rFont val="Tahoma"/>
            <family val="2"/>
          </rPr>
          <t>230 VIVIENDA RURAL MVCT</t>
        </r>
      </text>
    </comment>
    <comment ref="R14" authorId="0" shapeId="0" xr:uid="{00000000-0006-0000-0000-000005000000}">
      <text>
        <r>
          <rPr>
            <b/>
            <sz val="12"/>
            <color rgb="FF000000"/>
            <rFont val="Tahoma"/>
            <family val="2"/>
          </rPr>
          <t xml:space="preserve">TITULACIÓN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1.518 TITULACIÓN x TRANSFERECIA DE PREDIOS
</t>
        </r>
        <r>
          <rPr>
            <b/>
            <sz val="12"/>
            <color rgb="FF000000"/>
            <rFont val="Tahoma"/>
            <family val="2"/>
          </rPr>
          <t>1.314 TITULACIÓN x CESIÓN GRATUITA</t>
        </r>
      </text>
    </comment>
  </commentList>
</comments>
</file>

<file path=xl/sharedStrings.xml><?xml version="1.0" encoding="utf-8"?>
<sst xmlns="http://schemas.openxmlformats.org/spreadsheetml/2006/main" count="456" uniqueCount="213">
  <si>
    <t>SEGUIMIENTO PLAN DE ACCIÓN - III TRIMESTRE 2023
FONDO DE VIVIENDA DE INTERÉS SOCIAL Y REFORMA URBANA DISTRITAL "CORVIVIENDA"</t>
  </si>
  <si>
    <r>
      <t xml:space="preserve">FECHA ELABORACIÓN   </t>
    </r>
    <r>
      <rPr>
        <b/>
        <sz val="16"/>
        <color theme="1"/>
        <rFont val="Calibri (Cuerpo)"/>
      </rPr>
      <t>DÍA: 30  MES: SEPTIEMBRE   AÑO: 2023</t>
    </r>
  </si>
  <si>
    <t>PLANTEAMIENTO ESTRATÉGICO PLAN DE DESARROLLO</t>
  </si>
  <si>
    <t>PLAN DE ACCION INFORMACION DE ACTIVIDADES</t>
  </si>
  <si>
    <t>PROGRAMACIÓN PRESUPUESTAL</t>
  </si>
  <si>
    <t>OBSERVACIONES</t>
  </si>
  <si>
    <t>PILAR</t>
  </si>
  <si>
    <t>LÍNEA ESTRATÉGICA</t>
  </si>
  <si>
    <t>INDICADOR DE BIENESTAR</t>
  </si>
  <si>
    <t>LINEA BASE INDICADOR DE BIENESTAR A 2019</t>
  </si>
  <si>
    <t>DESCRIPCION META DE BIENESTAR 2020-2023</t>
  </si>
  <si>
    <t>META DE 
BIENESTAR 
2020-2023</t>
  </si>
  <si>
    <t>UNIDAD DE MEDIDA META DE BIENESTAR</t>
  </si>
  <si>
    <t>PROGRAMACIÓN META BIENESTAR 
2023</t>
  </si>
  <si>
    <t xml:space="preserve">PROGRAMA </t>
  </si>
  <si>
    <t>INDICADOR DE PRODUCTO SEGÚN PDD</t>
  </si>
  <si>
    <t>UNIDAD DE MEDIDA DEL INDICADOR DE PRODUCTO</t>
  </si>
  <si>
    <t>LINEA BASE
2019
SEGÚN PDD</t>
  </si>
  <si>
    <t>DESCRIPCIÓN DE LA META PRODUCTO 2020-2023</t>
  </si>
  <si>
    <t>DENOMINACIÓN DEL PRODUCTO</t>
  </si>
  <si>
    <t>ENTREGABLE
INDICADOR DE PRODUCTO SEGÚN CATALOGO DE PRODUCTO</t>
  </si>
  <si>
    <t>VALOR DE LA META PRODUCTO 
2020-2023</t>
  </si>
  <si>
    <r>
      <rPr>
        <b/>
        <sz val="11"/>
        <color theme="1"/>
        <rFont val="Calibri (Cuerpo)"/>
      </rPr>
      <t>PROGRAMACIÓN</t>
    </r>
    <r>
      <rPr>
        <b/>
        <sz val="12"/>
        <color theme="1"/>
        <rFont val="Calibri"/>
        <family val="2"/>
        <scheme val="minor"/>
      </rPr>
      <t xml:space="preserve"> META PRODUCTO A 2023</t>
    </r>
  </si>
  <si>
    <t>ACUMULADO DE META PRODUCTO 2020-2022</t>
  </si>
  <si>
    <t>REPORTE META PRODUCTO
EJECUTADO DE ENERO 1 A 
MARZO 31</t>
  </si>
  <si>
    <t>REPORTE META PRODUCTO
EJECUTADO DE ABRIL 1 A
JUNIO 30</t>
  </si>
  <si>
    <t>REPORTE META PRODUCTO
EJECUTADO DE JULIO 1 A 
SEPTIEMBRE 30</t>
  </si>
  <si>
    <t>AVANCE META PRODUCTO 
2023</t>
  </si>
  <si>
    <t>% AVANCE DE LAS METAS A 2023</t>
  </si>
  <si>
    <t>% AVANCE DEL PROGRAMA  2023</t>
  </si>
  <si>
    <t>AVANCE METAS PRODUCTOS  EN EL CUATRIENIO</t>
  </si>
  <si>
    <t>% AVANCE DE LAS METAS EN EL CUATRIENIO</t>
  </si>
  <si>
    <t>% AVANCE DEL PROGRAMA EN EL CUATRIENIO</t>
  </si>
  <si>
    <t>PROYECTO DE INVERSIÓN</t>
  </si>
  <si>
    <t>CÓDIGO DE PROYECTO BPIN</t>
  </si>
  <si>
    <t>OBJETIVO DEL PROYECTO</t>
  </si>
  <si>
    <r>
      <t>A</t>
    </r>
    <r>
      <rPr>
        <b/>
        <sz val="12"/>
        <color theme="1"/>
        <rFont val="Calibri (Cuerpo)"/>
      </rPr>
      <t xml:space="preserve">CTIVIDADES DE PROYECTO DE INVERSION VIABILIZADAS EN SUIFP </t>
    </r>
    <r>
      <rPr>
        <b/>
        <sz val="12"/>
        <color theme="1"/>
        <rFont val="Calibri"/>
        <family val="2"/>
        <scheme val="minor"/>
      </rPr>
      <t>( HITOS )</t>
    </r>
  </si>
  <si>
    <t>ENTREGABLE</t>
  </si>
  <si>
    <t>PROGRAMACIÓN NUMERICA DE LA ACTIVIDAD PROYECTO 2023</t>
  </si>
  <si>
    <t>REPORTE ACTIVIDAD DE PROYECTO
EJECUTADO DE ENE 1 A SEP 30</t>
  </si>
  <si>
    <t>PONDERACIÒN DE LAS ACTIVIDADES (HITOS) DE PROYECTO</t>
  </si>
  <si>
    <t>AVANCE DE LAS ACTIVIDADES DEL PROYECTO
EJECUTADO DE ENE 1 A SEP 30</t>
  </si>
  <si>
    <t>FECHA DE INICIO DE LA ACTIVIDAD O ENTREGABLE</t>
  </si>
  <si>
    <t>FECHA DE TERMINACIÓN DEL ENTREGABLE</t>
  </si>
  <si>
    <t>TIEMPO DE EJECUCIÓN
(número de días)</t>
  </si>
  <si>
    <t>BENEFICIARIOS PROGRAMADOS</t>
  </si>
  <si>
    <t>BENEFICIARIOS CUBIERTOS</t>
  </si>
  <si>
    <t xml:space="preserve">DEPENDENCIA RESPONSABLE </t>
  </si>
  <si>
    <t>NOMBRE DEL RESPONSABLE</t>
  </si>
  <si>
    <t>FUENTE DE FINANCIACIÓN</t>
  </si>
  <si>
    <t>APROPIACIÓN
 DEFINITIVA
(EN PESOS)</t>
  </si>
  <si>
    <t>FUENTE PRESUPUESTAL</t>
  </si>
  <si>
    <t>RUBRO
PRESUPUESTAL</t>
  </si>
  <si>
    <r>
      <t xml:space="preserve">CÓDIGO </t>
    </r>
    <r>
      <rPr>
        <b/>
        <sz val="11"/>
        <color theme="1"/>
        <rFont val="Calibri (Cuerpo)"/>
      </rPr>
      <t>PRESUPUESTAL</t>
    </r>
  </si>
  <si>
    <t>REPORTE EJECUCIÓN PRESUPUESTAL
PROYECTO</t>
  </si>
  <si>
    <t>REPORTE EJECUCIÓN PRESUPUESTAL
PROYECTO SEGÚN PREDIS PLANEACION
COMPROMISOS</t>
  </si>
  <si>
    <t>REPORTE EJECUCIÓN PRESUPUESTAL
PROYECTO SEGÚN PREDIS PLANEACION
GIROS</t>
  </si>
  <si>
    <t>1.
BIEN</t>
  </si>
  <si>
    <t>2.
SERVICIO</t>
  </si>
  <si>
    <t xml:space="preserve">RESILIENTE </t>
  </si>
  <si>
    <t xml:space="preserve">VIVIENDA PARA TODOS </t>
  </si>
  <si>
    <t xml:space="preserve">DÉFICIT CUANTITATIVO DE VIVIENDA DISMINUIDO EN EL DISTRITO DE CARTAGENA </t>
  </si>
  <si>
    <t>36.794
HOGARES
SIN
VIVIENDA</t>
  </si>
  <si>
    <t xml:space="preserve">DISMINUIR EL DÉFICIT CUANTITATIVO DE VIVIENDA </t>
  </si>
  <si>
    <t>DISMINUCIÓN DE 13,6% DEL DÉFICIT CUANTITATIVO DE VIVIENDA CON SUBSIDIOS ADJUDICADOS
(5.000)</t>
  </si>
  <si>
    <t>NÚMERO DE SUBSIDIOS DE VIVIENDA NUEVA ADJUDICADOS</t>
  </si>
  <si>
    <t>JUNTOS POR UNA VIVIENDA DIGNA</t>
  </si>
  <si>
    <t>SUBSIDIOS FAMILIARES DE VIVIENDA ASIGNADOS</t>
  </si>
  <si>
    <t xml:space="preserve">ADJUDICACIÓN DE SUBSIDIOS DISTRITALES DE VIVIENDA PARA LA POBLACIÓN DE LOS ESTRATOS 1, 2 Y 3 </t>
  </si>
  <si>
    <t>X</t>
  </si>
  <si>
    <t>VIVIENDAS DE INTERÉS PRIORITARIO URBANAS CONSTRUIDAS</t>
  </si>
  <si>
    <t>APLICACIÓN A SUBSIDIOS E INICIACIÓN DE VIVIENDAS PARA LA POBLACIÓN BENEFICIADA DEL PROGRAMA JUNTOS POR UNA VIVIENDA DIGNA DE LA CIUDAD DE CARTAGENA DE INDIAS</t>
  </si>
  <si>
    <t>BPIN - 2020130010152</t>
  </si>
  <si>
    <t xml:space="preserve">
REDUCIR EL DÉFICIT HABITACIONAL CUANTITATIVO DE LA POBLACIÓN VULNERABLE OBJETIVO DEL DISTRITO TURÍSTICO Y CULTURAL DE CARTAGENA DE INDIAS.
</t>
  </si>
  <si>
    <t>ASIGNAR SUBSIDIOS TOTALES Y  COMPLEMENTARIOS DE VIVIENDA</t>
  </si>
  <si>
    <t>SUBSIDIOS DE VIVIENDA</t>
  </si>
  <si>
    <t>ENERO
2023</t>
  </si>
  <si>
    <t>DICIEMBRE
2023</t>
  </si>
  <si>
    <t xml:space="preserve">DIRECCIÓN  TÉCNICA </t>
  </si>
  <si>
    <t>INGENIERA FANIA CANTILLO CASTILLA</t>
  </si>
  <si>
    <t>INVERSIÓN</t>
  </si>
  <si>
    <t>1.2.1.0.00-001-ICLD</t>
  </si>
  <si>
    <t>APLICACIÓN A SUBSIDIOS FAMILIARES DE VIVIENDA PARA LA POBLACIÓN BENEFICIADA DEL PROGRAMA JUNTOS POR UNA VIVIENDA DIGNA DE LA CIUDAD DE CARTAGENA DE INDIAS</t>
  </si>
  <si>
    <t>2.3.4001.1400.2020130010152</t>
  </si>
  <si>
    <t>Para el III Trimestre de 2023:  
• Se asignaron 76 SFV en el marco del Convenio Interadministrativo CD-06-2021 "Mi Casa Ya", mediante Res. 1137 (18) - 1139 (2) - 1166 (12) - 1181 (16) - 1186 (1) - 1187 (1) y 1364 (26).
• Se anularon 13 SFV por perdida de ejecutoria en le proyecto CLP mediante Res. 388-733 - 734-735-736-1020-1021-1022-1023-1024- 1025 y 741 (2).
• Oferta institucional de asignación de 62 SFV para la Población Vicitmas del Conflicto Armado mediante Res. 913 de 2023 en Etapa de Recolección y Verifiación de Potenciales Beneficiario que cumplieron con la calificación exigida para el proceso.
• Se formaliza la entrega de 2 viviendas a damnificados del Barrio San Francisco mediante Res. 563 y 382 de 2023 CVV.
* A corte 30 de septiembre de 2023 se reportan 76 viviendas inicadas nuevas con Subsidio Distrital Complementario en:
   - 42 Proyecto San Sebastian 
   - 13 Proyecto Manaos Etapa 1 y Etapa 2   
   - 01 Proyecto Parques de Bolivar Cartagena 1
   - 09 Proyecto Parques de Bolivar Cartagena 3
   - 03 Proyecto Parques de Bolivar Cartagena 4
   - 07 Proyecto Territorio Mio
   - 01 Proyecto Parque de Galilea</t>
  </si>
  <si>
    <t>VERIFICAR INICIO DE OBRAS UNIDADES HABITACIONALES  CON SUBSIDIOS PROGRAMA 
MI CASA YA</t>
  </si>
  <si>
    <t>VIVIENDAS INICIADAS Y/O TERMINADAS</t>
  </si>
  <si>
    <t>DISMINUCIÓN DE 10,9% DEL DÉFICIT CUANTITATIVO DE VIVIENDA CON VIVIENDAS INICIADAS
(4.000)</t>
  </si>
  <si>
    <t>NÚMERO DE VIVIENDAS INICIADAS</t>
  </si>
  <si>
    <t xml:space="preserve">NÚMERO DE VIVIENDAS INICIADAS </t>
  </si>
  <si>
    <t xml:space="preserve">VIVIENDAS INICIADAS </t>
  </si>
  <si>
    <t>VIVIENDAS INICIADAS PARA POBREZA EXTREMA. CLASE TRABAJADORA, VÍCTIMAS DEL CONFLICTO ARMANDO, REINCORPORADOS Y AFECTADOS POR OLA INVERNAL, FALLAS GEOLÓGICAS Y OTROS DESASTRES</t>
  </si>
  <si>
    <t xml:space="preserve">HOGARES BENEFICIADOS CON ADQUISICIÓN DE VIVIENDA </t>
  </si>
  <si>
    <t>TERMINACIÓN  Y ENTREGA UNIDADES HABITACIONALES EN EL MARCO DEL PROYECTO CLP  3, 4, 5 Y CAMINOS DEL CERRO</t>
  </si>
  <si>
    <t>VIVIENDAS ENTREGADAS</t>
  </si>
  <si>
    <t>VERIFICAR INICIO DE OBRAS UNIDADES HABITACIONALES EN EL MARCO DEL PROYECTO BAHÍA SAN CARLOS TORRE 2</t>
  </si>
  <si>
    <t>VIVIENDAS 
INICIADAS</t>
  </si>
  <si>
    <t>AVANCE DEL PROGRAMA JUNTOS POR UNA VIVIENDA DIGNA</t>
  </si>
  <si>
    <t>AVANCE DEL PROYECTO APLICACIÓN A SUBSIDIOS E INICIACIÓN DE VIVIENDAS PARA LA POBLACIÓN BENEFICIADA DEL PROGRAMA JUNTOS POR UNA VIVIENDA DIGNA DE LA CIUDAD DE CARTAGENA DE INDIAS</t>
  </si>
  <si>
    <t xml:space="preserve">DÉFICIT CUALITATIVO DE VIVIENDA DISMINUIDO  EN EL DISTRITO DE CARTAGENA </t>
  </si>
  <si>
    <t>19.258
VIVIENDAS</t>
  </si>
  <si>
    <t xml:space="preserve">DISMINUIR EL DÉFICIT CUALITATIVO DE VIVIENDA </t>
  </si>
  <si>
    <t>DISMINUCIÓN DE 23,4% DEL DÉFICIT CUALITATIVO DE VIVIENDA
(4.500)</t>
  </si>
  <si>
    <t>NÚMERO DE SUBSIDIOS DE MEJORAMIENTO DE VIVIENDA ADJUDICADOS</t>
  </si>
  <si>
    <t xml:space="preserve">MEJORO MI CASA  COMPROMISO DE TODOS </t>
  </si>
  <si>
    <t xml:space="preserve">NÚMERO DE VIVIENDAS MEJORADAS SECTOR URBANO </t>
  </si>
  <si>
    <t>VIVIENDAS
MEJORADAS</t>
  </si>
  <si>
    <t>VIVIENDAS MEJORADAS EN ZONA URBANA DEL DISTRITO DE CARTAGENA</t>
  </si>
  <si>
    <t xml:space="preserve">HOGARES BENEFICIADOS CON MEJORAMIENTO DE UNA VIVIENDA  </t>
  </si>
  <si>
    <t>MEJORAMIENTO DE LAS CONDICIONES DE HABITABILIDAD PARA LA POBLACIÓN BENEFICIADA DEL SECTOR URBANO Y RURAL DEL PROGRAMA MEJOR MI CASA COMPROMISO DE TODOS DEL DISTRITO DE CARTAGENA DE INDIAS</t>
  </si>
  <si>
    <t>BPIN - 2020130010153</t>
  </si>
  <si>
    <t>REDUCIR EL DÉFICIT HABITACIONAL CUALITATIVO DE LOS HOGARES CON NECESIDADES BÁSICAS INSATISFECHAS DE HABITABILIDAD DEL DISTRITO TURÍSTICO Y CULTURAL DE CARTAGENA DE INDIAS.</t>
  </si>
  <si>
    <t xml:space="preserve"> REALIZAR  MEJORAS DE VIVIENDA EN EL MARCO DEL PROGRAMA "CAMBIA MI CASA"</t>
  </si>
  <si>
    <t>MEJORAMIENTO DE VIVIENDA SECTOR URBANO</t>
  </si>
  <si>
    <t>1.2.2.0.00-39-ICDE-CORVIVIENDA 15% IPU</t>
  </si>
  <si>
    <t>MEJORAMIENTO DE LAS CONDICIONES DE HABITABILIDAD PARA LA POBLACIÓN BENEFICIADA DEL SECTOR URBANO Y RURAL DEL PROGRAMA MEJORO MI CADA COMPROMISO DE TODOS DEL DISTRITO DE CARTAGENA DE INDIAS</t>
  </si>
  <si>
    <t>2.3.4001.1400.2020130010153</t>
  </si>
  <si>
    <t>• Convenio de Cooperación No. 009-2022 Programa "Cambia Mi Casa" del Gobierno Nacional en fase de postulación con un avance de 1099 viviendas postuladas de 1.300 en la plataforma del MVCT.
• En el marco del Programa "Resiliente e Incluyente en Colombia" se han postulado 258 viviendas de 250 programadas (Pontezuela, Puerto Rey, Arroyo de piedra, Tierra baja y Punta Canoa) y en espera de inicio de obras por FONVIVIENDA.
• En el marco del contrato LP-004-2022 en ejecución de 232 mejoras de vivienda sector rural, se están trabajando en 155 hogares, lo que representa un avance del 67%, de las cuales 82 finalizaron actividades constructivas con sus respectivas actas de entrega.
• El contrato LP-CVV-003-2023 en ejecución de 288 mejoras de vivienda rural y urbano, se está trabajando en 14 hogares (8 Bayunca - 6 Pontezuela).
• El contrato SA-CVV-006-2023 se adjudicó el 6 Sep. 2023 y correspondiente a 60 mejoras de vivienda en Pasacaballos.</t>
  </si>
  <si>
    <t>NÚMERO DE VIVIENDAS MEJORADAS SECTOR RURAL</t>
  </si>
  <si>
    <t>VIVIENDAS MEJORADAS</t>
  </si>
  <si>
    <t>VIVIENDAS MEJORADAS EN ZONA RURAL E INSULAR DEL DISTRITO DE CARTAGENA</t>
  </si>
  <si>
    <t xml:space="preserve"> REALIZAR  MEJORAS DE VIVIENDA EN EL SECTOR RURAL CORREGIMIENTOS DE LA JURISDICCIÓN</t>
  </si>
  <si>
    <t>MEJORAMIENTO DE VIVIENDA SECTOR RURAL</t>
  </si>
  <si>
    <t xml:space="preserve">AVANCE DEL PROGRAMA MEJORO MI CASA  COMPROMISO DE TODOS </t>
  </si>
  <si>
    <t>AVANCE DEL PROYECTO MEJORAMIENTO DE LAS CONDICIONES DE HABITABILIDAD PARA LA POBLACIÓN BENEFICIADA DEL SECTOR URBANO Y RURAL DEL PROGRAMA MEJOR MI CASA COMPROMISO DE TODOS DEL DISTRITO DE CARTAGENA DE INDIAS</t>
  </si>
  <si>
    <t xml:space="preserve">DÉFICIT  DE LEGALIZACIÓN Y TITULACIÓN DE PREDIOS  DISMINUIDO EN EL DISTRITO DE CARTAGENA </t>
  </si>
  <si>
    <t>14.770
VIVIENDAS</t>
  </si>
  <si>
    <t>DISMINUIR EL DÉFICIT DE LEGALIZACIÓN Y TITULACIÓN DE PREDIOS</t>
  </si>
  <si>
    <t>DISMINUCIÓN DE 30,5% DEL DÉFICIT DE LEGALIZACIÓN Y TITULACIÓN DE PREDIOS
(4.500)</t>
  </si>
  <si>
    <t>NÚMERO DE PREDIOS LEGALIZADOS Y/O TITULADOS</t>
  </si>
  <si>
    <t>¡MI CASA A LO LEGAL!</t>
  </si>
  <si>
    <t>NUMERO DE PREDIOS LEGALIZADOS Y/O TITULADOS</t>
  </si>
  <si>
    <t>PREDIOS LEGALIZADOS Y/O TITULADOS</t>
  </si>
  <si>
    <t xml:space="preserve">PREDIOS LEGALIZADOS Y/O TITULADOS EN EL DISTRITO DE CARTAGENA </t>
  </si>
  <si>
    <t>ENTIDADES TERRITORIALES ASISTIDAS TÉCNICA Y JURÍDICAMENTE</t>
  </si>
  <si>
    <t>TITULACIÓN Y/O LEGALIZACIÓN DE PREDIOS PARA LA POBLACIÓN BENEFICIADA DEL PROGRAMA MI CASA A LO LEGAL DE LA CIUDAD DE CARTAGENA DE INDIAS</t>
  </si>
  <si>
    <t>BPIN - 2020130010154</t>
  </si>
  <si>
    <t>REDUCIR EL DÉFICIT DE LEGALIZACIÓN Y TITULACIÓN DE PREDIOS EN SITUACIÓN DE ILEGALIDAD EN EL DISTRITO TURÍSTICO Y CULTURAL DE CARTAGENA DE INDIAS.</t>
  </si>
  <si>
    <t xml:space="preserve"> TRAMITAR Y OTORGAR TÍTULOS DE PROPIEDAD</t>
  </si>
  <si>
    <t>TÍTULOS
DE
PROPIEDAD</t>
  </si>
  <si>
    <t xml:space="preserve">OFICINA ASESORA JURÍDICA </t>
  </si>
  <si>
    <t>ABOGADO BORIS SIERRA TÁMARA</t>
  </si>
  <si>
    <t>TITULACION Y/O LEGALIZACIÓN DE PREDIOS PARA LA POBLACIÓN BENEFICIADA DEL PROGRAMA MI CASA A LO LEGAL DE LA CIUDAD DE CARTAGENA DE INDIAS</t>
  </si>
  <si>
    <t>2.3.4001.1400.2020130010154</t>
  </si>
  <si>
    <r>
      <t xml:space="preserve">Para el III Trimestre 2023 se han  titulado 517 predios así:
• Se registraron por transferencia de dominio en la ORIP </t>
    </r>
    <r>
      <rPr>
        <b/>
        <u/>
        <sz val="12"/>
        <color theme="1"/>
        <rFont val="Calibri (Cuerpo)"/>
      </rPr>
      <t>413 titulos de propiedad</t>
    </r>
    <r>
      <rPr>
        <sz val="12"/>
        <color theme="1"/>
        <rFont val="Calibri"/>
        <family val="2"/>
        <scheme val="minor"/>
      </rPr>
      <t xml:space="preserve"> con Certificados de Tradición y Libertad de Ciudadela de La Paz barrio El Pozón.
• Se tramitaron y registraron </t>
    </r>
    <r>
      <rPr>
        <b/>
        <u/>
        <sz val="12"/>
        <color theme="1"/>
        <rFont val="Calibri (Cuerpo)"/>
      </rPr>
      <t xml:space="preserve">8 escrituras publicas </t>
    </r>
    <r>
      <rPr>
        <sz val="12"/>
        <color theme="1"/>
        <rFont val="Calibri"/>
        <family val="2"/>
        <scheme val="minor"/>
      </rPr>
      <t xml:space="preserve">de Manzana 72 barrio Bicentenario.
• Se registraron por cesión gratuita en la ORIP  </t>
    </r>
    <r>
      <rPr>
        <b/>
        <u/>
        <sz val="12"/>
        <color theme="1"/>
        <rFont val="Calibri (Cuerpo)"/>
      </rPr>
      <t>96 titulos de propiedad</t>
    </r>
    <r>
      <rPr>
        <sz val="12"/>
        <color theme="1"/>
        <rFont val="Calibri"/>
        <family val="2"/>
        <scheme val="minor"/>
      </rPr>
      <t xml:space="preserve"> con certificados de asignación.</t>
    </r>
  </si>
  <si>
    <t>AVANCE DEL PROGRAMA MI CASA A LO LEGAL</t>
  </si>
  <si>
    <t>AVANCE DEL PROYECTO TITULACIÓN Y/O LEGALIZACIÓN DE PREDIOS PARA LA POBLACIÓN BENEFICIADA DEL PROGRAMA MI CASA A LO LEGAL DE LA CIUDAD DE CARTAGENA DE INDIAS</t>
  </si>
  <si>
    <t>ND</t>
  </si>
  <si>
    <t>NA</t>
  </si>
  <si>
    <t>UN LUGAR APTO PARA MI HOGAR</t>
  </si>
  <si>
    <t>NÚMERO DE INSTRUMENTOS Y/O DIAGNÓSTICOS QUE IDENTIFIQUEN ÁREAS DISPONIBLES PARA LA CONSTRUCCIÓN DE VIVIENDAS VIS Y/O VIP</t>
  </si>
  <si>
    <t>DOCUMENTO TÉCNICO, INSTRUMENTO Y/O DIAGNÓSTICO</t>
  </si>
  <si>
    <t>DOCUMENTOS TÉCNICOS, INSTRUMENTOS Y/O DIAGNÓSTICOS DESTINADOS A IDENTIFICAR SUELO DISPONIBLE PARA LA CONSTRUCCIÓN DE VIVIENDAS VIS Y/O VIP EN EL DISTRITO DE CARTAGENA DE INDIAS</t>
  </si>
  <si>
    <t>DOCUMENTOS TÉCNICOS, INSTRUMENTOS Y/O DIAGNÓSTICOS</t>
  </si>
  <si>
    <t>NP</t>
  </si>
  <si>
    <t>Meta cumplida 100% vigencia 2022.</t>
  </si>
  <si>
    <t xml:space="preserve">NÚMERO DE HECTÁREAS DE TIERRAS APTAS PARA LA CONSTRUCCIÓN DE VIVIENDA NUEVA </t>
  </si>
  <si>
    <t>HECTÁREAS</t>
  </si>
  <si>
    <t xml:space="preserve">ADQUISICIÓŃN DE HECTÁREAS IDENTIFICADAS PARA LA CONSTRUCCIÓŃN DE VIVIENDAS VIS Y/O VIP EN EL DISTRITO DE CARTAGENA DE INDIAS </t>
  </si>
  <si>
    <t>HECTÁREAS DE TIERRAS</t>
  </si>
  <si>
    <t>Con respecto a la meta para la adquisición de 10 hectáreas identificadas para la construcción de viviendas VIS y/o VIP en el Distrito de Cartagena de Indias, esta meta no se programó durante el cuatrienio debido a que CORVIVIENDA no cuenta con el presupuesto suficiente para la programación de una compraventa de un bien raíz, debido a que el presupuesto general asignado a CORVIVENDA se encuentra pignorado con el 35% para las vigencias 2020 y 2021, con el 45% para la vigencia 2022 y con el 48% para la vigencia 2023, en atención al Acuerdo 004 del 8 de julio de 2019.</t>
  </si>
  <si>
    <t>AVANCE DEL PROGRAMA UN LUGAR APTO PARA MI HOGAR</t>
  </si>
  <si>
    <t>MI CASA,
MI ENTORNO,
MI HÁBITAT</t>
  </si>
  <si>
    <t xml:space="preserve">NÚMERO DE DOCUMENTOS, ESTUDIOS O INFORMES REALIZADOS PARA LA MEDICIÓN INTEGRAL DE LAS NECESIDADES HABITACIONALES (MINH) </t>
  </si>
  <si>
    <t>DOCUMENTO GENERAL E INFORMES DE SEGUIMIENTO</t>
  </si>
  <si>
    <t>DOCUMENTO GENERAL E INFORMES DE SEGUIMIENTO PARA LA MEDICIÓN DE LAS NECESIDADES HABITACIONALES (MINH)</t>
  </si>
  <si>
    <t xml:space="preserve">No se programa la presente meta durante el cuatrienio mientras no se adopte el nuevo POT de Cartagena. 
Está meta se fundamenta en la actualización del Plan Maestro de Vivienda a partir del nuevo Plan de Ordenamiento Territorial de la ciudad de Cartagena de Indias, en alineación con el Decreto Nacional 1077 de 2015 y las disposiciones que lo complementen o deroguen.
</t>
  </si>
  <si>
    <t xml:space="preserve">NÚMERO DE ESTUDIOS Y SEGUIMIENTOS PARA LA CONFORMACIÓN DE LA LÍNEA ESTRATÉGICA DE ESTUDIOS DE VIVIENDA VIS </t>
  </si>
  <si>
    <t>INFORME DE ESTUDIO Y SEGUIMIENTO</t>
  </si>
  <si>
    <t>ESTUDIOS Y SEGUIMIENTO PARA LA CONFORMACIÓN DE LA LÍNEA ESTRATÉGICA DE ESTUDIOS DE VIVIENDA VIS QUE SE ARTICULARÁ EN EL OBSERVATORIO DISTRITAL</t>
  </si>
  <si>
    <t>SISTEMAS DE INFORMACIÓN ACTUALIZADOS</t>
  </si>
  <si>
    <t>ELABORACIÓN DE ESTUDIOS SECTORIALES Y SEGUIMIENTO A LA LÍNEA ESTRATÉGICA DE VIVIENDA A TRAVÉS DE UN OBSERVATORIO DE VIVIENDA DE INTERÉS SOCIAL DEL PROGRAMA MI CASA, MI ENTORNO, MI HÁBITAT DE LA CIUDAD DE CARTAGENA DE INDIAS</t>
  </si>
  <si>
    <t>BPIN - 2020130010306</t>
  </si>
  <si>
    <t>CONSTRUIR INFORMACIÓN DE VALOR PARA LA CREACIÓN Y SEGUIMIENTO DE POLÍTICAS PÚBLICAS DEL SECTOR VIVIENDA EN EL DISTRITO TURÍSTICO Y CULTURAL DE CARTAGENA DE INDIAS</t>
  </si>
  <si>
    <t>REALIZAR INFORME 
DE ESTUDIO Y SEGUIMIENTO DE INVESTIGACIÓN DEL SECTOR VIVIENDA DEL DISTRITO DE CARTAGENA DE INDIAS</t>
  </si>
  <si>
    <t>ESTUDIO DEL SECTOR VIVIENDA</t>
  </si>
  <si>
    <t>OFICINA ASESORA DE PLANEACIÓN</t>
  </si>
  <si>
    <r>
      <rPr>
        <sz val="11.5"/>
        <color theme="1"/>
        <rFont val="Calibri (Cuerpo)"/>
      </rPr>
      <t>ADMINISTRADOR</t>
    </r>
    <r>
      <rPr>
        <sz val="14"/>
        <color theme="1"/>
        <rFont val="Calibri"/>
        <family val="2"/>
        <scheme val="minor"/>
      </rPr>
      <t xml:space="preserve"> JAVIER GAONA SOLANO</t>
    </r>
  </si>
  <si>
    <t>2.3.4002.1400.2020130010306</t>
  </si>
  <si>
    <t>El Tercer Estudio del Sector "Problema y Desafios para la Política Pública de Vivienda y Hábitat del Distrtio de Cartagena de Indias", tiene un avance del 90%, quedando los primeros cinco capítulos terminados, en los cuales se centran en la dimensión y descripción del problema público. El sexto capítulo, relacionado con los beneficios de la política de vivienda, tiene un avance del 60%.
Se suscribió Memorando de Entendimiento con la CAMACOL (2023.08.08), con el cual se aunaran esfuerzos para la realización de actividades académicas e investigativas en el marco del Observatorio de Vivienda del Distrito de Cartagena de Indias – OVIC.
Se realizaron dos (2) mesas de trabajo con la academia y gremios del sector vivienda durante el trimestre para la consolidación de acciones orientadas a la generación, difusión y apropiación social del conocimiento en el sector vivienda, apoyados en el análisis y visualización de estadísticas a través del OVIC. En total se han en el 2023 diez (10) mesas de trabajo.</t>
  </si>
  <si>
    <t xml:space="preserve">FORMULACIÓN Y/O PARTICIPACIÓN INSTRUMENTOS DE PLANEACIÓN Y/O GESTIÓN URBANÍSTICA QUE DESARROLLEN EL POT </t>
  </si>
  <si>
    <t>INSTRUMENTO DE PLANEACIÓN Y/O GESTIÓN URBANÍSTICA</t>
  </si>
  <si>
    <t>FORMULACIÓN Y/O PARTICIPACIÓN EN INSTRUMENTOS DE PLANEACIÓN Y/O GESTIÓN URBANÍSTICA QUE DESARROLLE EL POT (PLAN PARCIAL)</t>
  </si>
  <si>
    <t>FORMULACIÓN Y/O PARTICIPACIÓN EN INSTRUMENTOS DE PLANEACIÓN
NUEVO POT</t>
  </si>
  <si>
    <t xml:space="preserve">NÚMERO DE DOCUMENTOS TÉCNICOS DE SOPORTE DTS ELABORADOS PARA LA LEGALIZACIÓN URBANÍSTICA A REALIZARSE </t>
  </si>
  <si>
    <t>DOCUMENTO TÉCNICO DE SOPORTE</t>
  </si>
  <si>
    <t>ELABORACIÓN DE DOCUMENTOS TÉCNICOS DE SOPORTE DTS PARA LA LEGALIZACIÓN URBANÍSTICA A REALIZARSE</t>
  </si>
  <si>
    <t>INSTRUMENTOS NORMATIVOS FORMULADOS</t>
  </si>
  <si>
    <t>ELABORACIÓN DE ESTUDIOS Y TRÁMITES DE LEGALIZACIÓN URBANÍSTICA DE BARRIOS DEL PROGRAMA MI CASA, MI ENTORNO, MI HÁBITAT, EN LA CIUDAD DE CARTAGENA DE INDIAS</t>
  </si>
  <si>
    <t>BPIN - 2020130010308</t>
  </si>
  <si>
    <t>AUMENTAR LA DISPONIBILIDAD DE BARRIOS CON PROCESOS DE LEGALIZACIÓN URBANÍSTICA PARA QUE PUEDAN ACCEDER A LA OFERTA DE PROYECTOS DE MEJORAMIENTO DE VIVIENDA Y TITULACIÓN DE PREDIOS EN EL DISTRITO TURÍSTICO Y CULTURAL DE CARTAGENA DE INDIAS</t>
  </si>
  <si>
    <t xml:space="preserve">ELABORAR  DOCUMENTOS TÉCNICOS DE SOPORTE  PARA LEGALIZACIÓN URBANÍSTICA DE BARRIOS QUE CUMPLAN CON LOS CRITERIOS DE PROCEDENCIA  </t>
  </si>
  <si>
    <t>DOCUMENTO
TÉCNICO
DE
SOPORTE</t>
  </si>
  <si>
    <t>2.3.4002.1400.2020130010308</t>
  </si>
  <si>
    <r>
      <t xml:space="preserve">El avance del III Trimestre es del </t>
    </r>
    <r>
      <rPr>
        <b/>
        <u/>
        <sz val="12"/>
        <color theme="1"/>
        <rFont val="Calibri (Cuerpo)"/>
      </rPr>
      <t>21%</t>
    </r>
    <r>
      <rPr>
        <sz val="12"/>
        <color theme="1"/>
        <rFont val="Calibri"/>
        <family val="2"/>
        <scheme val="minor"/>
      </rPr>
      <t xml:space="preserve"> para un total del </t>
    </r>
    <r>
      <rPr>
        <b/>
        <u/>
        <sz val="12"/>
        <color theme="1"/>
        <rFont val="Calibri (Cuerpo)"/>
      </rPr>
      <t>producto del 73%</t>
    </r>
    <r>
      <rPr>
        <sz val="12"/>
        <color theme="1"/>
        <rFont val="Calibri"/>
        <family val="2"/>
        <scheme val="minor"/>
      </rPr>
      <t xml:space="preserve">, con las siguientes actividades realizadas:
* Se realizaron </t>
    </r>
    <r>
      <rPr>
        <b/>
        <u/>
        <sz val="12"/>
        <color theme="1"/>
        <rFont val="Calibri (Cuerpo)"/>
      </rPr>
      <t>452 carteras de detalle</t>
    </r>
    <r>
      <rPr>
        <sz val="12"/>
        <color theme="1"/>
        <rFont val="Calibri"/>
        <family val="2"/>
        <scheme val="minor"/>
      </rPr>
      <t xml:space="preserve"> de las zonas 1, 2, 4 y 5, como parte integral de los 6 Documentos Técnicos de Soporte.
* Apoyo a la supervisón del contrato SAMC-08-2022 y el 19 Sep 2023 se recibieron todos los productos correspondientss a los 6 planos de loteo con sus anexos (memorias y carteras), de los cuales están en verificación y ajuste las zonas 3 y 6.</t>
    </r>
  </si>
  <si>
    <r>
      <t xml:space="preserve">FUENTE:   </t>
    </r>
    <r>
      <rPr>
        <b/>
        <sz val="11"/>
        <color theme="1"/>
        <rFont val="Calibri (Cuerpo)"/>
      </rPr>
      <t>OFICINA ASESORA DE PLANEACIÓN</t>
    </r>
    <r>
      <rPr>
        <b/>
        <sz val="11"/>
        <color theme="1"/>
        <rFont val="Calibri"/>
        <family val="2"/>
        <scheme val="minor"/>
      </rPr>
      <t xml:space="preserve"> CORVIVIENDA</t>
    </r>
  </si>
  <si>
    <t>AVANCE DEL PROGRAMA MI CASA MI ENTORNO MI HABITAT</t>
  </si>
  <si>
    <t>AVANCE PROYECTOS DEL PROGRAMA</t>
  </si>
  <si>
    <t>PRESUPUESTO DE INVERSIÓN 2023</t>
  </si>
  <si>
    <t>PRESUPUESTO EJECUTADO 2023</t>
  </si>
  <si>
    <t>% AVANCE METAS CORVIVIENDA 2023</t>
  </si>
  <si>
    <t>% AVANCE CUATRIENIO</t>
  </si>
  <si>
    <t>%  AVANCE EJECUCION PPTAL SEGÚN PLANEACION</t>
  </si>
  <si>
    <t>INDICADOR DE PRODUCTO
PDD 2020-2023</t>
  </si>
  <si>
    <t>UNIDAD DE MEDIDA INDICADOR DE PRODUCTO</t>
  </si>
  <si>
    <t>LINEA BASE
2019 SEGÚN 
PDD 2020-2023</t>
  </si>
  <si>
    <t>DESCRIPCIÓN DE LA META PRODUCTO 
2020-2023</t>
  </si>
  <si>
    <t>ENTREGABLE
INDICADOR DE PRODUCTO</t>
  </si>
  <si>
    <t>AVANCE METAS PRODUCTOS  CUATRIENIO</t>
  </si>
  <si>
    <t>% AVANCE DE LAS METAS CUATRIENIO</t>
  </si>
  <si>
    <t>% AVANCE DEL PROGRAMA CUATRIENIO</t>
  </si>
  <si>
    <t>1. BIEN</t>
  </si>
  <si>
    <t>2.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</si>
</sst>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#,##0.0"/>
    <numFmt numFmtId="169" formatCode="_-&quot;$&quot;* #,##0.00_-;\-&quot;$&quot;* #,##0.00_-;_-&quot;$&quot;* &quot;-&quot;_-;_-@_-"/>
    <numFmt numFmtId="170" formatCode="0.0%"/>
    <numFmt numFmtId="171" formatCode="_-&quot;$&quot;* #,##0.0_-;\-&quot;$&quot;* #,##0.0_-;_-&quot;$&quot;* &quot;-&quot;_-;_-@_-"/>
  </numFmts>
  <fonts count="4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(Cuerpo)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2"/>
      <color rgb="FF000000"/>
      <name val="Tahoma"/>
      <family val="34"/>
    </font>
    <font>
      <sz val="12"/>
      <color rgb="FF000000"/>
      <name val="Tahoma"/>
      <family val="34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.5"/>
      <color theme="1"/>
      <name val="Calibri (Cuerpo)"/>
    </font>
    <font>
      <sz val="18"/>
      <color theme="1"/>
      <name val="Calibri (Cuerpo)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 (Cuerpo)"/>
    </font>
    <font>
      <sz val="12"/>
      <color rgb="FF000000"/>
      <name val="Calibri"/>
      <family val="2"/>
    </font>
    <font>
      <b/>
      <sz val="16"/>
      <color rgb="FFC00000"/>
      <name val="Calibri"/>
      <family val="2"/>
      <scheme val="minor"/>
    </font>
    <font>
      <b/>
      <sz val="16"/>
      <color theme="1"/>
      <name val="Calibri (Cuerpo)"/>
    </font>
    <font>
      <b/>
      <u/>
      <sz val="12"/>
      <color theme="1"/>
      <name val="Calibri (Cuerpo)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8">
    <xf numFmtId="0" fontId="0" fillId="0" borderId="0" xfId="0"/>
    <xf numFmtId="0" fontId="5" fillId="0" borderId="0" xfId="0" applyFont="1"/>
    <xf numFmtId="0" fontId="5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textRotation="90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8" fillId="0" borderId="0" xfId="0" applyFont="1"/>
    <xf numFmtId="3" fontId="11" fillId="0" borderId="0" xfId="0" applyNumberFormat="1" applyFont="1" applyAlignment="1">
      <alignment horizontal="center"/>
    </xf>
    <xf numFmtId="164" fontId="11" fillId="0" borderId="2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3" fontId="11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" fontId="13" fillId="0" borderId="10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/>
    <xf numFmtId="17" fontId="13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17" fontId="13" fillId="0" borderId="2" xfId="0" applyNumberFormat="1" applyFont="1" applyBorder="1" applyAlignment="1">
      <alignment horizontal="center" vertical="center" wrapText="1"/>
    </xf>
    <xf numFmtId="169" fontId="1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textRotation="90" wrapText="1"/>
    </xf>
    <xf numFmtId="0" fontId="10" fillId="0" borderId="16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17" fontId="13" fillId="0" borderId="16" xfId="0" applyNumberFormat="1" applyFont="1" applyBorder="1" applyAlignment="1">
      <alignment horizontal="center" vertical="center" wrapText="1"/>
    </xf>
    <xf numFmtId="17" fontId="13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169" fontId="11" fillId="0" borderId="11" xfId="0" applyNumberFormat="1" applyFont="1" applyBorder="1" applyAlignment="1">
      <alignment horizontal="center" vertical="center"/>
    </xf>
    <xf numFmtId="164" fontId="11" fillId="0" borderId="11" xfId="2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9" fontId="11" fillId="0" borderId="16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0" fontId="12" fillId="0" borderId="4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10" fontId="12" fillId="2" borderId="10" xfId="3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top"/>
    </xf>
    <xf numFmtId="0" fontId="11" fillId="0" borderId="13" xfId="0" applyFont="1" applyBorder="1" applyAlignment="1">
      <alignment horizontal="center" vertical="center" wrapText="1"/>
    </xf>
    <xf numFmtId="10" fontId="12" fillId="0" borderId="13" xfId="3" applyNumberFormat="1" applyFont="1" applyFill="1" applyBorder="1" applyAlignment="1">
      <alignment horizontal="center" vertical="center" wrapText="1"/>
    </xf>
    <xf numFmtId="166" fontId="10" fillId="0" borderId="13" xfId="1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168" fontId="14" fillId="0" borderId="8" xfId="0" applyNumberFormat="1" applyFont="1" applyBorder="1" applyAlignment="1">
      <alignment horizontal="center" vertical="center" wrapText="1"/>
    </xf>
    <xf numFmtId="170" fontId="12" fillId="0" borderId="2" xfId="3" applyNumberFormat="1" applyFont="1" applyBorder="1" applyAlignment="1">
      <alignment horizontal="center" vertical="center" wrapText="1"/>
    </xf>
    <xf numFmtId="170" fontId="12" fillId="0" borderId="8" xfId="3" applyNumberFormat="1" applyFont="1" applyBorder="1" applyAlignment="1">
      <alignment horizontal="center" vertical="center" wrapText="1"/>
    </xf>
    <xf numFmtId="170" fontId="12" fillId="0" borderId="0" xfId="3" applyNumberFormat="1" applyFont="1"/>
    <xf numFmtId="10" fontId="12" fillId="6" borderId="13" xfId="3" applyNumberFormat="1" applyFont="1" applyFill="1" applyBorder="1" applyAlignment="1">
      <alignment horizontal="center" vertical="center" wrapText="1"/>
    </xf>
    <xf numFmtId="10" fontId="12" fillId="0" borderId="0" xfId="3" applyNumberFormat="1" applyFont="1"/>
    <xf numFmtId="0" fontId="19" fillId="0" borderId="13" xfId="0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0" fontId="12" fillId="0" borderId="4" xfId="3" applyNumberFormat="1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70" fontId="14" fillId="0" borderId="1" xfId="3" applyNumberFormat="1" applyFont="1" applyBorder="1" applyAlignment="1">
      <alignment horizontal="center" vertical="center" wrapText="1"/>
    </xf>
    <xf numFmtId="10" fontId="12" fillId="0" borderId="2" xfId="3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0" fontId="12" fillId="6" borderId="14" xfId="0" applyNumberFormat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9" fontId="14" fillId="0" borderId="1" xfId="3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textRotation="90" wrapText="1"/>
    </xf>
    <xf numFmtId="0" fontId="11" fillId="0" borderId="47" xfId="0" applyFont="1" applyBorder="1" applyAlignment="1">
      <alignment horizontal="center" vertical="center" textRotation="90" wrapText="1"/>
    </xf>
    <xf numFmtId="0" fontId="11" fillId="0" borderId="41" xfId="0" applyFont="1" applyBorder="1" applyAlignment="1">
      <alignment horizontal="center" vertical="center" textRotation="90" wrapText="1"/>
    </xf>
    <xf numFmtId="169" fontId="11" fillId="0" borderId="21" xfId="0" applyNumberFormat="1" applyFont="1" applyBorder="1" applyAlignment="1">
      <alignment horizontal="center" vertical="center"/>
    </xf>
    <xf numFmtId="169" fontId="11" fillId="0" borderId="15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9" fontId="12" fillId="0" borderId="48" xfId="0" applyNumberFormat="1" applyFont="1" applyBorder="1" applyAlignment="1">
      <alignment horizontal="center" vertical="center"/>
    </xf>
    <xf numFmtId="164" fontId="12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9" fontId="12" fillId="0" borderId="7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wrapText="1"/>
    </xf>
    <xf numFmtId="166" fontId="12" fillId="0" borderId="4" xfId="1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8" xfId="1" applyNumberFormat="1" applyFont="1" applyBorder="1" applyAlignment="1">
      <alignment horizontal="center" vertical="center" wrapText="1"/>
    </xf>
    <xf numFmtId="166" fontId="12" fillId="0" borderId="2" xfId="1" applyNumberFormat="1" applyFont="1" applyBorder="1" applyAlignment="1">
      <alignment horizontal="center" vertical="center" wrapText="1"/>
    </xf>
    <xf numFmtId="170" fontId="12" fillId="6" borderId="4" xfId="3" applyNumberFormat="1" applyFont="1" applyFill="1" applyBorder="1" applyAlignment="1">
      <alignment horizontal="center" vertical="center" wrapText="1"/>
    </xf>
    <xf numFmtId="9" fontId="12" fillId="6" borderId="5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169" fontId="12" fillId="0" borderId="50" xfId="0" applyNumberFormat="1" applyFont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169" fontId="12" fillId="0" borderId="15" xfId="0" applyNumberFormat="1" applyFont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9" fontId="0" fillId="0" borderId="0" xfId="3" applyFont="1"/>
    <xf numFmtId="0" fontId="9" fillId="4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68" fontId="14" fillId="0" borderId="1" xfId="0" applyNumberFormat="1" applyFont="1" applyBorder="1" applyAlignment="1">
      <alignment horizontal="center" vertical="center" wrapText="1"/>
    </xf>
    <xf numFmtId="168" fontId="14" fillId="2" borderId="1" xfId="0" applyNumberFormat="1" applyFont="1" applyFill="1" applyBorder="1" applyAlignment="1">
      <alignment horizontal="center" vertical="center" wrapText="1"/>
    </xf>
    <xf numFmtId="168" fontId="14" fillId="0" borderId="2" xfId="0" applyNumberFormat="1" applyFont="1" applyBorder="1" applyAlignment="1">
      <alignment horizontal="center" vertical="center" wrapText="1"/>
    </xf>
    <xf numFmtId="170" fontId="12" fillId="2" borderId="10" xfId="3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vertical="center" wrapText="1"/>
    </xf>
    <xf numFmtId="169" fontId="11" fillId="0" borderId="31" xfId="0" applyNumberFormat="1" applyFont="1" applyBorder="1" applyAlignment="1">
      <alignment horizontal="center" vertical="center"/>
    </xf>
    <xf numFmtId="169" fontId="11" fillId="0" borderId="18" xfId="0" applyNumberFormat="1" applyFont="1" applyBorder="1" applyAlignment="1">
      <alignment horizontal="center" vertical="center"/>
    </xf>
    <xf numFmtId="169" fontId="11" fillId="0" borderId="14" xfId="0" applyNumberFormat="1" applyFont="1" applyBorder="1" applyAlignment="1">
      <alignment horizontal="center" vertical="center"/>
    </xf>
    <xf numFmtId="169" fontId="11" fillId="0" borderId="22" xfId="0" applyNumberFormat="1" applyFont="1" applyBorder="1" applyAlignment="1">
      <alignment horizontal="center" vertical="center"/>
    </xf>
    <xf numFmtId="171" fontId="11" fillId="0" borderId="31" xfId="0" applyNumberFormat="1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69" fontId="11" fillId="0" borderId="13" xfId="0" applyNumberFormat="1" applyFont="1" applyBorder="1" applyAlignment="1">
      <alignment horizontal="center" vertical="center"/>
    </xf>
    <xf numFmtId="169" fontId="11" fillId="0" borderId="17" xfId="0" applyNumberFormat="1" applyFont="1" applyBorder="1" applyAlignment="1">
      <alignment horizontal="center" vertical="center"/>
    </xf>
    <xf numFmtId="169" fontId="11" fillId="0" borderId="16" xfId="0" applyNumberFormat="1" applyFont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164" fontId="11" fillId="0" borderId="17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9" xfId="0" applyFont="1" applyBorder="1" applyAlignment="1">
      <alignment horizontal="center" vertical="center" textRotation="90" wrapText="1"/>
    </xf>
    <xf numFmtId="170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166" fontId="10" fillId="0" borderId="17" xfId="1" applyNumberFormat="1" applyFont="1" applyBorder="1" applyAlignment="1">
      <alignment horizontal="center" vertical="center" wrapText="1"/>
    </xf>
    <xf numFmtId="10" fontId="12" fillId="0" borderId="17" xfId="3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10" fontId="12" fillId="6" borderId="17" xfId="3" applyNumberFormat="1" applyFont="1" applyFill="1" applyBorder="1" applyAlignment="1">
      <alignment horizontal="center" vertical="center" wrapText="1"/>
    </xf>
    <xf numFmtId="10" fontId="12" fillId="6" borderId="22" xfId="3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textRotation="90" wrapText="1"/>
    </xf>
    <xf numFmtId="0" fontId="10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0" fontId="12" fillId="2" borderId="17" xfId="3" applyNumberFormat="1" applyFont="1" applyFill="1" applyBorder="1" applyAlignment="1">
      <alignment horizontal="center" vertical="center" wrapText="1"/>
    </xf>
    <xf numFmtId="17" fontId="13" fillId="0" borderId="17" xfId="0" applyNumberFormat="1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0" fontId="32" fillId="2" borderId="17" xfId="3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0" fontId="12" fillId="2" borderId="1" xfId="3" applyNumberFormat="1" applyFont="1" applyFill="1" applyBorder="1" applyAlignment="1">
      <alignment horizontal="center" vertical="center" wrapText="1"/>
    </xf>
    <xf numFmtId="10" fontId="35" fillId="2" borderId="1" xfId="3" applyNumberFormat="1" applyFont="1" applyFill="1" applyBorder="1" applyAlignment="1">
      <alignment horizontal="center" vertical="center" wrapText="1"/>
    </xf>
    <xf numFmtId="10" fontId="32" fillId="2" borderId="1" xfId="3" applyNumberFormat="1" applyFont="1" applyFill="1" applyBorder="1" applyAlignment="1">
      <alignment horizontal="center" vertical="center" wrapText="1"/>
    </xf>
    <xf numFmtId="169" fontId="11" fillId="0" borderId="44" xfId="0" applyNumberFormat="1" applyFont="1" applyBorder="1" applyAlignment="1">
      <alignment horizontal="center" vertical="center"/>
    </xf>
    <xf numFmtId="169" fontId="11" fillId="0" borderId="54" xfId="0" applyNumberFormat="1" applyFont="1" applyBorder="1" applyAlignment="1">
      <alignment horizontal="center" vertical="center"/>
    </xf>
    <xf numFmtId="171" fontId="11" fillId="0" borderId="55" xfId="0" applyNumberFormat="1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69" fontId="12" fillId="0" borderId="57" xfId="0" applyNumberFormat="1" applyFont="1" applyBorder="1" applyAlignment="1">
      <alignment horizontal="center" vertical="center"/>
    </xf>
    <xf numFmtId="169" fontId="12" fillId="0" borderId="58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9" fontId="14" fillId="0" borderId="16" xfId="3" applyFont="1" applyBorder="1" applyAlignment="1">
      <alignment horizontal="center" vertical="center" wrapText="1"/>
    </xf>
    <xf numFmtId="17" fontId="13" fillId="0" borderId="13" xfId="0" applyNumberFormat="1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0" fontId="12" fillId="0" borderId="13" xfId="3" applyNumberFormat="1" applyFont="1" applyBorder="1" applyAlignment="1">
      <alignment horizontal="center" vertical="center" wrapText="1"/>
    </xf>
    <xf numFmtId="9" fontId="32" fillId="0" borderId="17" xfId="3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166" fontId="12" fillId="0" borderId="10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170" fontId="12" fillId="0" borderId="10" xfId="3" applyNumberFormat="1" applyFont="1" applyBorder="1" applyAlignment="1">
      <alignment horizontal="center" vertical="center" wrapText="1"/>
    </xf>
    <xf numFmtId="170" fontId="12" fillId="6" borderId="10" xfId="3" applyNumberFormat="1" applyFont="1" applyFill="1" applyBorder="1" applyAlignment="1">
      <alignment horizontal="center" vertical="center" wrapText="1"/>
    </xf>
    <xf numFmtId="9" fontId="12" fillId="6" borderId="35" xfId="0" applyNumberFormat="1" applyFont="1" applyFill="1" applyBorder="1" applyAlignment="1">
      <alignment horizontal="center" vertical="center" wrapText="1"/>
    </xf>
    <xf numFmtId="170" fontId="12" fillId="6" borderId="1" xfId="3" applyNumberFormat="1" applyFont="1" applyFill="1" applyBorder="1" applyAlignment="1">
      <alignment horizontal="center" vertical="center" wrapText="1"/>
    </xf>
    <xf numFmtId="170" fontId="14" fillId="0" borderId="10" xfId="3" applyNumberFormat="1" applyFont="1" applyBorder="1" applyAlignment="1">
      <alignment horizontal="center" vertical="center" wrapText="1"/>
    </xf>
    <xf numFmtId="170" fontId="32" fillId="0" borderId="1" xfId="3" applyNumberFormat="1" applyFont="1" applyBorder="1" applyAlignment="1">
      <alignment horizontal="center" vertical="center"/>
    </xf>
    <xf numFmtId="168" fontId="14" fillId="0" borderId="10" xfId="0" applyNumberFormat="1" applyFont="1" applyBorder="1" applyAlignment="1">
      <alignment horizontal="center" vertical="center" wrapText="1"/>
    </xf>
    <xf numFmtId="10" fontId="12" fillId="0" borderId="1" xfId="3" applyNumberFormat="1" applyFont="1" applyBorder="1"/>
    <xf numFmtId="3" fontId="12" fillId="0" borderId="1" xfId="0" applyNumberFormat="1" applyFont="1" applyBorder="1"/>
    <xf numFmtId="10" fontId="19" fillId="3" borderId="1" xfId="3" applyNumberFormat="1" applyFont="1" applyFill="1" applyBorder="1" applyAlignment="1">
      <alignment horizontal="center" vertical="center"/>
    </xf>
    <xf numFmtId="170" fontId="24" fillId="0" borderId="1" xfId="3" applyNumberFormat="1" applyFont="1" applyBorder="1" applyAlignment="1">
      <alignment horizontal="center" vertical="center" wrapText="1"/>
    </xf>
    <xf numFmtId="170" fontId="24" fillId="0" borderId="1" xfId="0" applyNumberFormat="1" applyFont="1" applyBorder="1" applyAlignment="1">
      <alignment horizontal="center" vertical="center" wrapText="1"/>
    </xf>
    <xf numFmtId="10" fontId="32" fillId="0" borderId="17" xfId="3" applyNumberFormat="1" applyFont="1" applyBorder="1" applyAlignment="1">
      <alignment horizontal="center" vertical="center" wrapText="1"/>
    </xf>
    <xf numFmtId="9" fontId="35" fillId="6" borderId="1" xfId="0" applyNumberFormat="1" applyFont="1" applyFill="1" applyBorder="1" applyAlignment="1">
      <alignment horizontal="center" vertical="center" wrapText="1"/>
    </xf>
    <xf numFmtId="169" fontId="12" fillId="3" borderId="33" xfId="0" applyNumberFormat="1" applyFont="1" applyFill="1" applyBorder="1" applyAlignment="1">
      <alignment vertical="center"/>
    </xf>
    <xf numFmtId="9" fontId="39" fillId="0" borderId="1" xfId="3" applyFont="1" applyBorder="1" applyAlignment="1">
      <alignment horizontal="center" vertical="center"/>
    </xf>
    <xf numFmtId="169" fontId="12" fillId="3" borderId="27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10" fontId="12" fillId="0" borderId="49" xfId="3" applyNumberFormat="1" applyFont="1" applyBorder="1"/>
    <xf numFmtId="0" fontId="25" fillId="0" borderId="0" xfId="0" applyFont="1" applyAlignment="1">
      <alignment vertical="center"/>
    </xf>
    <xf numFmtId="0" fontId="12" fillId="0" borderId="59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wrapText="1"/>
    </xf>
    <xf numFmtId="168" fontId="14" fillId="0" borderId="17" xfId="0" applyNumberFormat="1" applyFont="1" applyBorder="1" applyAlignment="1">
      <alignment horizontal="center" vertical="center" wrapText="1"/>
    </xf>
    <xf numFmtId="10" fontId="12" fillId="0" borderId="17" xfId="3" applyNumberFormat="1" applyFont="1" applyBorder="1" applyAlignment="1">
      <alignment horizontal="center" vertical="center"/>
    </xf>
    <xf numFmtId="10" fontId="31" fillId="0" borderId="1" xfId="3" applyNumberFormat="1" applyFont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6" fontId="1" fillId="2" borderId="4" xfId="1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top"/>
    </xf>
    <xf numFmtId="0" fontId="1" fillId="0" borderId="17" xfId="0" applyFont="1" applyBorder="1" applyAlignment="1">
      <alignment horizontal="center" vertical="center" wrapText="1"/>
    </xf>
    <xf numFmtId="166" fontId="1" fillId="0" borderId="4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8" xfId="1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6" fontId="1" fillId="0" borderId="13" xfId="1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7" fontId="1" fillId="0" borderId="11" xfId="2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top" wrapText="1"/>
    </xf>
    <xf numFmtId="167" fontId="1" fillId="0" borderId="13" xfId="2" applyNumberFormat="1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166" fontId="1" fillId="0" borderId="10" xfId="1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vertical="top" wrapText="1"/>
    </xf>
    <xf numFmtId="0" fontId="1" fillId="0" borderId="43" xfId="0" applyFont="1" applyBorder="1" applyAlignment="1">
      <alignment vertical="top" wrapText="1"/>
    </xf>
    <xf numFmtId="166" fontId="1" fillId="0" borderId="60" xfId="1" applyNumberFormat="1" applyFont="1" applyBorder="1" applyAlignment="1">
      <alignment horizontal="center" vertical="center" wrapText="1"/>
    </xf>
    <xf numFmtId="166" fontId="1" fillId="0" borderId="2" xfId="1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top" wrapText="1"/>
    </xf>
    <xf numFmtId="166" fontId="1" fillId="0" borderId="53" xfId="1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center" wrapText="1"/>
    </xf>
    <xf numFmtId="166" fontId="1" fillId="0" borderId="61" xfId="1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166" fontId="1" fillId="2" borderId="10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37" fillId="0" borderId="1" xfId="1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10" fontId="12" fillId="6" borderId="2" xfId="3" applyNumberFormat="1" applyFont="1" applyFill="1" applyBorder="1" applyAlignment="1">
      <alignment horizontal="center" vertical="center" wrapText="1"/>
    </xf>
    <xf numFmtId="10" fontId="12" fillId="6" borderId="1" xfId="3" applyNumberFormat="1" applyFont="1" applyFill="1" applyBorder="1" applyAlignment="1">
      <alignment horizontal="center" vertical="center" wrapText="1"/>
    </xf>
    <xf numFmtId="10" fontId="12" fillId="6" borderId="10" xfId="3" applyNumberFormat="1" applyFont="1" applyFill="1" applyBorder="1" applyAlignment="1">
      <alignment horizontal="center" vertical="center" wrapText="1"/>
    </xf>
    <xf numFmtId="10" fontId="12" fillId="6" borderId="15" xfId="0" applyNumberFormat="1" applyFont="1" applyFill="1" applyBorder="1" applyAlignment="1">
      <alignment horizontal="center" vertical="center" wrapText="1"/>
    </xf>
    <xf numFmtId="10" fontId="12" fillId="6" borderId="7" xfId="0" applyNumberFormat="1" applyFont="1" applyFill="1" applyBorder="1" applyAlignment="1">
      <alignment horizontal="center" vertical="center" wrapText="1"/>
    </xf>
    <xf numFmtId="10" fontId="12" fillId="6" borderId="62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69" fontId="11" fillId="0" borderId="14" xfId="0" applyNumberFormat="1" applyFont="1" applyBorder="1" applyAlignment="1">
      <alignment horizontal="center" vertical="center"/>
    </xf>
    <xf numFmtId="169" fontId="11" fillId="0" borderId="22" xfId="0" applyNumberFormat="1" applyFont="1" applyBorder="1" applyAlignment="1">
      <alignment horizontal="center" vertical="center"/>
    </xf>
    <xf numFmtId="169" fontId="11" fillId="0" borderId="31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6" fontId="33" fillId="0" borderId="47" xfId="1" applyNumberFormat="1" applyFont="1" applyBorder="1" applyAlignment="1">
      <alignment horizontal="center" vertical="center" wrapText="1"/>
    </xf>
    <xf numFmtId="166" fontId="33" fillId="0" borderId="26" xfId="1" applyNumberFormat="1" applyFont="1" applyBorder="1" applyAlignment="1">
      <alignment horizontal="center" vertical="center" wrapText="1"/>
    </xf>
    <xf numFmtId="166" fontId="33" fillId="0" borderId="52" xfId="1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71" fontId="11" fillId="0" borderId="14" xfId="0" applyNumberFormat="1" applyFont="1" applyBorder="1" applyAlignment="1">
      <alignment horizontal="center" vertical="center"/>
    </xf>
    <xf numFmtId="171" fontId="11" fillId="0" borderId="31" xfId="0" applyNumberFormat="1" applyFont="1" applyBorder="1" applyAlignment="1">
      <alignment horizontal="center" vertical="center"/>
    </xf>
    <xf numFmtId="10" fontId="9" fillId="5" borderId="5" xfId="3" applyNumberFormat="1" applyFont="1" applyFill="1" applyBorder="1" applyAlignment="1">
      <alignment horizontal="center" vertical="center" wrapText="1"/>
    </xf>
    <xf numFmtId="10" fontId="9" fillId="5" borderId="23" xfId="3" applyNumberFormat="1" applyFont="1" applyFill="1" applyBorder="1" applyAlignment="1">
      <alignment horizontal="center" vertical="center" wrapText="1"/>
    </xf>
    <xf numFmtId="164" fontId="11" fillId="0" borderId="13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3" fontId="6" fillId="5" borderId="16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3" fontId="9" fillId="5" borderId="8" xfId="0" applyNumberFormat="1" applyFont="1" applyFill="1" applyBorder="1" applyAlignment="1">
      <alignment horizontal="center" vertical="center" wrapText="1"/>
    </xf>
    <xf numFmtId="166" fontId="34" fillId="2" borderId="47" xfId="1" applyNumberFormat="1" applyFont="1" applyFill="1" applyBorder="1" applyAlignment="1">
      <alignment horizontal="center" vertical="center" wrapText="1"/>
    </xf>
    <xf numFmtId="166" fontId="34" fillId="2" borderId="26" xfId="1" applyNumberFormat="1" applyFont="1" applyFill="1" applyBorder="1" applyAlignment="1">
      <alignment horizontal="center" vertical="center" wrapText="1"/>
    </xf>
    <xf numFmtId="166" fontId="34" fillId="2" borderId="52" xfId="1" applyNumberFormat="1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170" fontId="12" fillId="0" borderId="4" xfId="3" applyNumberFormat="1" applyFont="1" applyBorder="1" applyAlignment="1">
      <alignment horizontal="center" vertical="center" wrapText="1"/>
    </xf>
    <xf numFmtId="170" fontId="12" fillId="0" borderId="1" xfId="3" applyNumberFormat="1" applyFont="1" applyBorder="1" applyAlignment="1">
      <alignment horizontal="center" vertical="center" wrapText="1"/>
    </xf>
    <xf numFmtId="170" fontId="12" fillId="2" borderId="1" xfId="3" applyNumberFormat="1" applyFont="1" applyFill="1" applyBorder="1" applyAlignment="1">
      <alignment horizontal="center" vertical="center" wrapText="1"/>
    </xf>
    <xf numFmtId="170" fontId="12" fillId="2" borderId="8" xfId="3" applyNumberFormat="1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10" fontId="12" fillId="6" borderId="4" xfId="3" applyNumberFormat="1" applyFont="1" applyFill="1" applyBorder="1" applyAlignment="1">
      <alignment horizontal="center" vertical="center" wrapText="1"/>
    </xf>
    <xf numFmtId="10" fontId="12" fillId="6" borderId="8" xfId="3" applyNumberFormat="1" applyFont="1" applyFill="1" applyBorder="1" applyAlignment="1">
      <alignment horizontal="center" vertical="center" wrapText="1"/>
    </xf>
    <xf numFmtId="166" fontId="1" fillId="2" borderId="4" xfId="1" applyNumberFormat="1" applyFont="1" applyFill="1" applyBorder="1" applyAlignment="1">
      <alignment horizontal="center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166" fontId="1" fillId="2" borderId="8" xfId="1" applyNumberFormat="1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10" fontId="9" fillId="5" borderId="4" xfId="3" applyNumberFormat="1" applyFont="1" applyFill="1" applyBorder="1" applyAlignment="1">
      <alignment horizontal="center" vertical="center" wrapText="1"/>
    </xf>
    <xf numFmtId="10" fontId="9" fillId="5" borderId="8" xfId="3" applyNumberFormat="1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70" fontId="9" fillId="5" borderId="4" xfId="3" applyNumberFormat="1" applyFont="1" applyFill="1" applyBorder="1" applyAlignment="1">
      <alignment horizontal="center" vertical="center" wrapText="1"/>
    </xf>
    <xf numFmtId="170" fontId="9" fillId="5" borderId="8" xfId="3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10" fontId="12" fillId="0" borderId="1" xfId="3" applyNumberFormat="1" applyFont="1" applyFill="1" applyBorder="1" applyAlignment="1">
      <alignment horizontal="center" vertical="center" wrapText="1"/>
    </xf>
    <xf numFmtId="10" fontId="12" fillId="0" borderId="8" xfId="3" applyNumberFormat="1" applyFont="1" applyFill="1" applyBorder="1" applyAlignment="1">
      <alignment horizontal="center" vertical="center" wrapText="1"/>
    </xf>
    <xf numFmtId="3" fontId="23" fillId="3" borderId="4" xfId="0" applyNumberFormat="1" applyFont="1" applyFill="1" applyBorder="1" applyAlignment="1">
      <alignment horizontal="center" vertical="center" wrapText="1"/>
    </xf>
    <xf numFmtId="3" fontId="23" fillId="3" borderId="8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textRotation="90" wrapText="1"/>
    </xf>
    <xf numFmtId="0" fontId="11" fillId="0" borderId="46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9" fontId="11" fillId="0" borderId="13" xfId="0" applyNumberFormat="1" applyFont="1" applyBorder="1" applyAlignment="1">
      <alignment horizontal="center" vertical="center"/>
    </xf>
    <xf numFmtId="169" fontId="11" fillId="0" borderId="17" xfId="0" applyNumberFormat="1" applyFont="1" applyBorder="1" applyAlignment="1">
      <alignment horizontal="center" vertical="center"/>
    </xf>
    <xf numFmtId="169" fontId="11" fillId="0" borderId="16" xfId="0" applyNumberFormat="1" applyFont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9" xfId="0" applyFont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 textRotation="90" wrapText="1"/>
    </xf>
    <xf numFmtId="3" fontId="12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0" fontId="12" fillId="0" borderId="4" xfId="3" applyNumberFormat="1" applyFont="1" applyFill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166" fontId="10" fillId="0" borderId="8" xfId="1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0" fontId="12" fillId="0" borderId="41" xfId="3" applyNumberFormat="1" applyFont="1" applyFill="1" applyBorder="1" applyAlignment="1">
      <alignment horizontal="center" vertical="center" wrapText="1"/>
    </xf>
    <xf numFmtId="10" fontId="12" fillId="0" borderId="49" xfId="3" applyNumberFormat="1" applyFont="1" applyFill="1" applyBorder="1" applyAlignment="1">
      <alignment horizontal="center" vertical="center" wrapText="1"/>
    </xf>
    <xf numFmtId="10" fontId="12" fillId="0" borderId="46" xfId="3" applyNumberFormat="1" applyFont="1" applyFill="1" applyBorder="1" applyAlignment="1">
      <alignment horizontal="center" vertical="center" wrapText="1"/>
    </xf>
    <xf numFmtId="10" fontId="12" fillId="6" borderId="5" xfId="3" applyNumberFormat="1" applyFont="1" applyFill="1" applyBorder="1" applyAlignment="1">
      <alignment horizontal="center" vertical="center" wrapText="1"/>
    </xf>
    <xf numFmtId="10" fontId="12" fillId="6" borderId="23" xfId="3" applyNumberFormat="1" applyFont="1" applyFill="1" applyBorder="1" applyAlignment="1">
      <alignment horizontal="center" vertical="center" wrapText="1"/>
    </xf>
    <xf numFmtId="166" fontId="10" fillId="0" borderId="4" xfId="1" applyNumberFormat="1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66" fontId="36" fillId="0" borderId="32" xfId="1" applyNumberFormat="1" applyFont="1" applyBorder="1" applyAlignment="1">
      <alignment horizontal="center" vertical="center" wrapText="1"/>
    </xf>
    <xf numFmtId="166" fontId="36" fillId="0" borderId="28" xfId="1" applyNumberFormat="1" applyFont="1" applyBorder="1" applyAlignment="1">
      <alignment horizontal="center" vertical="center" wrapText="1"/>
    </xf>
    <xf numFmtId="166" fontId="36" fillId="0" borderId="26" xfId="1" applyNumberFormat="1" applyFont="1" applyBorder="1" applyAlignment="1">
      <alignment horizontal="center" vertical="center" wrapText="1"/>
    </xf>
    <xf numFmtId="166" fontId="36" fillId="0" borderId="52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0" fontId="12" fillId="6" borderId="7" xfId="3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3" fontId="9" fillId="5" borderId="1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166" fontId="1" fillId="2" borderId="10" xfId="1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0" fontId="9" fillId="5" borderId="35" xfId="3" applyNumberFormat="1" applyFont="1" applyFill="1" applyBorder="1" applyAlignment="1">
      <alignment horizontal="center" vertical="center" wrapText="1"/>
    </xf>
    <xf numFmtId="10" fontId="12" fillId="6" borderId="35" xfId="3" applyNumberFormat="1" applyFont="1" applyFill="1" applyBorder="1" applyAlignment="1">
      <alignment horizontal="center" vertical="center" wrapText="1"/>
    </xf>
    <xf numFmtId="9" fontId="9" fillId="5" borderId="4" xfId="3" applyFont="1" applyFill="1" applyBorder="1" applyAlignment="1">
      <alignment horizontal="center" vertical="center" wrapText="1"/>
    </xf>
    <xf numFmtId="9" fontId="9" fillId="5" borderId="10" xfId="3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E2EFDA"/>
      <color rgb="FF6699FF"/>
      <color rgb="FF1C5BF7"/>
      <color rgb="FF73FEFF"/>
      <color rgb="FFFFD579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4"/>
  <sheetViews>
    <sheetView showGridLines="0" tabSelected="1" topLeftCell="E4" zoomScale="60" zoomScaleNormal="60" zoomScaleSheetLayoutView="50" workbookViewId="0">
      <pane ySplit="1" topLeftCell="A19" activePane="bottomLeft" state="frozen"/>
      <selection activeCell="A4" sqref="A4"/>
      <selection pane="bottomLeft" activeCell="I19" sqref="I19:I23"/>
    </sheetView>
  </sheetViews>
  <sheetFormatPr baseColWidth="10" defaultColWidth="11.453125" defaultRowHeight="21"/>
  <cols>
    <col min="1" max="1" width="14.7265625" style="5" customWidth="1"/>
    <col min="2" max="2" width="13.81640625" style="5" customWidth="1"/>
    <col min="3" max="3" width="16.81640625" style="3" customWidth="1"/>
    <col min="4" max="4" width="14.1796875" style="3" customWidth="1"/>
    <col min="5" max="5" width="14.7265625" style="3" customWidth="1"/>
    <col min="6" max="6" width="16.81640625" style="4" customWidth="1"/>
    <col min="7" max="7" width="14.81640625" style="4" customWidth="1"/>
    <col min="8" max="8" width="21.26953125" style="4" customWidth="1"/>
    <col min="9" max="9" width="18.1796875" style="4" customWidth="1"/>
    <col min="10" max="10" width="28.1796875" style="3" customWidth="1"/>
    <col min="11" max="11" width="24" style="24" customWidth="1"/>
    <col min="12" max="12" width="18.7265625" style="3" customWidth="1"/>
    <col min="13" max="13" width="23.26953125" style="3" customWidth="1"/>
    <col min="14" max="14" width="25.54296875" style="3" customWidth="1"/>
    <col min="15" max="15" width="21.26953125" style="3" customWidth="1"/>
    <col min="16" max="16" width="23.54296875" style="3" customWidth="1"/>
    <col min="17" max="17" width="20.81640625" style="10" customWidth="1"/>
    <col min="18" max="18" width="22.7265625" style="11" customWidth="1"/>
    <col min="19" max="19" width="19" style="11" customWidth="1"/>
    <col min="20" max="20" width="31.7265625" style="11" customWidth="1"/>
    <col min="21" max="21" width="25.54296875" style="11" customWidth="1"/>
    <col min="22" max="22" width="26.81640625" style="11" customWidth="1"/>
    <col min="23" max="23" width="31.1796875" style="11" customWidth="1"/>
    <col min="24" max="24" width="31.81640625" style="76" customWidth="1"/>
    <col min="25" max="25" width="32.7265625" style="78" customWidth="1"/>
    <col min="26" max="26" width="32" style="11" customWidth="1"/>
    <col min="27" max="27" width="27" style="76" customWidth="1"/>
    <col min="28" max="28" width="24.1796875" style="78" customWidth="1"/>
    <col min="29" max="29" width="27.81640625" style="3" customWidth="1"/>
    <col min="30" max="30" width="39.81640625" style="6" customWidth="1"/>
    <col min="31" max="31" width="33.1796875" style="3" customWidth="1"/>
    <col min="32" max="32" width="31.26953125" style="4" customWidth="1"/>
    <col min="33" max="33" width="19.81640625" style="4" customWidth="1"/>
    <col min="34" max="34" width="28.81640625" style="13" customWidth="1"/>
    <col min="35" max="35" width="30.54296875" style="13" customWidth="1"/>
    <col min="36" max="36" width="25.7265625" style="13" customWidth="1"/>
    <col min="37" max="37" width="25.453125" style="13" customWidth="1"/>
    <col min="38" max="38" width="14.453125" style="7" customWidth="1"/>
    <col min="39" max="39" width="14.7265625" style="7" customWidth="1"/>
    <col min="40" max="40" width="13" style="5" customWidth="1"/>
    <col min="41" max="41" width="19" style="16" customWidth="1"/>
    <col min="42" max="42" width="20.1796875" style="16" customWidth="1"/>
    <col min="43" max="43" width="30.1796875" style="5" customWidth="1"/>
    <col min="44" max="44" width="26.26953125" style="7" customWidth="1"/>
    <col min="45" max="45" width="31.453125" style="8" customWidth="1"/>
    <col min="46" max="46" width="41.54296875" style="5" customWidth="1"/>
    <col min="47" max="47" width="34.453125" style="15" customWidth="1"/>
    <col min="48" max="48" width="32.1796875" style="5" customWidth="1"/>
    <col min="49" max="49" width="28" style="9" customWidth="1"/>
    <col min="50" max="52" width="42" style="5" customWidth="1"/>
    <col min="53" max="53" width="40.81640625" customWidth="1"/>
    <col min="55" max="55" width="18.7265625" customWidth="1"/>
  </cols>
  <sheetData>
    <row r="1" spans="1:59" ht="81" customHeight="1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 t="s">
        <v>0</v>
      </c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</row>
    <row r="2" spans="1:59" ht="30" customHeight="1" thickBot="1">
      <c r="A2" s="327" t="s">
        <v>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 t="s">
        <v>1</v>
      </c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</row>
    <row r="3" spans="1:59" ht="36" customHeight="1" thickBot="1">
      <c r="A3" s="370" t="s">
        <v>2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2"/>
      <c r="AC3" s="331" t="s">
        <v>3</v>
      </c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28" t="s">
        <v>4</v>
      </c>
      <c r="AT3" s="329"/>
      <c r="AU3" s="329"/>
      <c r="AV3" s="329"/>
      <c r="AW3" s="329"/>
      <c r="AX3" s="330"/>
      <c r="AY3" s="143"/>
      <c r="AZ3" s="143"/>
      <c r="BA3" s="321" t="s">
        <v>5</v>
      </c>
    </row>
    <row r="4" spans="1:59" s="3" customFormat="1" ht="81" customHeight="1">
      <c r="A4" s="378" t="s">
        <v>6</v>
      </c>
      <c r="B4" s="373" t="s">
        <v>7</v>
      </c>
      <c r="C4" s="373" t="s">
        <v>8</v>
      </c>
      <c r="D4" s="373" t="s">
        <v>9</v>
      </c>
      <c r="E4" s="373" t="s">
        <v>10</v>
      </c>
      <c r="F4" s="338" t="s">
        <v>11</v>
      </c>
      <c r="G4" s="338" t="s">
        <v>12</v>
      </c>
      <c r="H4" s="338" t="s">
        <v>13</v>
      </c>
      <c r="I4" s="373" t="s">
        <v>14</v>
      </c>
      <c r="J4" s="373" t="s">
        <v>15</v>
      </c>
      <c r="K4" s="373" t="s">
        <v>16</v>
      </c>
      <c r="L4" s="373" t="s">
        <v>17</v>
      </c>
      <c r="M4" s="380" t="s">
        <v>18</v>
      </c>
      <c r="N4" s="382" t="s">
        <v>19</v>
      </c>
      <c r="O4" s="382"/>
      <c r="P4" s="382" t="s">
        <v>20</v>
      </c>
      <c r="Q4" s="311" t="s">
        <v>21</v>
      </c>
      <c r="R4" s="384" t="s">
        <v>22</v>
      </c>
      <c r="S4" s="384" t="s">
        <v>23</v>
      </c>
      <c r="T4" s="388" t="s">
        <v>24</v>
      </c>
      <c r="U4" s="388" t="s">
        <v>25</v>
      </c>
      <c r="V4" s="388" t="s">
        <v>26</v>
      </c>
      <c r="W4" s="311" t="s">
        <v>27</v>
      </c>
      <c r="X4" s="375" t="s">
        <v>28</v>
      </c>
      <c r="Y4" s="368" t="s">
        <v>29</v>
      </c>
      <c r="Z4" s="311" t="s">
        <v>30</v>
      </c>
      <c r="AA4" s="375" t="s">
        <v>31</v>
      </c>
      <c r="AB4" s="299" t="s">
        <v>32</v>
      </c>
      <c r="AC4" s="309" t="s">
        <v>33</v>
      </c>
      <c r="AD4" s="305" t="s">
        <v>34</v>
      </c>
      <c r="AE4" s="305" t="s">
        <v>35</v>
      </c>
      <c r="AF4" s="332" t="s">
        <v>36</v>
      </c>
      <c r="AG4" s="332" t="s">
        <v>37</v>
      </c>
      <c r="AH4" s="366" t="s">
        <v>38</v>
      </c>
      <c r="AI4" s="316" t="s">
        <v>39</v>
      </c>
      <c r="AJ4" s="366" t="s">
        <v>40</v>
      </c>
      <c r="AK4" s="316" t="s">
        <v>41</v>
      </c>
      <c r="AL4" s="332" t="s">
        <v>42</v>
      </c>
      <c r="AM4" s="332" t="s">
        <v>43</v>
      </c>
      <c r="AN4" s="332" t="s">
        <v>44</v>
      </c>
      <c r="AO4" s="303" t="s">
        <v>45</v>
      </c>
      <c r="AP4" s="303" t="s">
        <v>46</v>
      </c>
      <c r="AQ4" s="305" t="s">
        <v>47</v>
      </c>
      <c r="AR4" s="307" t="s">
        <v>48</v>
      </c>
      <c r="AS4" s="309" t="s">
        <v>49</v>
      </c>
      <c r="AT4" s="305" t="s">
        <v>50</v>
      </c>
      <c r="AU4" s="305" t="s">
        <v>51</v>
      </c>
      <c r="AV4" s="305" t="s">
        <v>52</v>
      </c>
      <c r="AW4" s="364" t="s">
        <v>53</v>
      </c>
      <c r="AX4" s="284" t="s">
        <v>54</v>
      </c>
      <c r="AY4" s="284" t="s">
        <v>55</v>
      </c>
      <c r="AZ4" s="284" t="s">
        <v>56</v>
      </c>
      <c r="BA4" s="322"/>
      <c r="BB4" s="229"/>
      <c r="BC4" s="12">
        <v>4488210003035200</v>
      </c>
      <c r="BD4" s="229"/>
      <c r="BE4" s="229"/>
      <c r="BF4" s="229"/>
      <c r="BG4" s="229"/>
    </row>
    <row r="5" spans="1:59" s="3" customFormat="1" ht="31.5" thickBot="1">
      <c r="A5" s="379"/>
      <c r="B5" s="374"/>
      <c r="C5" s="374"/>
      <c r="D5" s="374"/>
      <c r="E5" s="374"/>
      <c r="F5" s="339"/>
      <c r="G5" s="339"/>
      <c r="H5" s="339"/>
      <c r="I5" s="374"/>
      <c r="J5" s="374"/>
      <c r="K5" s="374"/>
      <c r="L5" s="374"/>
      <c r="M5" s="381"/>
      <c r="N5" s="95" t="s">
        <v>57</v>
      </c>
      <c r="O5" s="95" t="s">
        <v>58</v>
      </c>
      <c r="P5" s="383"/>
      <c r="Q5" s="312"/>
      <c r="R5" s="385"/>
      <c r="S5" s="385"/>
      <c r="T5" s="389"/>
      <c r="U5" s="389"/>
      <c r="V5" s="389"/>
      <c r="W5" s="312"/>
      <c r="X5" s="376"/>
      <c r="Y5" s="369"/>
      <c r="Z5" s="312"/>
      <c r="AA5" s="376"/>
      <c r="AB5" s="300"/>
      <c r="AC5" s="310"/>
      <c r="AD5" s="306"/>
      <c r="AE5" s="306"/>
      <c r="AF5" s="333"/>
      <c r="AG5" s="347"/>
      <c r="AH5" s="367"/>
      <c r="AI5" s="317"/>
      <c r="AJ5" s="367"/>
      <c r="AK5" s="317"/>
      <c r="AL5" s="347"/>
      <c r="AM5" s="347"/>
      <c r="AN5" s="347"/>
      <c r="AO5" s="304"/>
      <c r="AP5" s="304"/>
      <c r="AQ5" s="306"/>
      <c r="AR5" s="308"/>
      <c r="AS5" s="310"/>
      <c r="AT5" s="306"/>
      <c r="AU5" s="306"/>
      <c r="AV5" s="306"/>
      <c r="AW5" s="365"/>
      <c r="AX5" s="285"/>
      <c r="AY5" s="285"/>
      <c r="AZ5" s="285"/>
      <c r="BA5" s="323"/>
      <c r="BB5" s="229"/>
      <c r="BC5" s="12"/>
      <c r="BD5" s="229"/>
      <c r="BE5" s="229"/>
      <c r="BF5" s="229"/>
      <c r="BG5" s="229"/>
    </row>
    <row r="6" spans="1:59" s="1" customFormat="1" ht="114" customHeight="1">
      <c r="A6" s="343" t="s">
        <v>59</v>
      </c>
      <c r="B6" s="336" t="s">
        <v>60</v>
      </c>
      <c r="C6" s="392" t="s">
        <v>61</v>
      </c>
      <c r="D6" s="348" t="s">
        <v>62</v>
      </c>
      <c r="E6" s="348" t="s">
        <v>63</v>
      </c>
      <c r="F6" s="417" t="s">
        <v>64</v>
      </c>
      <c r="G6" s="417" t="s">
        <v>65</v>
      </c>
      <c r="H6" s="421">
        <f>Z6/36794</f>
        <v>7.1560580529434148E-2</v>
      </c>
      <c r="I6" s="289" t="s">
        <v>66</v>
      </c>
      <c r="J6" s="361" t="s">
        <v>65</v>
      </c>
      <c r="K6" s="361" t="s">
        <v>67</v>
      </c>
      <c r="L6" s="361" t="s">
        <v>62</v>
      </c>
      <c r="M6" s="417" t="s">
        <v>68</v>
      </c>
      <c r="N6" s="419" t="s">
        <v>69</v>
      </c>
      <c r="O6" s="417"/>
      <c r="P6" s="417" t="s">
        <v>70</v>
      </c>
      <c r="Q6" s="416">
        <v>5000</v>
      </c>
      <c r="R6" s="355">
        <f>58+35+230+660</f>
        <v>983</v>
      </c>
      <c r="S6" s="355">
        <v>2565</v>
      </c>
      <c r="T6" s="355">
        <v>0</v>
      </c>
      <c r="U6" s="355">
        <v>5</v>
      </c>
      <c r="V6" s="355">
        <v>63</v>
      </c>
      <c r="W6" s="355">
        <f>SUM(T6:V7)</f>
        <v>68</v>
      </c>
      <c r="X6" s="351">
        <f>W6/R6</f>
        <v>6.9175991861648023E-2</v>
      </c>
      <c r="Y6" s="359">
        <f>AVERAGE(X6:X9)</f>
        <v>7.2171249974591845E-2</v>
      </c>
      <c r="Z6" s="355">
        <f>S6+W6</f>
        <v>2633</v>
      </c>
      <c r="AA6" s="351">
        <f>Z6/Q6</f>
        <v>0.52659999999999996</v>
      </c>
      <c r="AB6" s="434">
        <f>AVERAGE(AA6:AA9)</f>
        <v>0.6038</v>
      </c>
      <c r="AC6" s="268" t="s">
        <v>71</v>
      </c>
      <c r="AD6" s="399" t="s">
        <v>72</v>
      </c>
      <c r="AE6" s="392" t="s">
        <v>73</v>
      </c>
      <c r="AF6" s="26" t="s">
        <v>74</v>
      </c>
      <c r="AG6" s="26" t="s">
        <v>75</v>
      </c>
      <c r="AH6" s="49">
        <v>983</v>
      </c>
      <c r="AI6" s="55">
        <f>W6</f>
        <v>68</v>
      </c>
      <c r="AJ6" s="52">
        <f>AH6/SUM(AH6:AH9)</f>
        <v>0.29475262368815591</v>
      </c>
      <c r="AK6" s="168">
        <f>+(AI6*AJ6)/AH6</f>
        <v>2.0389805097451273E-2</v>
      </c>
      <c r="AL6" s="25" t="s">
        <v>76</v>
      </c>
      <c r="AM6" s="25" t="s">
        <v>77</v>
      </c>
      <c r="AN6" s="55">
        <v>360</v>
      </c>
      <c r="AO6" s="401">
        <f>Q6*5</f>
        <v>25000</v>
      </c>
      <c r="AP6" s="401">
        <f>Z6*5</f>
        <v>13165</v>
      </c>
      <c r="AQ6" s="336" t="s">
        <v>78</v>
      </c>
      <c r="AR6" s="390" t="s">
        <v>79</v>
      </c>
      <c r="AS6" s="406" t="s">
        <v>80</v>
      </c>
      <c r="AT6" s="409">
        <f>4000000001+200000000+300000000</f>
        <v>4500000001</v>
      </c>
      <c r="AU6" s="301" t="s">
        <v>81</v>
      </c>
      <c r="AV6" s="392" t="s">
        <v>82</v>
      </c>
      <c r="AW6" s="413" t="s">
        <v>83</v>
      </c>
      <c r="AX6" s="286">
        <v>787754562.03999996</v>
      </c>
      <c r="AY6" s="286">
        <v>407000000</v>
      </c>
      <c r="AZ6" s="286">
        <v>407000000</v>
      </c>
      <c r="BA6" s="324" t="s">
        <v>84</v>
      </c>
      <c r="BB6" s="2"/>
      <c r="BC6" s="2"/>
    </row>
    <row r="7" spans="1:59" s="2" customFormat="1" ht="114" customHeight="1">
      <c r="A7" s="377"/>
      <c r="B7" s="342"/>
      <c r="C7" s="276"/>
      <c r="D7" s="349"/>
      <c r="E7" s="349"/>
      <c r="F7" s="273"/>
      <c r="G7" s="273"/>
      <c r="H7" s="386"/>
      <c r="I7" s="290"/>
      <c r="J7" s="362"/>
      <c r="K7" s="362"/>
      <c r="L7" s="362"/>
      <c r="M7" s="273"/>
      <c r="N7" s="420"/>
      <c r="O7" s="273"/>
      <c r="P7" s="273"/>
      <c r="Q7" s="357"/>
      <c r="R7" s="356"/>
      <c r="S7" s="356"/>
      <c r="T7" s="356"/>
      <c r="U7" s="356"/>
      <c r="V7" s="356"/>
      <c r="W7" s="356"/>
      <c r="X7" s="352"/>
      <c r="Y7" s="279"/>
      <c r="Z7" s="356"/>
      <c r="AA7" s="352"/>
      <c r="AB7" s="443"/>
      <c r="AC7" s="295"/>
      <c r="AD7" s="400"/>
      <c r="AE7" s="276"/>
      <c r="AF7" s="17" t="s">
        <v>85</v>
      </c>
      <c r="AG7" s="17" t="s">
        <v>86</v>
      </c>
      <c r="AH7" s="50">
        <v>890</v>
      </c>
      <c r="AI7" s="50">
        <v>76</v>
      </c>
      <c r="AJ7" s="53">
        <f>AH7/SUM(AH6:AH9)</f>
        <v>0.26686656671664166</v>
      </c>
      <c r="AK7" s="168">
        <f>+(AI7*AJ7)/AH7</f>
        <v>2.2788605697151423E-2</v>
      </c>
      <c r="AL7" s="18" t="s">
        <v>76</v>
      </c>
      <c r="AM7" s="18" t="s">
        <v>77</v>
      </c>
      <c r="AN7" s="56">
        <v>360</v>
      </c>
      <c r="AO7" s="402"/>
      <c r="AP7" s="402"/>
      <c r="AQ7" s="342"/>
      <c r="AR7" s="397"/>
      <c r="AS7" s="407"/>
      <c r="AT7" s="410"/>
      <c r="AU7" s="412"/>
      <c r="AV7" s="276"/>
      <c r="AW7" s="414"/>
      <c r="AX7" s="287"/>
      <c r="AY7" s="287"/>
      <c r="AZ7" s="287"/>
      <c r="BA7" s="325"/>
    </row>
    <row r="8" spans="1:59" s="2" customFormat="1" ht="114" customHeight="1">
      <c r="A8" s="377"/>
      <c r="B8" s="342"/>
      <c r="C8" s="276"/>
      <c r="D8" s="349"/>
      <c r="E8" s="349"/>
      <c r="F8" s="422" t="s">
        <v>87</v>
      </c>
      <c r="G8" s="422" t="s">
        <v>88</v>
      </c>
      <c r="H8" s="386">
        <f>Z8/36794</f>
        <v>7.4033809860303307E-2</v>
      </c>
      <c r="I8" s="290"/>
      <c r="J8" s="362" t="s">
        <v>89</v>
      </c>
      <c r="K8" s="362" t="s">
        <v>90</v>
      </c>
      <c r="L8" s="362"/>
      <c r="M8" s="273" t="s">
        <v>91</v>
      </c>
      <c r="N8" s="424" t="s">
        <v>69</v>
      </c>
      <c r="O8" s="273"/>
      <c r="P8" s="273" t="s">
        <v>92</v>
      </c>
      <c r="Q8" s="357">
        <v>4000</v>
      </c>
      <c r="R8" s="356">
        <f>126+890+35</f>
        <v>1051</v>
      </c>
      <c r="S8" s="357">
        <v>2645</v>
      </c>
      <c r="T8" s="357">
        <v>0</v>
      </c>
      <c r="U8" s="357">
        <v>1</v>
      </c>
      <c r="V8" s="357">
        <v>78</v>
      </c>
      <c r="W8" s="404">
        <f>SUM(T8:V9)</f>
        <v>79</v>
      </c>
      <c r="X8" s="353">
        <f>W8/R8</f>
        <v>7.516650808753568E-2</v>
      </c>
      <c r="Y8" s="279"/>
      <c r="Z8" s="357">
        <f>S8+W8</f>
        <v>2724</v>
      </c>
      <c r="AA8" s="353">
        <f>Z8/Q8</f>
        <v>0.68100000000000005</v>
      </c>
      <c r="AB8" s="443"/>
      <c r="AC8" s="295"/>
      <c r="AD8" s="400"/>
      <c r="AE8" s="276"/>
      <c r="AF8" s="17" t="s">
        <v>93</v>
      </c>
      <c r="AG8" s="17" t="s">
        <v>94</v>
      </c>
      <c r="AH8" s="50">
        <f>2512-591-620+35</f>
        <v>1336</v>
      </c>
      <c r="AI8" s="50">
        <v>499</v>
      </c>
      <c r="AJ8" s="53">
        <f>AH8/SUM(AH6:AH9)</f>
        <v>0.40059970014992502</v>
      </c>
      <c r="AK8" s="168">
        <f t="shared" ref="AK8:AK9" si="0">+(AI8*AJ8)/AH8</f>
        <v>0.14962518740629685</v>
      </c>
      <c r="AL8" s="18" t="s">
        <v>76</v>
      </c>
      <c r="AM8" s="18" t="s">
        <v>77</v>
      </c>
      <c r="AN8" s="56">
        <v>360</v>
      </c>
      <c r="AO8" s="402"/>
      <c r="AP8" s="402"/>
      <c r="AQ8" s="342"/>
      <c r="AR8" s="397"/>
      <c r="AS8" s="407"/>
      <c r="AT8" s="410"/>
      <c r="AU8" s="412"/>
      <c r="AV8" s="276"/>
      <c r="AW8" s="414"/>
      <c r="AX8" s="287"/>
      <c r="AY8" s="287"/>
      <c r="AZ8" s="287"/>
      <c r="BA8" s="325"/>
    </row>
    <row r="9" spans="1:59" s="2" customFormat="1" ht="114" customHeight="1" thickBot="1">
      <c r="A9" s="344"/>
      <c r="B9" s="345"/>
      <c r="C9" s="442"/>
      <c r="D9" s="350"/>
      <c r="E9" s="350"/>
      <c r="F9" s="423"/>
      <c r="G9" s="423"/>
      <c r="H9" s="387"/>
      <c r="I9" s="290"/>
      <c r="J9" s="363"/>
      <c r="K9" s="363"/>
      <c r="L9" s="363"/>
      <c r="M9" s="418"/>
      <c r="N9" s="425"/>
      <c r="O9" s="418"/>
      <c r="P9" s="418"/>
      <c r="Q9" s="358"/>
      <c r="R9" s="405"/>
      <c r="S9" s="358"/>
      <c r="T9" s="358"/>
      <c r="U9" s="358"/>
      <c r="V9" s="358"/>
      <c r="W9" s="405"/>
      <c r="X9" s="354"/>
      <c r="Y9" s="360"/>
      <c r="Z9" s="358"/>
      <c r="AA9" s="354"/>
      <c r="AB9" s="435"/>
      <c r="AC9" s="295"/>
      <c r="AD9" s="335"/>
      <c r="AE9" s="341"/>
      <c r="AF9" s="19" t="s">
        <v>95</v>
      </c>
      <c r="AG9" s="19" t="s">
        <v>96</v>
      </c>
      <c r="AH9" s="51">
        <v>126</v>
      </c>
      <c r="AI9" s="51">
        <v>0</v>
      </c>
      <c r="AJ9" s="54">
        <f>AH9/SUM(AH6:AH9)</f>
        <v>3.7781109445277364E-2</v>
      </c>
      <c r="AK9" s="168">
        <f t="shared" si="0"/>
        <v>0</v>
      </c>
      <c r="AL9" s="20" t="s">
        <v>76</v>
      </c>
      <c r="AM9" s="20" t="s">
        <v>77</v>
      </c>
      <c r="AN9" s="57">
        <v>360</v>
      </c>
      <c r="AO9" s="403"/>
      <c r="AP9" s="403"/>
      <c r="AQ9" s="337"/>
      <c r="AR9" s="398"/>
      <c r="AS9" s="408"/>
      <c r="AT9" s="411"/>
      <c r="AU9" s="302"/>
      <c r="AV9" s="341"/>
      <c r="AW9" s="415"/>
      <c r="AX9" s="288"/>
      <c r="AY9" s="288"/>
      <c r="AZ9" s="288"/>
      <c r="BA9" s="326"/>
    </row>
    <row r="10" spans="1:59" s="2" customFormat="1" ht="114" customHeight="1" thickBot="1">
      <c r="A10" s="156"/>
      <c r="B10" s="157"/>
      <c r="C10" s="240"/>
      <c r="D10" s="158"/>
      <c r="E10" s="158"/>
      <c r="F10" s="159"/>
      <c r="G10" s="159"/>
      <c r="H10" s="160"/>
      <c r="I10" s="291"/>
      <c r="J10" s="313" t="s">
        <v>97</v>
      </c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5"/>
      <c r="X10" s="172">
        <f>AVERAGE(X6:X9)</f>
        <v>7.2171249974591845E-2</v>
      </c>
      <c r="Y10" s="172">
        <f>AVERAGE(Y6:Y9)</f>
        <v>7.2171249974591845E-2</v>
      </c>
      <c r="Z10" s="161"/>
      <c r="AA10" s="172">
        <f t="shared" ref="AA10:AB10" si="1">AVERAGE(AA6:AA9)</f>
        <v>0.6038</v>
      </c>
      <c r="AB10" s="172">
        <f t="shared" si="1"/>
        <v>0.6038</v>
      </c>
      <c r="AC10" s="269"/>
      <c r="AD10" s="318" t="s">
        <v>98</v>
      </c>
      <c r="AE10" s="319"/>
      <c r="AF10" s="319"/>
      <c r="AG10" s="319"/>
      <c r="AH10" s="319"/>
      <c r="AI10" s="319"/>
      <c r="AJ10" s="320"/>
      <c r="AK10" s="175">
        <f>AVERAGE(AK6:AK9)</f>
        <v>4.8200899550224885E-2</v>
      </c>
      <c r="AL10" s="169"/>
      <c r="AM10" s="169"/>
      <c r="AN10" s="170"/>
      <c r="AO10" s="170"/>
      <c r="AP10" s="170"/>
      <c r="AQ10" s="157"/>
      <c r="AR10" s="171"/>
      <c r="AS10" s="145"/>
      <c r="AT10" s="147"/>
      <c r="AU10" s="150"/>
      <c r="AV10" s="240"/>
      <c r="AW10" s="153"/>
      <c r="AX10" s="141"/>
      <c r="AY10" s="178"/>
      <c r="AZ10" s="178"/>
      <c r="BA10" s="236"/>
    </row>
    <row r="11" spans="1:59" s="1" customFormat="1" ht="198" customHeight="1">
      <c r="A11" s="343" t="s">
        <v>59</v>
      </c>
      <c r="B11" s="336" t="s">
        <v>60</v>
      </c>
      <c r="C11" s="392" t="s">
        <v>99</v>
      </c>
      <c r="D11" s="348" t="s">
        <v>100</v>
      </c>
      <c r="E11" s="348" t="s">
        <v>101</v>
      </c>
      <c r="F11" s="436" t="s">
        <v>102</v>
      </c>
      <c r="G11" s="436" t="s">
        <v>103</v>
      </c>
      <c r="H11" s="421">
        <f>(Z11+Z12)/19258</f>
        <v>0.11034375324540451</v>
      </c>
      <c r="I11" s="289" t="s">
        <v>104</v>
      </c>
      <c r="J11" s="241" t="s">
        <v>105</v>
      </c>
      <c r="K11" s="241" t="s">
        <v>106</v>
      </c>
      <c r="L11" s="348" t="s">
        <v>100</v>
      </c>
      <c r="M11" s="231" t="s">
        <v>107</v>
      </c>
      <c r="N11" s="437" t="s">
        <v>69</v>
      </c>
      <c r="O11" s="417"/>
      <c r="P11" s="417" t="s">
        <v>108</v>
      </c>
      <c r="Q11" s="39">
        <v>3500</v>
      </c>
      <c r="R11" s="39">
        <v>1500</v>
      </c>
      <c r="S11" s="39">
        <v>2002</v>
      </c>
      <c r="T11" s="39">
        <v>0</v>
      </c>
      <c r="U11" s="39">
        <v>0</v>
      </c>
      <c r="V11" s="39">
        <v>0</v>
      </c>
      <c r="W11" s="39">
        <f>SUM(T11:V11)</f>
        <v>0</v>
      </c>
      <c r="X11" s="83">
        <f>W11/R11</f>
        <v>0</v>
      </c>
      <c r="Y11" s="359">
        <f>(W11+W12)/(R11+R12)</f>
        <v>3.3856317093311314E-2</v>
      </c>
      <c r="Z11" s="39">
        <f>S11+W11</f>
        <v>2002</v>
      </c>
      <c r="AA11" s="83">
        <f>Z11/Q11</f>
        <v>0.57199999999999995</v>
      </c>
      <c r="AB11" s="434">
        <f>(Z11+Z12)/(Q11+Q12)</f>
        <v>0.47222222222222221</v>
      </c>
      <c r="AC11" s="268" t="s">
        <v>109</v>
      </c>
      <c r="AD11" s="334" t="s">
        <v>110</v>
      </c>
      <c r="AE11" s="340" t="s">
        <v>111</v>
      </c>
      <c r="AF11" s="27" t="s">
        <v>112</v>
      </c>
      <c r="AG11" s="27" t="s">
        <v>113</v>
      </c>
      <c r="AH11" s="21">
        <f>R11</f>
        <v>1500</v>
      </c>
      <c r="AI11" s="21">
        <v>0</v>
      </c>
      <c r="AJ11" s="87">
        <f>AH11/SUM(AH11:AH12)</f>
        <v>0.61932287365813377</v>
      </c>
      <c r="AK11" s="174">
        <f t="shared" ref="AK11:AK12" si="2">+(AI11*AJ11)/AH11</f>
        <v>0</v>
      </c>
      <c r="AL11" s="25" t="s">
        <v>76</v>
      </c>
      <c r="AM11" s="25" t="s">
        <v>77</v>
      </c>
      <c r="AN11" s="55">
        <v>360</v>
      </c>
      <c r="AO11" s="401">
        <f>(Q11+Q12)*5</f>
        <v>22500</v>
      </c>
      <c r="AP11" s="401">
        <f>(Z11+Z12)*5</f>
        <v>10625</v>
      </c>
      <c r="AQ11" s="336" t="s">
        <v>78</v>
      </c>
      <c r="AR11" s="390" t="s">
        <v>79</v>
      </c>
      <c r="AS11" s="393" t="s">
        <v>80</v>
      </c>
      <c r="AT11" s="409">
        <f>7361763638+892065241</f>
        <v>8253828879</v>
      </c>
      <c r="AU11" s="301" t="s">
        <v>114</v>
      </c>
      <c r="AV11" s="392" t="s">
        <v>115</v>
      </c>
      <c r="AW11" s="395" t="s">
        <v>116</v>
      </c>
      <c r="AX11" s="297">
        <v>6625197906.4799995</v>
      </c>
      <c r="AY11" s="297">
        <v>7361763638</v>
      </c>
      <c r="AZ11" s="297">
        <v>7361763638</v>
      </c>
      <c r="BA11" s="324" t="s">
        <v>117</v>
      </c>
    </row>
    <row r="12" spans="1:59" s="1" customFormat="1" ht="198" customHeight="1" thickBot="1">
      <c r="A12" s="344"/>
      <c r="B12" s="345"/>
      <c r="C12" s="442"/>
      <c r="D12" s="350"/>
      <c r="E12" s="350"/>
      <c r="F12" s="423"/>
      <c r="G12" s="423"/>
      <c r="H12" s="387"/>
      <c r="I12" s="290"/>
      <c r="J12" s="243" t="s">
        <v>118</v>
      </c>
      <c r="K12" s="243" t="s">
        <v>119</v>
      </c>
      <c r="L12" s="350"/>
      <c r="M12" s="237" t="s">
        <v>120</v>
      </c>
      <c r="N12" s="425"/>
      <c r="O12" s="418"/>
      <c r="P12" s="418"/>
      <c r="Q12" s="72">
        <v>1000</v>
      </c>
      <c r="R12" s="72">
        <f>232+460+230</f>
        <v>922</v>
      </c>
      <c r="S12" s="72">
        <v>41</v>
      </c>
      <c r="T12" s="72">
        <v>0</v>
      </c>
      <c r="U12" s="72">
        <v>0</v>
      </c>
      <c r="V12" s="72">
        <v>82</v>
      </c>
      <c r="W12" s="72">
        <f>SUM(T12:V12)</f>
        <v>82</v>
      </c>
      <c r="X12" s="75">
        <f>W12/R12</f>
        <v>8.8937093275488072E-2</v>
      </c>
      <c r="Y12" s="360"/>
      <c r="Z12" s="72">
        <f>S12+W12</f>
        <v>123</v>
      </c>
      <c r="AA12" s="75">
        <f>Z12/Q12</f>
        <v>0.123</v>
      </c>
      <c r="AB12" s="435"/>
      <c r="AC12" s="295"/>
      <c r="AD12" s="335"/>
      <c r="AE12" s="341"/>
      <c r="AF12" s="19" t="s">
        <v>121</v>
      </c>
      <c r="AG12" s="19" t="s">
        <v>122</v>
      </c>
      <c r="AH12" s="57">
        <f>R12</f>
        <v>922</v>
      </c>
      <c r="AI12" s="57">
        <v>82</v>
      </c>
      <c r="AJ12" s="54">
        <f>AH12/SUM(AH11:AH12)</f>
        <v>0.38067712634186623</v>
      </c>
      <c r="AK12" s="54">
        <f t="shared" si="2"/>
        <v>3.3856317093311314E-2</v>
      </c>
      <c r="AL12" s="20" t="s">
        <v>76</v>
      </c>
      <c r="AM12" s="20" t="s">
        <v>77</v>
      </c>
      <c r="AN12" s="57">
        <v>360</v>
      </c>
      <c r="AO12" s="403"/>
      <c r="AP12" s="403"/>
      <c r="AQ12" s="337"/>
      <c r="AR12" s="391"/>
      <c r="AS12" s="394"/>
      <c r="AT12" s="411"/>
      <c r="AU12" s="302"/>
      <c r="AV12" s="341"/>
      <c r="AW12" s="396"/>
      <c r="AX12" s="298"/>
      <c r="AY12" s="298"/>
      <c r="AZ12" s="298"/>
      <c r="BA12" s="326"/>
    </row>
    <row r="13" spans="1:59" s="1" customFormat="1" ht="93" customHeight="1" thickBot="1">
      <c r="A13" s="156"/>
      <c r="B13" s="157"/>
      <c r="C13" s="240"/>
      <c r="D13" s="158"/>
      <c r="E13" s="158"/>
      <c r="F13" s="159"/>
      <c r="G13" s="159"/>
      <c r="H13" s="160"/>
      <c r="I13" s="291"/>
      <c r="J13" s="292" t="s">
        <v>123</v>
      </c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4"/>
      <c r="X13" s="214">
        <f>+Y11</f>
        <v>3.3856317093311314E-2</v>
      </c>
      <c r="Y13" s="163"/>
      <c r="Z13" s="162"/>
      <c r="AA13" s="214">
        <f>+AB11</f>
        <v>0.47222222222222221</v>
      </c>
      <c r="AB13" s="164"/>
      <c r="AC13" s="269"/>
      <c r="AD13" s="296" t="s">
        <v>124</v>
      </c>
      <c r="AE13" s="296"/>
      <c r="AF13" s="296"/>
      <c r="AG13" s="296"/>
      <c r="AH13" s="296"/>
      <c r="AI13" s="296"/>
      <c r="AJ13" s="296"/>
      <c r="AK13" s="176">
        <f>AVERAGE(AK11:AK12)</f>
        <v>1.6928158546655657E-2</v>
      </c>
      <c r="AL13" s="169"/>
      <c r="AM13" s="169"/>
      <c r="AN13" s="170"/>
      <c r="AO13" s="170"/>
      <c r="AP13" s="170"/>
      <c r="AQ13" s="157"/>
      <c r="AR13" s="184"/>
      <c r="AS13" s="145"/>
      <c r="AT13" s="148"/>
      <c r="AU13" s="151"/>
      <c r="AV13" s="240"/>
      <c r="AW13" s="98"/>
      <c r="AX13" s="142"/>
      <c r="AY13" s="179"/>
      <c r="AZ13" s="179"/>
      <c r="BA13" s="239"/>
    </row>
    <row r="14" spans="1:59" s="1" customFormat="1" ht="248.5" thickBot="1">
      <c r="A14" s="68" t="s">
        <v>59</v>
      </c>
      <c r="B14" s="63" t="s">
        <v>60</v>
      </c>
      <c r="C14" s="244" t="s">
        <v>125</v>
      </c>
      <c r="D14" s="67" t="s">
        <v>126</v>
      </c>
      <c r="E14" s="67" t="s">
        <v>127</v>
      </c>
      <c r="F14" s="65" t="s">
        <v>128</v>
      </c>
      <c r="G14" s="65" t="s">
        <v>129</v>
      </c>
      <c r="H14" s="64">
        <f>(Z14)/14770</f>
        <v>0.18131347325660122</v>
      </c>
      <c r="I14" s="289" t="s">
        <v>130</v>
      </c>
      <c r="J14" s="245" t="s">
        <v>131</v>
      </c>
      <c r="K14" s="245" t="s">
        <v>132</v>
      </c>
      <c r="L14" s="67" t="s">
        <v>126</v>
      </c>
      <c r="M14" s="244" t="s">
        <v>133</v>
      </c>
      <c r="N14" s="79" t="s">
        <v>69</v>
      </c>
      <c r="O14" s="79"/>
      <c r="P14" s="244" t="s">
        <v>134</v>
      </c>
      <c r="Q14" s="80">
        <v>4500</v>
      </c>
      <c r="R14" s="80">
        <f>1518+1314</f>
        <v>2832</v>
      </c>
      <c r="S14" s="80">
        <v>1668</v>
      </c>
      <c r="T14" s="80">
        <v>108</v>
      </c>
      <c r="U14" s="80">
        <v>385</v>
      </c>
      <c r="V14" s="80">
        <v>517</v>
      </c>
      <c r="W14" s="80">
        <f>SUM(T14:V14)</f>
        <v>1010</v>
      </c>
      <c r="X14" s="191">
        <f>W14/R14</f>
        <v>0.35663841807909602</v>
      </c>
      <c r="Y14" s="77">
        <f>X14</f>
        <v>0.35663841807909602</v>
      </c>
      <c r="Z14" s="80">
        <f>S14+W14</f>
        <v>2678</v>
      </c>
      <c r="AA14" s="191">
        <f>Z14/Q14</f>
        <v>0.59511111111111115</v>
      </c>
      <c r="AB14" s="91">
        <f>AA14</f>
        <v>0.59511111111111115</v>
      </c>
      <c r="AC14" s="268" t="s">
        <v>135</v>
      </c>
      <c r="AD14" s="33" t="s">
        <v>136</v>
      </c>
      <c r="AE14" s="246" t="s">
        <v>137</v>
      </c>
      <c r="AF14" s="34" t="s">
        <v>138</v>
      </c>
      <c r="AG14" s="34" t="s">
        <v>139</v>
      </c>
      <c r="AH14" s="185">
        <f>R14</f>
        <v>2832</v>
      </c>
      <c r="AI14" s="185">
        <f>W14</f>
        <v>1010</v>
      </c>
      <c r="AJ14" s="186">
        <v>1</v>
      </c>
      <c r="AK14" s="54">
        <f t="shared" ref="AK14" si="3">+(AI14*AJ14)/AH14</f>
        <v>0.35663841807909602</v>
      </c>
      <c r="AL14" s="37" t="s">
        <v>76</v>
      </c>
      <c r="AM14" s="37" t="s">
        <v>77</v>
      </c>
      <c r="AN14" s="41">
        <v>360</v>
      </c>
      <c r="AO14" s="58">
        <f>Q14*5</f>
        <v>22500</v>
      </c>
      <c r="AP14" s="58">
        <f>Z14*5</f>
        <v>13390</v>
      </c>
      <c r="AQ14" s="38" t="s">
        <v>140</v>
      </c>
      <c r="AR14" s="46" t="s">
        <v>141</v>
      </c>
      <c r="AS14" s="103" t="s">
        <v>80</v>
      </c>
      <c r="AT14" s="42">
        <f>169000000+106700184</f>
        <v>275700184</v>
      </c>
      <c r="AU14" s="43" t="s">
        <v>114</v>
      </c>
      <c r="AV14" s="247" t="s">
        <v>142</v>
      </c>
      <c r="AW14" s="99" t="s">
        <v>143</v>
      </c>
      <c r="AX14" s="101">
        <v>52116552</v>
      </c>
      <c r="AY14" s="101">
        <v>275700184</v>
      </c>
      <c r="AZ14" s="101">
        <v>275700184</v>
      </c>
      <c r="BA14" s="248" t="s">
        <v>144</v>
      </c>
      <c r="BC14"/>
      <c r="BG14"/>
    </row>
    <row r="15" spans="1:59" s="1" customFormat="1" ht="92.25" customHeight="1" thickBot="1">
      <c r="A15" s="68"/>
      <c r="B15" s="63"/>
      <c r="C15" s="244"/>
      <c r="D15" s="67"/>
      <c r="E15" s="67"/>
      <c r="F15" s="65"/>
      <c r="G15" s="65"/>
      <c r="H15" s="64"/>
      <c r="I15" s="290"/>
      <c r="J15" s="438" t="s">
        <v>145</v>
      </c>
      <c r="K15" s="439"/>
      <c r="L15" s="439"/>
      <c r="M15" s="439"/>
      <c r="N15" s="439"/>
      <c r="O15" s="439"/>
      <c r="P15" s="439"/>
      <c r="Q15" s="440"/>
      <c r="R15" s="440"/>
      <c r="S15" s="440"/>
      <c r="T15" s="440"/>
      <c r="U15" s="440"/>
      <c r="V15" s="440"/>
      <c r="W15" s="441"/>
      <c r="X15" s="191">
        <f>AVERAGE(X14)</f>
        <v>0.35663841807909602</v>
      </c>
      <c r="Y15" s="77"/>
      <c r="Z15" s="80"/>
      <c r="AA15" s="191">
        <f>AVERAGE(AA14)</f>
        <v>0.59511111111111115</v>
      </c>
      <c r="AB15" s="91"/>
      <c r="AC15" s="269"/>
      <c r="AD15" s="270" t="s">
        <v>146</v>
      </c>
      <c r="AE15" s="271"/>
      <c r="AF15" s="271"/>
      <c r="AG15" s="271"/>
      <c r="AH15" s="271"/>
      <c r="AI15" s="271"/>
      <c r="AJ15" s="272"/>
      <c r="AK15" s="192">
        <f>+AK14</f>
        <v>0.35663841807909602</v>
      </c>
      <c r="AL15" s="187"/>
      <c r="AM15" s="187"/>
      <c r="AN15" s="188"/>
      <c r="AO15" s="189"/>
      <c r="AP15" s="189"/>
      <c r="AQ15" s="63"/>
      <c r="AR15" s="190"/>
      <c r="AS15" s="144"/>
      <c r="AT15" s="146"/>
      <c r="AU15" s="149"/>
      <c r="AV15" s="249"/>
      <c r="AW15" s="152"/>
      <c r="AX15" s="140"/>
      <c r="AY15" s="177"/>
      <c r="AZ15" s="177"/>
      <c r="BA15" s="234"/>
      <c r="BC15"/>
      <c r="BG15"/>
    </row>
    <row r="16" spans="1:59" s="1" customFormat="1" ht="170.5">
      <c r="A16" s="82" t="s">
        <v>59</v>
      </c>
      <c r="B16" s="70" t="s">
        <v>60</v>
      </c>
      <c r="C16" s="59" t="s">
        <v>147</v>
      </c>
      <c r="D16" s="59" t="s">
        <v>147</v>
      </c>
      <c r="E16" s="59" t="s">
        <v>147</v>
      </c>
      <c r="F16" s="59" t="s">
        <v>148</v>
      </c>
      <c r="G16" s="59" t="s">
        <v>148</v>
      </c>
      <c r="H16" s="59" t="s">
        <v>148</v>
      </c>
      <c r="I16" s="273" t="s">
        <v>149</v>
      </c>
      <c r="J16" s="250" t="s">
        <v>150</v>
      </c>
      <c r="K16" s="250" t="s">
        <v>151</v>
      </c>
      <c r="L16" s="113" t="s">
        <v>147</v>
      </c>
      <c r="M16" s="235" t="s">
        <v>152</v>
      </c>
      <c r="N16" s="81"/>
      <c r="O16" s="81" t="s">
        <v>69</v>
      </c>
      <c r="P16" s="250" t="s">
        <v>153</v>
      </c>
      <c r="Q16" s="39">
        <v>2</v>
      </c>
      <c r="R16" s="39" t="s">
        <v>154</v>
      </c>
      <c r="S16" s="39">
        <v>2</v>
      </c>
      <c r="T16" s="39" t="s">
        <v>154</v>
      </c>
      <c r="U16" s="39" t="s">
        <v>154</v>
      </c>
      <c r="V16" s="39" t="s">
        <v>154</v>
      </c>
      <c r="W16" s="39" t="s">
        <v>154</v>
      </c>
      <c r="X16" s="83" t="s">
        <v>154</v>
      </c>
      <c r="Y16" s="116" t="s">
        <v>154</v>
      </c>
      <c r="Z16" s="39">
        <f>S16</f>
        <v>2</v>
      </c>
      <c r="AA16" s="96">
        <f>Z16/Q16</f>
        <v>1</v>
      </c>
      <c r="AB16" s="117">
        <f>AA16</f>
        <v>1</v>
      </c>
      <c r="AC16" s="88"/>
      <c r="AD16" s="69"/>
      <c r="AE16" s="59" t="s">
        <v>154</v>
      </c>
      <c r="AF16" s="49" t="s">
        <v>154</v>
      </c>
      <c r="AG16" s="49" t="s">
        <v>154</v>
      </c>
      <c r="AH16" s="49" t="s">
        <v>154</v>
      </c>
      <c r="AI16" s="49" t="s">
        <v>154</v>
      </c>
      <c r="AJ16" s="49" t="s">
        <v>154</v>
      </c>
      <c r="AK16" s="49"/>
      <c r="AL16" s="49" t="s">
        <v>154</v>
      </c>
      <c r="AM16" s="49" t="s">
        <v>154</v>
      </c>
      <c r="AN16" s="49" t="s">
        <v>154</v>
      </c>
      <c r="AO16" s="49" t="s">
        <v>154</v>
      </c>
      <c r="AP16" s="49" t="s">
        <v>154</v>
      </c>
      <c r="AQ16" s="49" t="s">
        <v>154</v>
      </c>
      <c r="AR16" s="119" t="s">
        <v>154</v>
      </c>
      <c r="AS16" s="120" t="s">
        <v>154</v>
      </c>
      <c r="AT16" s="49" t="s">
        <v>154</v>
      </c>
      <c r="AU16" s="49" t="s">
        <v>154</v>
      </c>
      <c r="AV16" s="49" t="s">
        <v>154</v>
      </c>
      <c r="AW16" s="49"/>
      <c r="AX16" s="119" t="s">
        <v>154</v>
      </c>
      <c r="AY16" s="180"/>
      <c r="AZ16" s="180"/>
      <c r="BA16" s="251" t="s">
        <v>155</v>
      </c>
      <c r="BC16"/>
      <c r="BG16"/>
    </row>
    <row r="17" spans="1:59" s="1" customFormat="1" ht="225" customHeight="1" thickBot="1">
      <c r="A17" s="84" t="s">
        <v>59</v>
      </c>
      <c r="B17" s="71" t="s">
        <v>60</v>
      </c>
      <c r="C17" s="112" t="s">
        <v>147</v>
      </c>
      <c r="D17" s="112" t="s">
        <v>147</v>
      </c>
      <c r="E17" s="112" t="s">
        <v>147</v>
      </c>
      <c r="F17" s="112" t="s">
        <v>148</v>
      </c>
      <c r="G17" s="112" t="s">
        <v>148</v>
      </c>
      <c r="H17" s="112" t="s">
        <v>148</v>
      </c>
      <c r="I17" s="273"/>
      <c r="J17" s="252" t="s">
        <v>156</v>
      </c>
      <c r="K17" s="252" t="s">
        <v>157</v>
      </c>
      <c r="L17" s="199" t="s">
        <v>147</v>
      </c>
      <c r="M17" s="253" t="s">
        <v>158</v>
      </c>
      <c r="N17" s="200" t="s">
        <v>69</v>
      </c>
      <c r="O17" s="200"/>
      <c r="P17" s="238" t="s">
        <v>159</v>
      </c>
      <c r="Q17" s="201">
        <v>10</v>
      </c>
      <c r="R17" s="201" t="s">
        <v>154</v>
      </c>
      <c r="S17" s="201" t="s">
        <v>154</v>
      </c>
      <c r="T17" s="201" t="s">
        <v>154</v>
      </c>
      <c r="U17" s="201" t="s">
        <v>154</v>
      </c>
      <c r="V17" s="201" t="s">
        <v>154</v>
      </c>
      <c r="W17" s="201" t="str">
        <f>T17</f>
        <v>NP</v>
      </c>
      <c r="X17" s="202" t="s">
        <v>154</v>
      </c>
      <c r="Y17" s="203" t="s">
        <v>154</v>
      </c>
      <c r="Z17" s="201" t="s">
        <v>154</v>
      </c>
      <c r="AA17" s="202" t="s">
        <v>154</v>
      </c>
      <c r="AB17" s="204" t="s">
        <v>154</v>
      </c>
      <c r="AC17" s="193"/>
      <c r="AD17" s="165"/>
      <c r="AE17" s="173" t="s">
        <v>154</v>
      </c>
      <c r="AF17" s="167" t="s">
        <v>154</v>
      </c>
      <c r="AG17" s="167" t="s">
        <v>154</v>
      </c>
      <c r="AH17" s="167" t="s">
        <v>154</v>
      </c>
      <c r="AI17" s="167" t="s">
        <v>154</v>
      </c>
      <c r="AJ17" s="167" t="s">
        <v>154</v>
      </c>
      <c r="AK17" s="167"/>
      <c r="AL17" s="167" t="s">
        <v>154</v>
      </c>
      <c r="AM17" s="167" t="s">
        <v>154</v>
      </c>
      <c r="AN17" s="167" t="s">
        <v>154</v>
      </c>
      <c r="AO17" s="167" t="s">
        <v>154</v>
      </c>
      <c r="AP17" s="167" t="s">
        <v>154</v>
      </c>
      <c r="AQ17" s="90" t="s">
        <v>154</v>
      </c>
      <c r="AR17" s="92" t="s">
        <v>154</v>
      </c>
      <c r="AS17" s="118" t="s">
        <v>154</v>
      </c>
      <c r="AT17" s="90" t="s">
        <v>154</v>
      </c>
      <c r="AU17" s="90" t="s">
        <v>154</v>
      </c>
      <c r="AV17" s="90" t="s">
        <v>154</v>
      </c>
      <c r="AW17" s="90"/>
      <c r="AX17" s="92" t="s">
        <v>154</v>
      </c>
      <c r="AY17" s="181"/>
      <c r="AZ17" s="181"/>
      <c r="BA17" s="254" t="s">
        <v>160</v>
      </c>
      <c r="BC17"/>
      <c r="BG17"/>
    </row>
    <row r="18" spans="1:59" s="1" customFormat="1" ht="101.25" customHeight="1">
      <c r="A18" s="156"/>
      <c r="B18" s="157"/>
      <c r="C18" s="173"/>
      <c r="D18" s="173"/>
      <c r="E18" s="173"/>
      <c r="F18" s="173"/>
      <c r="G18" s="173"/>
      <c r="H18" s="173"/>
      <c r="I18" s="273"/>
      <c r="J18" s="274" t="s">
        <v>161</v>
      </c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154"/>
      <c r="Y18" s="205"/>
      <c r="Z18" s="66"/>
      <c r="AA18" s="154"/>
      <c r="AB18" s="215">
        <f>+AB16</f>
        <v>1</v>
      </c>
      <c r="AC18" s="108"/>
      <c r="AD18" s="155"/>
      <c r="AE18" s="108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167"/>
      <c r="AR18" s="194"/>
      <c r="AS18" s="195"/>
      <c r="AT18" s="196"/>
      <c r="AU18" s="167"/>
      <c r="AV18" s="167"/>
      <c r="AW18" s="197"/>
      <c r="AX18" s="194"/>
      <c r="AY18" s="198"/>
      <c r="AZ18" s="198"/>
      <c r="BA18" s="255"/>
      <c r="BC18"/>
      <c r="BG18"/>
    </row>
    <row r="19" spans="1:59" s="1" customFormat="1" ht="216.75" customHeight="1">
      <c r="A19" s="426" t="s">
        <v>59</v>
      </c>
      <c r="B19" s="427" t="s">
        <v>60</v>
      </c>
      <c r="C19" s="428" t="s">
        <v>147</v>
      </c>
      <c r="D19" s="428" t="s">
        <v>147</v>
      </c>
      <c r="E19" s="428" t="s">
        <v>147</v>
      </c>
      <c r="F19" s="428" t="s">
        <v>148</v>
      </c>
      <c r="G19" s="428" t="s">
        <v>148</v>
      </c>
      <c r="H19" s="431" t="s">
        <v>148</v>
      </c>
      <c r="I19" s="273" t="s">
        <v>162</v>
      </c>
      <c r="J19" s="256" t="s">
        <v>163</v>
      </c>
      <c r="K19" s="257" t="s">
        <v>164</v>
      </c>
      <c r="L19" s="115" t="s">
        <v>147</v>
      </c>
      <c r="M19" s="242" t="s">
        <v>165</v>
      </c>
      <c r="N19" s="48"/>
      <c r="O19" s="48" t="s">
        <v>69</v>
      </c>
      <c r="P19" s="242" t="s">
        <v>164</v>
      </c>
      <c r="Q19" s="40">
        <v>4</v>
      </c>
      <c r="R19" s="40" t="s">
        <v>154</v>
      </c>
      <c r="S19" s="40" t="s">
        <v>154</v>
      </c>
      <c r="T19" s="40" t="s">
        <v>154</v>
      </c>
      <c r="U19" s="40" t="s">
        <v>154</v>
      </c>
      <c r="V19" s="40" t="s">
        <v>154</v>
      </c>
      <c r="W19" s="40" t="s">
        <v>154</v>
      </c>
      <c r="X19" s="74" t="s">
        <v>154</v>
      </c>
      <c r="Y19" s="278">
        <f>AVERAGE(X20:X22)</f>
        <v>0.79313725490196074</v>
      </c>
      <c r="Z19" s="40" t="s">
        <v>154</v>
      </c>
      <c r="AA19" s="74" t="s">
        <v>154</v>
      </c>
      <c r="AB19" s="281">
        <f>AVERAGE(AA20:AA22)</f>
        <v>0.9</v>
      </c>
      <c r="AC19" s="94"/>
      <c r="AD19" s="89"/>
      <c r="AE19" s="89" t="s">
        <v>154</v>
      </c>
      <c r="AF19" s="89" t="s">
        <v>154</v>
      </c>
      <c r="AG19" s="89" t="s">
        <v>154</v>
      </c>
      <c r="AH19" s="89" t="s">
        <v>154</v>
      </c>
      <c r="AI19" s="89" t="s">
        <v>154</v>
      </c>
      <c r="AJ19" s="89" t="s">
        <v>154</v>
      </c>
      <c r="AK19" s="89"/>
      <c r="AL19" s="89" t="s">
        <v>154</v>
      </c>
      <c r="AM19" s="89" t="s">
        <v>154</v>
      </c>
      <c r="AN19" s="89" t="s">
        <v>154</v>
      </c>
      <c r="AO19" s="89" t="s">
        <v>154</v>
      </c>
      <c r="AP19" s="89" t="s">
        <v>154</v>
      </c>
      <c r="AQ19" s="89" t="s">
        <v>154</v>
      </c>
      <c r="AR19" s="93" t="s">
        <v>154</v>
      </c>
      <c r="AS19" s="121" t="s">
        <v>154</v>
      </c>
      <c r="AT19" s="122" t="s">
        <v>154</v>
      </c>
      <c r="AU19" s="123" t="s">
        <v>154</v>
      </c>
      <c r="AV19" s="60" t="s">
        <v>154</v>
      </c>
      <c r="AW19" s="124" t="s">
        <v>154</v>
      </c>
      <c r="AX19" s="125" t="s">
        <v>154</v>
      </c>
      <c r="AY19" s="182"/>
      <c r="AZ19" s="182"/>
      <c r="BA19" s="258" t="s">
        <v>166</v>
      </c>
      <c r="BC19"/>
      <c r="BG19"/>
    </row>
    <row r="20" spans="1:59" s="1" customFormat="1" ht="409.5">
      <c r="A20" s="377"/>
      <c r="B20" s="342"/>
      <c r="C20" s="429"/>
      <c r="D20" s="429"/>
      <c r="E20" s="429"/>
      <c r="F20" s="429"/>
      <c r="G20" s="429"/>
      <c r="H20" s="432"/>
      <c r="I20" s="273"/>
      <c r="J20" s="259" t="s">
        <v>167</v>
      </c>
      <c r="K20" s="250" t="s">
        <v>168</v>
      </c>
      <c r="L20" s="113" t="s">
        <v>147</v>
      </c>
      <c r="M20" s="235" t="s">
        <v>169</v>
      </c>
      <c r="N20" s="81" t="s">
        <v>69</v>
      </c>
      <c r="O20" s="235"/>
      <c r="P20" s="235" t="s">
        <v>170</v>
      </c>
      <c r="Q20" s="66">
        <v>3</v>
      </c>
      <c r="R20" s="56">
        <v>1</v>
      </c>
      <c r="S20" s="56">
        <v>2</v>
      </c>
      <c r="T20" s="56">
        <v>0</v>
      </c>
      <c r="U20" s="134">
        <v>0.3</v>
      </c>
      <c r="V20" s="134">
        <v>0.6</v>
      </c>
      <c r="W20" s="133">
        <f>SUM(T20:V20)</f>
        <v>0.89999999999999991</v>
      </c>
      <c r="X20" s="86">
        <f>W20/R20</f>
        <v>0.89999999999999991</v>
      </c>
      <c r="Y20" s="279"/>
      <c r="Z20" s="133">
        <f>S20+W20</f>
        <v>2.9</v>
      </c>
      <c r="AA20" s="86">
        <f>Z20/Q20</f>
        <v>0.96666666666666667</v>
      </c>
      <c r="AB20" s="282"/>
      <c r="AC20" s="260" t="s">
        <v>171</v>
      </c>
      <c r="AD20" s="22" t="s">
        <v>172</v>
      </c>
      <c r="AE20" s="242" t="s">
        <v>173</v>
      </c>
      <c r="AF20" s="27" t="s">
        <v>174</v>
      </c>
      <c r="AG20" s="27" t="s">
        <v>175</v>
      </c>
      <c r="AH20" s="21">
        <f>R20</f>
        <v>1</v>
      </c>
      <c r="AI20" s="135">
        <f>W20</f>
        <v>0.89999999999999991</v>
      </c>
      <c r="AJ20" s="87">
        <v>1</v>
      </c>
      <c r="AK20" s="87">
        <f>+(AI20*AJ20)/AH20</f>
        <v>0.89999999999999991</v>
      </c>
      <c r="AL20" s="29" t="s">
        <v>76</v>
      </c>
      <c r="AM20" s="29" t="s">
        <v>77</v>
      </c>
      <c r="AN20" s="28">
        <v>360</v>
      </c>
      <c r="AO20" s="21">
        <f>70822*4</f>
        <v>283288</v>
      </c>
      <c r="AP20" s="21">
        <f>AO20</f>
        <v>283288</v>
      </c>
      <c r="AQ20" s="23" t="s">
        <v>176</v>
      </c>
      <c r="AR20" s="44" t="s">
        <v>177</v>
      </c>
      <c r="AS20" s="104" t="s">
        <v>80</v>
      </c>
      <c r="AT20" s="30">
        <f>62000000+82078418.72</f>
        <v>144078418.72</v>
      </c>
      <c r="AU20" s="14" t="s">
        <v>114</v>
      </c>
      <c r="AV20" s="31" t="s">
        <v>171</v>
      </c>
      <c r="AW20" s="100" t="s">
        <v>178</v>
      </c>
      <c r="AX20" s="102">
        <v>86414885</v>
      </c>
      <c r="AY20" s="102">
        <v>144078418.72</v>
      </c>
      <c r="AZ20" s="102">
        <v>144078418.72</v>
      </c>
      <c r="BA20" s="261" t="s">
        <v>179</v>
      </c>
    </row>
    <row r="21" spans="1:59" s="1" customFormat="1" ht="189" customHeight="1">
      <c r="A21" s="377"/>
      <c r="B21" s="342"/>
      <c r="C21" s="429"/>
      <c r="D21" s="429"/>
      <c r="E21" s="429"/>
      <c r="F21" s="429"/>
      <c r="G21" s="429"/>
      <c r="H21" s="432"/>
      <c r="I21" s="273"/>
      <c r="J21" s="259" t="s">
        <v>180</v>
      </c>
      <c r="K21" s="250" t="s">
        <v>181</v>
      </c>
      <c r="L21" s="113" t="s">
        <v>147</v>
      </c>
      <c r="M21" s="235" t="s">
        <v>182</v>
      </c>
      <c r="N21" s="81"/>
      <c r="O21" s="81" t="s">
        <v>69</v>
      </c>
      <c r="P21" s="235" t="s">
        <v>183</v>
      </c>
      <c r="Q21" s="66">
        <v>1</v>
      </c>
      <c r="R21" s="56" t="s">
        <v>154</v>
      </c>
      <c r="S21" s="56">
        <v>1</v>
      </c>
      <c r="T21" s="56" t="s">
        <v>154</v>
      </c>
      <c r="U21" s="56" t="s">
        <v>154</v>
      </c>
      <c r="V21" s="56" t="s">
        <v>154</v>
      </c>
      <c r="W21" s="56" t="s">
        <v>154</v>
      </c>
      <c r="X21" s="86" t="s">
        <v>154</v>
      </c>
      <c r="Y21" s="279"/>
      <c r="Z21" s="56">
        <f>S21</f>
        <v>1</v>
      </c>
      <c r="AA21" s="97">
        <f>Z21/Q21</f>
        <v>1</v>
      </c>
      <c r="AB21" s="282"/>
      <c r="AC21" s="94" t="s">
        <v>154</v>
      </c>
      <c r="AD21" s="22"/>
      <c r="AE21" s="60" t="s">
        <v>154</v>
      </c>
      <c r="AF21" s="89" t="s">
        <v>154</v>
      </c>
      <c r="AG21" s="89" t="s">
        <v>154</v>
      </c>
      <c r="AH21" s="89" t="s">
        <v>154</v>
      </c>
      <c r="AI21" s="89" t="s">
        <v>154</v>
      </c>
      <c r="AJ21" s="89" t="s">
        <v>154</v>
      </c>
      <c r="AK21" s="89"/>
      <c r="AL21" s="89" t="s">
        <v>154</v>
      </c>
      <c r="AM21" s="89" t="s">
        <v>154</v>
      </c>
      <c r="AN21" s="89" t="s">
        <v>154</v>
      </c>
      <c r="AO21" s="89" t="s">
        <v>154</v>
      </c>
      <c r="AP21" s="89" t="s">
        <v>154</v>
      </c>
      <c r="AQ21" s="89" t="s">
        <v>154</v>
      </c>
      <c r="AR21" s="93" t="s">
        <v>154</v>
      </c>
      <c r="AS21" s="105" t="s">
        <v>154</v>
      </c>
      <c r="AT21" s="106" t="s">
        <v>154</v>
      </c>
      <c r="AU21" s="107" t="s">
        <v>154</v>
      </c>
      <c r="AV21" s="108" t="s">
        <v>154</v>
      </c>
      <c r="AW21" s="110" t="s">
        <v>154</v>
      </c>
      <c r="AX21" s="109" t="s">
        <v>154</v>
      </c>
      <c r="AY21" s="183"/>
      <c r="AZ21" s="183"/>
      <c r="BA21" s="262" t="s">
        <v>155</v>
      </c>
    </row>
    <row r="22" spans="1:59" s="1" customFormat="1" ht="217.5" thickBot="1">
      <c r="A22" s="344"/>
      <c r="B22" s="345"/>
      <c r="C22" s="430"/>
      <c r="D22" s="430"/>
      <c r="E22" s="430"/>
      <c r="F22" s="430"/>
      <c r="G22" s="430"/>
      <c r="H22" s="433"/>
      <c r="I22" s="273"/>
      <c r="J22" s="263" t="s">
        <v>184</v>
      </c>
      <c r="K22" s="252" t="s">
        <v>185</v>
      </c>
      <c r="L22" s="199" t="s">
        <v>147</v>
      </c>
      <c r="M22" s="238" t="s">
        <v>186</v>
      </c>
      <c r="N22" s="200" t="s">
        <v>69</v>
      </c>
      <c r="O22" s="238"/>
      <c r="P22" s="238" t="s">
        <v>187</v>
      </c>
      <c r="Q22" s="201">
        <v>6</v>
      </c>
      <c r="R22" s="208">
        <v>5.0999999999999996</v>
      </c>
      <c r="S22" s="208">
        <v>0.9</v>
      </c>
      <c r="T22" s="208">
        <v>0.3</v>
      </c>
      <c r="U22" s="208">
        <v>2.1</v>
      </c>
      <c r="V22" s="208">
        <v>1.1000000000000001</v>
      </c>
      <c r="W22" s="73">
        <f>SUM(T22:V22)</f>
        <v>3.5</v>
      </c>
      <c r="X22" s="206">
        <f>W22/R22</f>
        <v>0.68627450980392157</v>
      </c>
      <c r="Y22" s="280"/>
      <c r="Z22" s="208">
        <f>S22+W22</f>
        <v>4.4000000000000004</v>
      </c>
      <c r="AA22" s="206">
        <f>Z22/Q22</f>
        <v>0.73333333333333339</v>
      </c>
      <c r="AB22" s="283"/>
      <c r="AC22" s="276" t="s">
        <v>188</v>
      </c>
      <c r="AD22" s="224" t="s">
        <v>189</v>
      </c>
      <c r="AE22" s="225" t="s">
        <v>190</v>
      </c>
      <c r="AF22" s="166" t="s">
        <v>191</v>
      </c>
      <c r="AG22" s="166" t="s">
        <v>192</v>
      </c>
      <c r="AH22" s="226">
        <f>R22</f>
        <v>5.0999999999999996</v>
      </c>
      <c r="AI22" s="226">
        <f>W22</f>
        <v>3.5</v>
      </c>
      <c r="AJ22" s="54">
        <v>1</v>
      </c>
      <c r="AK22" s="227">
        <f>+(AI22*AJ22)/AH22</f>
        <v>0.68627450980392157</v>
      </c>
      <c r="AL22" s="36" t="s">
        <v>76</v>
      </c>
      <c r="AM22" s="36" t="s">
        <v>77</v>
      </c>
      <c r="AN22" s="35">
        <v>360</v>
      </c>
      <c r="AO22" s="35">
        <f>19258*4</f>
        <v>77032</v>
      </c>
      <c r="AP22" s="35">
        <f>AO22</f>
        <v>77032</v>
      </c>
      <c r="AQ22" s="32" t="s">
        <v>176</v>
      </c>
      <c r="AR22" s="45" t="s">
        <v>177</v>
      </c>
      <c r="AS22" s="145" t="s">
        <v>80</v>
      </c>
      <c r="AT22" s="139">
        <f>177538554+131253931.47</f>
        <v>308792485.47000003</v>
      </c>
      <c r="AU22" s="47" t="s">
        <v>114</v>
      </c>
      <c r="AV22" s="246" t="s">
        <v>188</v>
      </c>
      <c r="AW22" s="153" t="s">
        <v>193</v>
      </c>
      <c r="AX22" s="138">
        <v>171200000</v>
      </c>
      <c r="AY22" s="138">
        <v>177538554</v>
      </c>
      <c r="AZ22" s="138">
        <v>177538554</v>
      </c>
      <c r="BA22" s="264" t="s">
        <v>194</v>
      </c>
    </row>
    <row r="23" spans="1:59" ht="51.75" customHeight="1" thickBot="1">
      <c r="A23" s="62" t="s">
        <v>195</v>
      </c>
      <c r="C23" s="229"/>
      <c r="D23" s="229"/>
      <c r="E23" s="229"/>
      <c r="F23" s="265"/>
      <c r="G23" s="265"/>
      <c r="H23" s="265"/>
      <c r="I23" s="273"/>
      <c r="J23" s="275" t="s">
        <v>196</v>
      </c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61"/>
      <c r="X23" s="207">
        <f>AVERAGE(X20,X22)</f>
        <v>0.79313725490196074</v>
      </c>
      <c r="Y23" s="209"/>
      <c r="Z23" s="210"/>
      <c r="AA23" s="207">
        <f>AVERAGE(AA19:AA22)</f>
        <v>0.9</v>
      </c>
      <c r="AB23" s="222"/>
      <c r="AC23" s="276"/>
      <c r="AD23" s="277" t="s">
        <v>197</v>
      </c>
      <c r="AE23" s="277"/>
      <c r="AF23" s="277"/>
      <c r="AG23" s="277"/>
      <c r="AH23" s="277"/>
      <c r="AI23" s="277"/>
      <c r="AJ23" s="277"/>
      <c r="AK23" s="228">
        <f>AVERAGE(AK20:AK22)</f>
        <v>0.79313725490196074</v>
      </c>
      <c r="AS23" s="220" t="s">
        <v>198</v>
      </c>
      <c r="AT23" s="218">
        <f>SUM(AT6:AT22)</f>
        <v>13482399968.189999</v>
      </c>
      <c r="AW23" s="219" t="s">
        <v>199</v>
      </c>
      <c r="AX23" s="218">
        <f>SUM(AX6:AX22)</f>
        <v>7722683905.5199995</v>
      </c>
      <c r="AY23" s="216">
        <f t="shared" ref="AY23:AZ23" si="4">SUM(AY6:AY22)</f>
        <v>8366080794.7200003</v>
      </c>
      <c r="AZ23" s="216">
        <f t="shared" si="4"/>
        <v>8366080794.7200003</v>
      </c>
    </row>
    <row r="24" spans="1:59" ht="105" customHeight="1">
      <c r="C24" s="229"/>
      <c r="D24" s="229"/>
      <c r="E24" s="229"/>
      <c r="F24" s="265"/>
      <c r="G24" s="265"/>
      <c r="H24" s="265"/>
      <c r="I24" s="265"/>
      <c r="J24" s="229"/>
      <c r="K24" s="229"/>
      <c r="L24" s="229"/>
      <c r="M24" s="229"/>
      <c r="N24" s="229"/>
      <c r="O24" s="229"/>
      <c r="P24" s="229"/>
      <c r="X24" s="213" t="s">
        <v>200</v>
      </c>
      <c r="Y24" s="211">
        <f>AVERAGE(Y6,Y11,Y14,Y16,Y19)</f>
        <v>0.31395081001224001</v>
      </c>
      <c r="Z24" s="210"/>
      <c r="AA24" s="212" t="s">
        <v>201</v>
      </c>
      <c r="AB24" s="211">
        <f>AVERAGE(AB6,AB11,AB14,AB16,AB19)</f>
        <v>0.71422666666666668</v>
      </c>
      <c r="AC24" s="223" t="s">
        <v>195</v>
      </c>
      <c r="AE24" s="229"/>
      <c r="AF24" s="265"/>
      <c r="AG24" s="265"/>
      <c r="AY24" s="221" t="s">
        <v>202</v>
      </c>
      <c r="AZ24" s="217">
        <f>+AZ23/AT23</f>
        <v>0.62051866243834186</v>
      </c>
    </row>
  </sheetData>
  <mergeCells count="177">
    <mergeCell ref="AB6:AB9"/>
    <mergeCell ref="T8:T9"/>
    <mergeCell ref="P11:P12"/>
    <mergeCell ref="T6:T7"/>
    <mergeCell ref="E11:E12"/>
    <mergeCell ref="AB11:AB12"/>
    <mergeCell ref="L11:L12"/>
    <mergeCell ref="H11:H12"/>
    <mergeCell ref="G11:G12"/>
    <mergeCell ref="Y11:Y12"/>
    <mergeCell ref="N11:N12"/>
    <mergeCell ref="O11:O12"/>
    <mergeCell ref="I14:I15"/>
    <mergeCell ref="J15:W15"/>
    <mergeCell ref="O8:O9"/>
    <mergeCell ref="P8:P9"/>
    <mergeCell ref="U6:U7"/>
    <mergeCell ref="U8:U9"/>
    <mergeCell ref="S6:S7"/>
    <mergeCell ref="S8:S9"/>
    <mergeCell ref="A19:A22"/>
    <mergeCell ref="B19:B22"/>
    <mergeCell ref="C19:C22"/>
    <mergeCell ref="D19:D22"/>
    <mergeCell ref="E19:E22"/>
    <mergeCell ref="F19:F22"/>
    <mergeCell ref="G19:G22"/>
    <mergeCell ref="H19:H22"/>
    <mergeCell ref="C6:C9"/>
    <mergeCell ref="F8:F9"/>
    <mergeCell ref="C11:C12"/>
    <mergeCell ref="F11:F12"/>
    <mergeCell ref="F6:F7"/>
    <mergeCell ref="D11:D12"/>
    <mergeCell ref="K8:K9"/>
    <mergeCell ref="W8:W9"/>
    <mergeCell ref="AS6:AS9"/>
    <mergeCell ref="AT6:AT9"/>
    <mergeCell ref="AU6:AU9"/>
    <mergeCell ref="AW6:AW9"/>
    <mergeCell ref="AT11:AT12"/>
    <mergeCell ref="X8:X9"/>
    <mergeCell ref="U4:U5"/>
    <mergeCell ref="D6:D9"/>
    <mergeCell ref="R6:R7"/>
    <mergeCell ref="R8:R9"/>
    <mergeCell ref="K6:K7"/>
    <mergeCell ref="Q8:Q9"/>
    <mergeCell ref="Q6:Q7"/>
    <mergeCell ref="M6:M7"/>
    <mergeCell ref="M8:M9"/>
    <mergeCell ref="L6:L9"/>
    <mergeCell ref="P6:P7"/>
    <mergeCell ref="N6:N7"/>
    <mergeCell ref="O6:O7"/>
    <mergeCell ref="G6:G7"/>
    <mergeCell ref="H6:H7"/>
    <mergeCell ref="G8:G9"/>
    <mergeCell ref="N8:N9"/>
    <mergeCell ref="AR11:AR12"/>
    <mergeCell ref="AV6:AV9"/>
    <mergeCell ref="AS11:AS12"/>
    <mergeCell ref="AV11:AV12"/>
    <mergeCell ref="AW11:AW12"/>
    <mergeCell ref="AR6:AR9"/>
    <mergeCell ref="AD6:AD9"/>
    <mergeCell ref="AE6:AE9"/>
    <mergeCell ref="AO6:AO9"/>
    <mergeCell ref="AO11:AO12"/>
    <mergeCell ref="AP11:AP12"/>
    <mergeCell ref="AP6:AP9"/>
    <mergeCell ref="A6:A9"/>
    <mergeCell ref="B6:B9"/>
    <mergeCell ref="E4:E5"/>
    <mergeCell ref="A4:A5"/>
    <mergeCell ref="B4:B5"/>
    <mergeCell ref="W4:W5"/>
    <mergeCell ref="X4:X5"/>
    <mergeCell ref="I4:I5"/>
    <mergeCell ref="J4:J5"/>
    <mergeCell ref="K4:K5"/>
    <mergeCell ref="L4:L5"/>
    <mergeCell ref="M4:M5"/>
    <mergeCell ref="N4:O4"/>
    <mergeCell ref="P4:P5"/>
    <mergeCell ref="Q4:Q5"/>
    <mergeCell ref="R4:R5"/>
    <mergeCell ref="H8:H9"/>
    <mergeCell ref="T4:T5"/>
    <mergeCell ref="S4:S5"/>
    <mergeCell ref="V4:V5"/>
    <mergeCell ref="V6:V7"/>
    <mergeCell ref="V8:V9"/>
    <mergeCell ref="W6:W7"/>
    <mergeCell ref="X6:X7"/>
    <mergeCell ref="AC1:BA1"/>
    <mergeCell ref="AN4:AN5"/>
    <mergeCell ref="AO4:AO5"/>
    <mergeCell ref="E6:E9"/>
    <mergeCell ref="AA6:AA7"/>
    <mergeCell ref="AA8:AA9"/>
    <mergeCell ref="Z6:Z7"/>
    <mergeCell ref="Z8:Z9"/>
    <mergeCell ref="Y6:Y9"/>
    <mergeCell ref="J6:J7"/>
    <mergeCell ref="J8:J9"/>
    <mergeCell ref="AD4:AD5"/>
    <mergeCell ref="AW4:AW5"/>
    <mergeCell ref="AG4:AG5"/>
    <mergeCell ref="AH4:AH5"/>
    <mergeCell ref="AJ4:AJ5"/>
    <mergeCell ref="AL4:AL5"/>
    <mergeCell ref="AM4:AM5"/>
    <mergeCell ref="Y4:Y5"/>
    <mergeCell ref="A1:AB1"/>
    <mergeCell ref="A3:AB3"/>
    <mergeCell ref="C4:C5"/>
    <mergeCell ref="D4:D5"/>
    <mergeCell ref="AA4:AA5"/>
    <mergeCell ref="BA3:BA5"/>
    <mergeCell ref="BA6:BA9"/>
    <mergeCell ref="BA11:BA12"/>
    <mergeCell ref="A2:AB2"/>
    <mergeCell ref="AI4:AI5"/>
    <mergeCell ref="AX4:AX5"/>
    <mergeCell ref="AX6:AX9"/>
    <mergeCell ref="AX11:AX12"/>
    <mergeCell ref="AS3:AX3"/>
    <mergeCell ref="AC2:BA2"/>
    <mergeCell ref="AU4:AU5"/>
    <mergeCell ref="AV4:AV5"/>
    <mergeCell ref="AC3:AR3"/>
    <mergeCell ref="AE4:AE5"/>
    <mergeCell ref="AF4:AF5"/>
    <mergeCell ref="AD11:AD12"/>
    <mergeCell ref="AQ11:AQ12"/>
    <mergeCell ref="H4:H5"/>
    <mergeCell ref="AE11:AE12"/>
    <mergeCell ref="AQ6:AQ9"/>
    <mergeCell ref="A11:A12"/>
    <mergeCell ref="B11:B12"/>
    <mergeCell ref="F4:F5"/>
    <mergeCell ref="G4:G5"/>
    <mergeCell ref="AY4:AY5"/>
    <mergeCell ref="AZ4:AZ5"/>
    <mergeCell ref="AY6:AY9"/>
    <mergeCell ref="AZ6:AZ9"/>
    <mergeCell ref="I11:I13"/>
    <mergeCell ref="J13:W13"/>
    <mergeCell ref="AC11:AC13"/>
    <mergeCell ref="AD13:AJ13"/>
    <mergeCell ref="AY11:AY12"/>
    <mergeCell ref="AZ11:AZ12"/>
    <mergeCell ref="AB4:AB5"/>
    <mergeCell ref="AU11:AU12"/>
    <mergeCell ref="AP4:AP5"/>
    <mergeCell ref="AQ4:AQ5"/>
    <mergeCell ref="AR4:AR5"/>
    <mergeCell ref="AS4:AS5"/>
    <mergeCell ref="AT4:AT5"/>
    <mergeCell ref="AC4:AC5"/>
    <mergeCell ref="Z4:Z5"/>
    <mergeCell ref="I6:I10"/>
    <mergeCell ref="J10:W10"/>
    <mergeCell ref="AC6:AC10"/>
    <mergeCell ref="AK4:AK5"/>
    <mergeCell ref="AD10:AJ10"/>
    <mergeCell ref="AC14:AC15"/>
    <mergeCell ref="AD15:AJ15"/>
    <mergeCell ref="I16:I18"/>
    <mergeCell ref="J18:W18"/>
    <mergeCell ref="I19:I23"/>
    <mergeCell ref="J23:V23"/>
    <mergeCell ref="AC22:AC23"/>
    <mergeCell ref="AD23:AJ23"/>
    <mergeCell ref="Y19:Y22"/>
    <mergeCell ref="AB19:AB22"/>
  </mergeCells>
  <printOptions horizontalCentered="1"/>
  <pageMargins left="0.1" right="0.1" top="0.5" bottom="0.25" header="0.3" footer="0.3"/>
  <pageSetup paperSize="14" scale="38" pageOrder="overThenDown" orientation="landscape" horizontalDpi="4294967293" verticalDpi="4294967293" r:id="rId1"/>
  <headerFooter>
    <oddFooter>&amp;C&amp;"Calibri,Normal"&amp;16&amp;K000000Página &amp;P de &amp;N</oddFooter>
  </headerFooter>
  <colBreaks count="1" manualBreakCount="1">
    <brk id="28" max="18" man="1"/>
  </colBreaks>
  <ignoredErrors>
    <ignoredError sqref="W6:W9 Y6:AB9" emptyCellReference="1"/>
    <ignoredError sqref="W14 W20 W22 W11:W12" formulaRange="1"/>
    <ignoredError sqref="Z2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4"/>
  <sheetViews>
    <sheetView topLeftCell="A7" workbookViewId="0">
      <selection activeCell="G11" sqref="G11:H14"/>
    </sheetView>
  </sheetViews>
  <sheetFormatPr baseColWidth="10" defaultColWidth="11.453125" defaultRowHeight="14.5"/>
  <cols>
    <col min="2" max="2" width="12.81640625" customWidth="1"/>
    <col min="3" max="3" width="19.26953125" customWidth="1"/>
    <col min="4" max="4" width="15.81640625" customWidth="1"/>
    <col min="5" max="5" width="14" bestFit="1" customWidth="1"/>
    <col min="6" max="6" width="22.81640625" customWidth="1"/>
    <col min="9" max="9" width="15.81640625" customWidth="1"/>
    <col min="10" max="10" width="12.81640625" customWidth="1"/>
    <col min="11" max="11" width="14.81640625" customWidth="1"/>
    <col min="12" max="12" width="13.81640625" style="128" customWidth="1"/>
    <col min="13" max="13" width="14.26953125" customWidth="1"/>
  </cols>
  <sheetData>
    <row r="2" spans="2:13" ht="15" thickBot="1"/>
    <row r="3" spans="2:13" ht="46" customHeight="1">
      <c r="B3" s="378" t="s">
        <v>14</v>
      </c>
      <c r="C3" s="373" t="s">
        <v>203</v>
      </c>
      <c r="D3" s="373" t="s">
        <v>204</v>
      </c>
      <c r="E3" s="373" t="s">
        <v>205</v>
      </c>
      <c r="F3" s="380" t="s">
        <v>206</v>
      </c>
      <c r="G3" s="382" t="s">
        <v>19</v>
      </c>
      <c r="H3" s="382"/>
      <c r="I3" s="382" t="s">
        <v>207</v>
      </c>
      <c r="J3" s="311" t="s">
        <v>21</v>
      </c>
      <c r="K3" s="311" t="s">
        <v>208</v>
      </c>
      <c r="L3" s="456" t="s">
        <v>209</v>
      </c>
      <c r="M3" s="299" t="s">
        <v>210</v>
      </c>
    </row>
    <row r="4" spans="2:13" ht="15" customHeight="1" thickBot="1">
      <c r="B4" s="452"/>
      <c r="C4" s="453"/>
      <c r="D4" s="453"/>
      <c r="E4" s="453"/>
      <c r="F4" s="445"/>
      <c r="G4" s="129" t="s">
        <v>211</v>
      </c>
      <c r="H4" s="129" t="s">
        <v>212</v>
      </c>
      <c r="I4" s="446"/>
      <c r="J4" s="447"/>
      <c r="K4" s="447"/>
      <c r="L4" s="457"/>
      <c r="M4" s="454"/>
    </row>
    <row r="5" spans="2:13" ht="77.5">
      <c r="B5" s="448" t="s">
        <v>66</v>
      </c>
      <c r="C5" s="233" t="s">
        <v>65</v>
      </c>
      <c r="D5" s="233" t="s">
        <v>67</v>
      </c>
      <c r="E5" s="361" t="s">
        <v>62</v>
      </c>
      <c r="F5" s="231" t="s">
        <v>68</v>
      </c>
      <c r="G5" s="127" t="s">
        <v>69</v>
      </c>
      <c r="H5" s="231"/>
      <c r="I5" s="231" t="s">
        <v>70</v>
      </c>
      <c r="J5" s="126">
        <v>5000</v>
      </c>
      <c r="K5" s="39">
        <f>'PLAN DE ACCIÓN 2023'!Z6</f>
        <v>2633</v>
      </c>
      <c r="L5" s="83">
        <f>'PLAN DE ACCIÓN 2023'!AA6</f>
        <v>0.52659999999999996</v>
      </c>
      <c r="M5" s="434">
        <f>'PLAN DE ACCIÓN 2023'!AB6</f>
        <v>0.6038</v>
      </c>
    </row>
    <row r="6" spans="2:13" ht="171" thickBot="1">
      <c r="B6" s="449"/>
      <c r="C6" s="266" t="s">
        <v>89</v>
      </c>
      <c r="D6" s="266" t="s">
        <v>90</v>
      </c>
      <c r="E6" s="451"/>
      <c r="F6" s="267" t="s">
        <v>91</v>
      </c>
      <c r="G6" s="130" t="s">
        <v>69</v>
      </c>
      <c r="H6" s="267"/>
      <c r="I6" s="267" t="s">
        <v>92</v>
      </c>
      <c r="J6" s="131">
        <v>4000</v>
      </c>
      <c r="K6" s="131">
        <f>'PLAN DE ACCIÓN 2023'!Z8</f>
        <v>2724</v>
      </c>
      <c r="L6" s="136">
        <f>'PLAN DE ACCIÓN 2023'!AA8</f>
        <v>0.68100000000000005</v>
      </c>
      <c r="M6" s="455"/>
    </row>
    <row r="7" spans="2:13" ht="62">
      <c r="B7" s="448" t="s">
        <v>104</v>
      </c>
      <c r="C7" s="241" t="s">
        <v>105</v>
      </c>
      <c r="D7" s="241" t="s">
        <v>106</v>
      </c>
      <c r="E7" s="348" t="s">
        <v>100</v>
      </c>
      <c r="F7" s="231" t="s">
        <v>107</v>
      </c>
      <c r="G7" s="437" t="s">
        <v>69</v>
      </c>
      <c r="H7" s="417"/>
      <c r="I7" s="417" t="s">
        <v>108</v>
      </c>
      <c r="J7" s="39">
        <v>3500</v>
      </c>
      <c r="K7" s="39">
        <f>'PLAN DE ACCIÓN 2023'!Z11</f>
        <v>2002</v>
      </c>
      <c r="L7" s="83">
        <f>'PLAN DE ACCIÓN 2023'!AA11</f>
        <v>0.57199999999999995</v>
      </c>
      <c r="M7" s="434">
        <f>'PLAN DE ACCIÓN 2023'!AB11</f>
        <v>0.47222222222222221</v>
      </c>
    </row>
    <row r="8" spans="2:13" ht="78" thickBot="1">
      <c r="B8" s="450"/>
      <c r="C8" s="243" t="s">
        <v>118</v>
      </c>
      <c r="D8" s="243" t="s">
        <v>119</v>
      </c>
      <c r="E8" s="350"/>
      <c r="F8" s="237" t="s">
        <v>120</v>
      </c>
      <c r="G8" s="425"/>
      <c r="H8" s="418"/>
      <c r="I8" s="418"/>
      <c r="J8" s="72">
        <v>1000</v>
      </c>
      <c r="K8" s="72">
        <f>'PLAN DE ACCIÓN 2023'!Z12</f>
        <v>123</v>
      </c>
      <c r="L8" s="75">
        <f>'PLAN DE ACCIÓN 2023'!AA12</f>
        <v>0.123</v>
      </c>
      <c r="M8" s="435"/>
    </row>
    <row r="9" spans="2:13" ht="62.5" thickBot="1">
      <c r="B9" s="232" t="s">
        <v>130</v>
      </c>
      <c r="C9" s="245" t="s">
        <v>131</v>
      </c>
      <c r="D9" s="245" t="s">
        <v>132</v>
      </c>
      <c r="E9" s="67" t="s">
        <v>126</v>
      </c>
      <c r="F9" s="244" t="s">
        <v>133</v>
      </c>
      <c r="G9" s="132" t="s">
        <v>69</v>
      </c>
    </row>
    <row r="10" spans="2:13" ht="170.15" customHeight="1" thickBot="1">
      <c r="B10" s="231" t="s">
        <v>149</v>
      </c>
      <c r="C10" s="241" t="s">
        <v>150</v>
      </c>
      <c r="D10" s="241" t="s">
        <v>151</v>
      </c>
      <c r="E10" s="111" t="s">
        <v>147</v>
      </c>
      <c r="F10" s="230" t="s">
        <v>152</v>
      </c>
      <c r="G10" s="137"/>
      <c r="H10" s="132" t="s">
        <v>69</v>
      </c>
    </row>
    <row r="11" spans="2:13" ht="155">
      <c r="B11" s="444" t="s">
        <v>162</v>
      </c>
      <c r="C11" s="257" t="s">
        <v>163</v>
      </c>
      <c r="D11" s="257" t="s">
        <v>164</v>
      </c>
      <c r="E11" s="115" t="s">
        <v>147</v>
      </c>
      <c r="F11" s="242" t="s">
        <v>165</v>
      </c>
      <c r="G11" s="48"/>
      <c r="H11" s="48" t="s">
        <v>69</v>
      </c>
    </row>
    <row r="12" spans="2:13" ht="139.5">
      <c r="B12" s="290"/>
      <c r="C12" s="250" t="s">
        <v>167</v>
      </c>
      <c r="D12" s="250" t="s">
        <v>168</v>
      </c>
      <c r="E12" s="113" t="s">
        <v>147</v>
      </c>
      <c r="F12" s="235" t="s">
        <v>169</v>
      </c>
      <c r="G12" s="81" t="s">
        <v>69</v>
      </c>
      <c r="H12" s="235"/>
    </row>
    <row r="13" spans="2:13" ht="124">
      <c r="B13" s="290"/>
      <c r="C13" s="250" t="s">
        <v>180</v>
      </c>
      <c r="D13" s="250" t="s">
        <v>181</v>
      </c>
      <c r="E13" s="113" t="s">
        <v>147</v>
      </c>
      <c r="F13" s="235" t="s">
        <v>182</v>
      </c>
      <c r="G13" s="81"/>
      <c r="H13" s="81" t="s">
        <v>69</v>
      </c>
    </row>
    <row r="14" spans="2:13" ht="124.5" thickBot="1">
      <c r="B14" s="291"/>
      <c r="C14" s="243" t="s">
        <v>184</v>
      </c>
      <c r="D14" s="243" t="s">
        <v>185</v>
      </c>
      <c r="E14" s="114" t="s">
        <v>147</v>
      </c>
      <c r="F14" s="237" t="s">
        <v>186</v>
      </c>
      <c r="G14" s="85" t="s">
        <v>69</v>
      </c>
      <c r="H14" s="237"/>
    </row>
  </sheetData>
  <mergeCells count="21">
    <mergeCell ref="M3:M4"/>
    <mergeCell ref="M5:M6"/>
    <mergeCell ref="L3:L4"/>
    <mergeCell ref="M7:M8"/>
    <mergeCell ref="K3:K4"/>
    <mergeCell ref="B11:B14"/>
    <mergeCell ref="F3:F4"/>
    <mergeCell ref="G3:H3"/>
    <mergeCell ref="I3:I4"/>
    <mergeCell ref="J3:J4"/>
    <mergeCell ref="B5:B6"/>
    <mergeCell ref="B7:B8"/>
    <mergeCell ref="E7:E8"/>
    <mergeCell ref="G7:G8"/>
    <mergeCell ref="H7:H8"/>
    <mergeCell ref="I7:I8"/>
    <mergeCell ref="E5:E6"/>
    <mergeCell ref="B3:B4"/>
    <mergeCell ref="C3:C4"/>
    <mergeCell ref="D3:D4"/>
    <mergeCell ref="E3:E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 DE ACCIÓN 2023</vt:lpstr>
      <vt:lpstr>Hoja1</vt:lpstr>
      <vt:lpstr>'PLAN DE ACCIÓN 2023'!_Hlk49970378</vt:lpstr>
      <vt:lpstr>'PLAN DE ACCIÓN 2023'!Área_de_impresión</vt:lpstr>
      <vt:lpstr>'PLAN DE ACCIÓN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luz marina severiche morroy</cp:lastModifiedBy>
  <cp:revision/>
  <dcterms:created xsi:type="dcterms:W3CDTF">2020-07-31T15:55:26Z</dcterms:created>
  <dcterms:modified xsi:type="dcterms:W3CDTF">2023-11-07T19:54:51Z</dcterms:modified>
  <cp:category/>
  <cp:contentStatus/>
</cp:coreProperties>
</file>