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SEGUIMIENTO PDD JUNIO 2023\PLANES DE ACCIÓN EVALUADOS\"/>
    </mc:Choice>
  </mc:AlternateContent>
  <bookViews>
    <workbookView xWindow="0" yWindow="0" windowWidth="20490" windowHeight="7650"/>
  </bookViews>
  <sheets>
    <sheet name="JUNIO 2023" sheetId="1" r:id="rId1"/>
    <sheet name="Hoja1" sheetId="2" r:id="rId2"/>
  </sheets>
  <definedNames>
    <definedName name="_Hlk49970378" localSheetId="0">'JUNIO 2023'!$AE$14</definedName>
    <definedName name="_xlnm.Print_Area" localSheetId="0">'JUNIO 2023'!$A$1:$AZ$24</definedName>
    <definedName name="_xlnm.Print_Titles" localSheetId="0">'JUNIO 2023'!$1:$5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6" i="1" l="1"/>
  <c r="AX25" i="1"/>
  <c r="AY25" i="1"/>
  <c r="Z18" i="1"/>
  <c r="X18" i="1"/>
  <c r="AW24" i="1" l="1"/>
  <c r="AS20" i="1"/>
  <c r="AS14" i="1"/>
  <c r="AS11" i="1"/>
  <c r="AN11" i="1"/>
  <c r="AS6" i="1"/>
  <c r="AS24" i="1" s="1"/>
  <c r="AY26" i="1" s="1"/>
  <c r="V23" i="1"/>
  <c r="AH23" i="1" s="1"/>
  <c r="V20" i="1"/>
  <c r="V14" i="1"/>
  <c r="AH14" i="1" s="1"/>
  <c r="V12" i="1"/>
  <c r="V11" i="1"/>
  <c r="V8" i="1"/>
  <c r="V6" i="1"/>
  <c r="AH6" i="1" s="1"/>
  <c r="Y6" i="1"/>
  <c r="Z6" i="1" s="1"/>
  <c r="AN6" i="1"/>
  <c r="Y20" i="1" l="1"/>
  <c r="Z20" i="1" s="1"/>
  <c r="Y23" i="1"/>
  <c r="AH20" i="1"/>
  <c r="Y21" i="1"/>
  <c r="Z21" i="1" s="1"/>
  <c r="Y16" i="1"/>
  <c r="Z16" i="1" s="1"/>
  <c r="V17" i="1"/>
  <c r="Z23" i="1"/>
  <c r="W20" i="1"/>
  <c r="Y12" i="1"/>
  <c r="Y8" i="1"/>
  <c r="K5" i="2"/>
  <c r="AA19" i="1" l="1"/>
  <c r="Z24" i="1"/>
  <c r="Y14" i="1"/>
  <c r="H14" i="1" s="1"/>
  <c r="Z8" i="1"/>
  <c r="Z10" i="1" s="1"/>
  <c r="K6" i="2"/>
  <c r="Y11" i="1"/>
  <c r="Z12" i="1"/>
  <c r="L8" i="2" s="1"/>
  <c r="K8" i="2"/>
  <c r="AA16" i="1"/>
  <c r="AA18" i="1" s="1"/>
  <c r="AO6" i="1"/>
  <c r="H6" i="1"/>
  <c r="H8" i="1"/>
  <c r="W11" i="1"/>
  <c r="W23" i="1"/>
  <c r="X19" i="1" l="1"/>
  <c r="W24" i="1"/>
  <c r="AO11" i="1"/>
  <c r="Z13" i="1"/>
  <c r="AA11" i="1"/>
  <c r="Z14" i="1"/>
  <c r="Z11" i="1"/>
  <c r="L7" i="2" s="1"/>
  <c r="M7" i="2"/>
  <c r="AO14" i="1"/>
  <c r="L6" i="2"/>
  <c r="AA6" i="1"/>
  <c r="L5" i="2"/>
  <c r="K7" i="2"/>
  <c r="H11" i="1"/>
  <c r="AG23" i="1"/>
  <c r="AG20" i="1"/>
  <c r="R14" i="1"/>
  <c r="W14" i="1" s="1"/>
  <c r="R12" i="1"/>
  <c r="X11" i="1" s="1"/>
  <c r="X13" i="1" s="1"/>
  <c r="AG11" i="1"/>
  <c r="AG8" i="1"/>
  <c r="AI6" i="1" s="1"/>
  <c r="AJ6" i="1" s="1"/>
  <c r="AN23" i="1"/>
  <c r="AO23" i="1" s="1"/>
  <c r="AN20" i="1"/>
  <c r="AO20" i="1" s="1"/>
  <c r="AN14" i="1"/>
  <c r="R6" i="1"/>
  <c r="W6" i="1" s="1"/>
  <c r="R8" i="1"/>
  <c r="W8" i="1" s="1"/>
  <c r="W10" i="1" l="1"/>
  <c r="X14" i="1"/>
  <c r="X15" i="1" s="1"/>
  <c r="W15" i="1"/>
  <c r="AA14" i="1"/>
  <c r="Z15" i="1"/>
  <c r="AA25" i="1"/>
  <c r="X6" i="1"/>
  <c r="X10" i="1" s="1"/>
  <c r="X25" i="1"/>
  <c r="M5" i="2"/>
  <c r="AI9" i="1"/>
  <c r="AJ9" i="1" s="1"/>
  <c r="AI20" i="1"/>
  <c r="AJ20" i="1" s="1"/>
  <c r="AJ22" i="1" s="1"/>
  <c r="AG14" i="1"/>
  <c r="AJ14" i="1" s="1"/>
  <c r="AJ15" i="1" s="1"/>
  <c r="AG12" i="1"/>
  <c r="AI12" i="1" s="1"/>
  <c r="AJ12" i="1" s="1"/>
  <c r="W12" i="1"/>
  <c r="W13" i="1" s="1"/>
  <c r="AI23" i="1"/>
  <c r="AJ23" i="1" s="1"/>
  <c r="AJ24" i="1" s="1"/>
  <c r="AI8" i="1"/>
  <c r="AJ8" i="1" s="1"/>
  <c r="AI7" i="1"/>
  <c r="AJ7" i="1" s="1"/>
  <c r="AJ10" i="1" s="1"/>
  <c r="AI11" i="1" l="1"/>
  <c r="AJ11" i="1" s="1"/>
  <c r="AJ13" i="1" s="1"/>
</calcChain>
</file>

<file path=xl/comments1.xml><?xml version="1.0" encoding="utf-8"?>
<comments xmlns="http://schemas.openxmlformats.org/spreadsheetml/2006/main">
  <authors>
    <author>gaona.solano.javier@gmail.com</author>
  </authors>
  <commentList>
    <comment ref="R6" authorId="0" shapeId="0">
      <text>
        <r>
          <rPr>
            <b/>
            <sz val="12"/>
            <color rgb="FF000000"/>
            <rFont val="Tahoma"/>
            <family val="2"/>
          </rPr>
          <t xml:space="preserve">SUBSIDIOS 2023: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 58 CLP 1 y 2
</t>
        </r>
        <r>
          <rPr>
            <b/>
            <sz val="12"/>
            <color rgb="FF000000"/>
            <rFont val="Tahoma"/>
            <family val="2"/>
          </rPr>
          <t xml:space="preserve">  35 Caminos del Cerro
</t>
        </r>
        <r>
          <rPr>
            <b/>
            <sz val="12"/>
            <color rgb="FF000000"/>
            <rFont val="Tahoma"/>
            <family val="2"/>
          </rPr>
          <t xml:space="preserve">230 </t>
        </r>
        <r>
          <rPr>
            <b/>
            <sz val="12"/>
            <color rgb="FF000000"/>
            <rFont val="Tahoma"/>
            <family val="34"/>
          </rPr>
          <t>Convenio CD-06-2021</t>
        </r>
        <r>
          <rPr>
            <sz val="12"/>
            <color rgb="FF000000"/>
            <rFont val="Calibri"/>
            <family val="2"/>
          </rPr>
          <t xml:space="preserve"> </t>
        </r>
        <r>
          <rPr>
            <b/>
            <sz val="12"/>
            <color rgb="FF000000"/>
            <rFont val="Tahoma"/>
            <family val="2"/>
          </rPr>
          <t xml:space="preserve">Presupeusto 2023
</t>
        </r>
        <r>
          <rPr>
            <b/>
            <sz val="12"/>
            <color rgb="FF000000"/>
            <rFont val="Tahoma"/>
            <family val="2"/>
          </rPr>
          <t xml:space="preserve">660 Convenio CD-06-2021 </t>
        </r>
        <r>
          <rPr>
            <b/>
            <sz val="12"/>
            <color rgb="FF000000"/>
            <rFont val="Tahoma"/>
            <family val="34"/>
          </rPr>
          <t>Presupeusto 2022</t>
        </r>
        <r>
          <rPr>
            <sz val="12"/>
            <color rgb="FF000000"/>
            <rFont val="Calibri"/>
            <family val="2"/>
          </rPr>
          <t xml:space="preserve"> </t>
        </r>
      </text>
    </comment>
    <comment ref="R8" authorId="0" shapeId="0">
      <text>
        <r>
          <rPr>
            <b/>
            <sz val="12"/>
            <color rgb="FF000000"/>
            <rFont val="Tahoma"/>
            <family val="2"/>
          </rPr>
          <t xml:space="preserve">VIVIENDAS 2023: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230 CD-06-2021 Presupuesto 2023
</t>
        </r>
        <r>
          <rPr>
            <b/>
            <sz val="12"/>
            <color rgb="FF000000"/>
            <rFont val="Tahoma"/>
            <family val="34"/>
          </rPr>
          <t>660 CD-06-2021 Presupuesto 2022</t>
        </r>
        <r>
          <rPr>
            <sz val="12"/>
            <color rgb="FF000000"/>
            <rFont val="Tahoma"/>
            <family val="34"/>
          </rPr>
          <t xml:space="preserve"> </t>
        </r>
        <r>
          <rPr>
            <b/>
            <sz val="12"/>
            <color rgb="FF000000"/>
            <rFont val="Tahoma"/>
            <family val="34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126 Bahía San carlos Torre 2
</t>
        </r>
        <r>
          <rPr>
            <b/>
            <sz val="12"/>
            <color rgb="FF000000"/>
            <rFont val="Tahoma"/>
            <family val="2"/>
          </rPr>
          <t xml:space="preserve">  35 Caminos del Cerro</t>
        </r>
      </text>
    </comment>
    <comment ref="R11" authorId="0" shapeId="0">
      <text>
        <r>
          <rPr>
            <b/>
            <sz val="12"/>
            <color rgb="FF000000"/>
            <rFont val="Tahoma"/>
            <family val="2"/>
          </rPr>
          <t xml:space="preserve">MEJORAMIENTO URBANO 2023: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  1.500 CD-09-2022 Presupuesto 2022</t>
        </r>
      </text>
    </comment>
    <comment ref="R12" authorId="0" shapeId="0">
      <text>
        <r>
          <rPr>
            <b/>
            <sz val="12"/>
            <color rgb="FF000000"/>
            <rFont val="Tahoma"/>
            <family val="2"/>
          </rPr>
          <t xml:space="preserve">MEJORAMIENTO RURAL 2023: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460 VIVIENDA RURAL DISTRITO Presupuesto 2023
</t>
        </r>
        <r>
          <rPr>
            <b/>
            <sz val="12"/>
            <color rgb="FF000000"/>
            <rFont val="Tahoma"/>
            <family val="2"/>
          </rPr>
          <t xml:space="preserve">232 VIVIENDA RURAL DISTRITL Presupuesto 2022
</t>
        </r>
        <r>
          <rPr>
            <b/>
            <sz val="12"/>
            <color rgb="FF000000"/>
            <rFont val="Tahoma"/>
            <family val="2"/>
          </rPr>
          <t>230 VIVIENDA RURAL MVCT</t>
        </r>
      </text>
    </comment>
    <comment ref="R14" authorId="0" shapeId="0">
      <text>
        <r>
          <rPr>
            <b/>
            <sz val="12"/>
            <color rgb="FF000000"/>
            <rFont val="Tahoma"/>
            <family val="2"/>
          </rPr>
          <t xml:space="preserve">TITULACIÓN 2023: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1.518 TITULACIÓN x TRANSFERECIA DE PREDIOS
</t>
        </r>
        <r>
          <rPr>
            <b/>
            <sz val="12"/>
            <color rgb="FF000000"/>
            <rFont val="Tahoma"/>
            <family val="2"/>
          </rPr>
          <t>1.314 TITULACIÓN x CESIÓN GRATUITA</t>
        </r>
      </text>
    </comment>
  </commentList>
</comments>
</file>

<file path=xl/sharedStrings.xml><?xml version="1.0" encoding="utf-8"?>
<sst xmlns="http://schemas.openxmlformats.org/spreadsheetml/2006/main" count="455" uniqueCount="216">
  <si>
    <t>PILAR</t>
  </si>
  <si>
    <t xml:space="preserve">PROGRAMA </t>
  </si>
  <si>
    <t xml:space="preserve">DEPENDENCIA RESPONSABLE </t>
  </si>
  <si>
    <t>NOMBRE DEL RESPONSABLE</t>
  </si>
  <si>
    <t xml:space="preserve">RESILIENTE </t>
  </si>
  <si>
    <t xml:space="preserve">VIVIENDA PARA TODOS </t>
  </si>
  <si>
    <t>JUNTOS POR UNA VIVIENDA DIGNA</t>
  </si>
  <si>
    <t xml:space="preserve">MEJORO MI CASA  COMPROMISO DE TODOS </t>
  </si>
  <si>
    <t>NÚMERO DE SUBSIDIOS DE VIVIENDA NUEVA ADJUDICADOS</t>
  </si>
  <si>
    <t>ND</t>
  </si>
  <si>
    <t>UN LUGAR APTO PARA MI HOGAR</t>
  </si>
  <si>
    <t xml:space="preserve">DIRECCIÓN  TÉCNICA </t>
  </si>
  <si>
    <t>CONSTRUIR INFORMACIÓN DE VALOR PARA LA CREACIÓN Y SEGUIMIENTO DE POLÍTICAS PÚBLICAS DEL SECTOR VIVIENDA EN EL DISTRITO TURÍSTICO Y CULTURAL DE CARTAGENA DE INDIAS</t>
  </si>
  <si>
    <t xml:space="preserve">NÚMERO DE VIVIENDAS INICIADAS </t>
  </si>
  <si>
    <t>INDICADOR DE BIENESTAR</t>
  </si>
  <si>
    <t>DESCRIPCIÓN DE LA META PRODUCTO 2020-2023</t>
  </si>
  <si>
    <t>OBJETIVO DEL PROYECTO</t>
  </si>
  <si>
    <t>FUENTE DE FINANCIACIÓN</t>
  </si>
  <si>
    <t xml:space="preserve">
REDUCIR EL DÉFICIT HABITACIONAL CUANTITATIVO DE LA POBLACIÓN VULNERABLE OBJETIVO DEL DISTRITO TURÍSTICO Y CULTURAL DE CARTAGENA DE INDIAS.
</t>
  </si>
  <si>
    <t>REDUCIR EL DÉFICIT HABITACIONAL CUALITATIVO DE LOS HOGARES CON NECESIDADES BÁSICAS INSATISFECHAS DE HABITABILIDAD DEL DISTRITO TURÍSTICO Y CULTURAL DE CARTAGENA DE INDIAS.</t>
  </si>
  <si>
    <t>REDUCIR EL DÉFICIT DE LEGALIZACIÓN Y TITULACIÓN DE PREDIOS EN SITUACIÓN DE ILEGALIDAD EN EL DISTRITO TURÍSTICO Y CULTURAL DE CARTAGENA DE INDIAS.</t>
  </si>
  <si>
    <t>APLICACIÓN A SUBSIDIOS E INICIACIÓN DE VIVIENDAS PARA LA POBLACIÓN BENEFICIADA DEL PROGRAMA JUNTOS POR UNA VIVIENDA DIGNA DE LA CIUDAD DE CARTAGENA DE INDIAS</t>
  </si>
  <si>
    <t>MEJORAMIENTO DE LAS CONDICIONES DE HABITABILIDAD PARA LA POBLACIÓN BENEFICIADA DEL SECTOR URBANO Y RURAL DEL PROGRAMA MEJOR MI CASA COMPROMISO DE TODOS DEL DISTRITO DE CARTAGENA DE INDIAS</t>
  </si>
  <si>
    <t>TITULACIÓN Y/O LEGALIZACIÓN DE PREDIOS PARA LA POBLACIÓN BENEFICIADA DEL PROGRAMA MI CASA A LO LEGAL DE LA CIUDAD DE CARTAGENA DE INDIAS</t>
  </si>
  <si>
    <t>BPIN - 2020130010152</t>
  </si>
  <si>
    <t>BPIN - 2020130010153</t>
  </si>
  <si>
    <t>BPIN - 2020130010154</t>
  </si>
  <si>
    <t>BPIN - 2020130010306</t>
  </si>
  <si>
    <t>BPIN - 2020130010308</t>
  </si>
  <si>
    <t>RUBRO
PRESUPUESTAL</t>
  </si>
  <si>
    <t>DISMINUCIÓN DE 10,9% DEL DÉFICIT CUANTITATIVO DE VIVIENDA CON VIVIENDAS INICIADAS
(4.000)</t>
  </si>
  <si>
    <t xml:space="preserve">VIVIENDAS INICIADAS </t>
  </si>
  <si>
    <t>19.258
VIVIENDAS</t>
  </si>
  <si>
    <t>36.794
HOGARES
SIN
VIVIENDA</t>
  </si>
  <si>
    <t>DISMINUCIÓN DE 23,4% DEL DÉFICIT CUALITATIVO DE VIVIENDA
(4.500)</t>
  </si>
  <si>
    <t xml:space="preserve">NÚMERO DE VIVIENDAS MEJORADAS SECTOR URBANO </t>
  </si>
  <si>
    <t>NÚMERO DE VIVIENDAS MEJORADAS SECTOR RURAL</t>
  </si>
  <si>
    <t>VIVIENDAS MEJORADAS EN ZONA URBANA DEL DISTRITO DE CARTAGENA</t>
  </si>
  <si>
    <t>VIVIENDAS MEJORADAS EN ZONA RURAL E INSULAR DEL DISTRITO DE CARTAGENA</t>
  </si>
  <si>
    <t>14.770
VIVIENDAS</t>
  </si>
  <si>
    <t>DISMINUCIÓN DE 30,5% DEL DÉFICIT DE LEGALIZACIÓN Y TITULACIÓN DE PREDIOS
(4.500)</t>
  </si>
  <si>
    <t>¡MI CASA A LO LEGAL!</t>
  </si>
  <si>
    <t xml:space="preserve">PREDIOS LEGALIZADOS Y/O TITULADOS EN EL DISTRITO DE CARTAGENA </t>
  </si>
  <si>
    <t xml:space="preserve">NÚMERO DE DOCUMENTOS TÉCNICOS DE SOPORTE DTS ELABORADOS PARA LA LEGALIZACIÓN URBANÍSTICA A REALIZARSE </t>
  </si>
  <si>
    <t xml:space="preserve">NÚMERO DE ESTUDIOS Y SEGUIMIENTOS PARA LA CONFORMACIÓN DE LA LÍNEA ESTRATÉGICA DE ESTUDIOS DE VIVIENDA VIS </t>
  </si>
  <si>
    <t>LÍNEA ESTRATÉGICA</t>
  </si>
  <si>
    <t>DISMINUCIÓN DE 13,6% DEL DÉFICIT CUANTITATIVO DE VIVIENDA CON SUBSIDIOS ADJUDICADOS
(5.000)</t>
  </si>
  <si>
    <t xml:space="preserve">ADJUDICACIÓN DE SUBSIDIOS DISTRITALES DE VIVIENDA PARA LA POBLACIÓN DE LOS ESTRATOS 1, 2 Y 3 </t>
  </si>
  <si>
    <t xml:space="preserve">DÉFICIT CUALITATIVO DE VIVIENDA DISMINUIDO  EN EL DISTRITO DE CARTAGENA </t>
  </si>
  <si>
    <t xml:space="preserve">DÉFICIT  DE LEGALIZACIÓN Y TITULACIÓN DE PREDIOS  DISMINUIDO EN EL DISTRITO DE CARTAGENA </t>
  </si>
  <si>
    <t>NUMERO DE PREDIOS LEGALIZADOS Y/O TITULADOS</t>
  </si>
  <si>
    <t xml:space="preserve"> TRAMITAR Y OTORGAR TÍTULOS DE PROPIEDAD</t>
  </si>
  <si>
    <t xml:space="preserve">OFICINA ASESORA JURÍDICA </t>
  </si>
  <si>
    <t>ESTUDIOS Y SEGUIMIENTO PARA LA CONFORMACIÓN DE LA LÍNEA ESTRATÉGICA DE ESTUDIOS DE VIVIENDA VIS QUE SE ARTICULARÁ EN EL OBSERVATORIO DISTRITAL</t>
  </si>
  <si>
    <t>ELABORACIÓN DE ESTUDIOS SECTORIALES Y SEGUIMIENTO A LA LÍNEA ESTRATÉGICA DE VIVIENDA A TRAVÉS DE UN OBSERVATORIO DE VIVIENDA DE INTERÉS SOCIAL DEL PROGRAMA MI CASA, MI ENTORNO, MI HÁBITAT DE LA CIUDAD DE CARTAGENA DE INDIAS</t>
  </si>
  <si>
    <t>ELABORACIÓN DE DOCUMENTOS TÉCNICOS DE SOPORTE DTS PARA LA LEGALIZACIÓN URBANÍSTICA A REALIZARSE</t>
  </si>
  <si>
    <t>ELABORACIÓN DE ESTUDIOS Y TRÁMITES DE LEGALIZACIÓN URBANÍSTICA DE BARRIOS DEL PROGRAMA MI CASA, MI ENTORNO, MI HÁBITAT, EN LA CIUDAD DE CARTAGENA DE INDIAS</t>
  </si>
  <si>
    <t>AUMENTAR LA DISPONIBILIDAD DE BARRIOS CON PROCESOS DE LEGALIZACIÓN URBANÍSTICA PARA QUE PUEDAN ACCEDER A LA OFERTA DE PROYECTOS DE MEJORAMIENTO DE VIVIENDA Y TITULACIÓN DE PREDIOS EN EL DISTRITO TURÍSTICO Y CULTURAL DE CARTAGENA DE INDIAS</t>
  </si>
  <si>
    <t>CÓDIGO DE PROYECTO BPIN</t>
  </si>
  <si>
    <t>UNIDAD DE MEDIDA DEL INDICADOR DE PRODUCTO</t>
  </si>
  <si>
    <t>FUENTE PRESUPUESTAL</t>
  </si>
  <si>
    <t>SUBSIDIOS FAMILIARES DE VIVIENDA ASIGNADOS</t>
  </si>
  <si>
    <t>VIVIENDAS
MEJORADAS</t>
  </si>
  <si>
    <t>VIVIENDAS MEJORADAS</t>
  </si>
  <si>
    <t>PREDIOS LEGALIZADOS Y/O TITULADOS</t>
  </si>
  <si>
    <t>INFORME DE ESTUDIO Y SEGUIMIENTO</t>
  </si>
  <si>
    <t>DOCUMENTO TÉCNICO DE SOPORTE</t>
  </si>
  <si>
    <t>INVERSIÓN</t>
  </si>
  <si>
    <t>MI CASA,
MI ENTORNO,
MI HÁBITAT</t>
  </si>
  <si>
    <t>OFICINA ASESORA DE PLANEACIÓN</t>
  </si>
  <si>
    <t xml:space="preserve">ELABORAR  DOCUMENTOS TÉCNICOS DE SOPORTE  PARA LEGALIZACIÓN URBANÍSTICA DE BARRIOS QUE CUMPLAN CON LOS CRITERIOS DE PROCEDENCIA  </t>
  </si>
  <si>
    <t>2.3.4001.1400.2020130010152</t>
  </si>
  <si>
    <t>1.2.2.0.00-39-ICDE-CORVIVIENDA 15% IPU</t>
  </si>
  <si>
    <t>APLICACIÓN A SUBSIDIOS FAMILIARES DE VIVIENDA PARA LA POBLACIÓN BENEFICIADA DEL PROGRAMA JUNTOS POR UNA VIVIENDA DIGNA DE LA CIUDAD DE CARTAGENA DE INDIAS</t>
  </si>
  <si>
    <t>VIVIENDAS INICIADAS PARA POBREZA EXTREMA. CLASE TRABAJADORA, VÍCTIMAS DEL CONFLICTO ARMANDO, REINCORPORADOS Y AFECTADOS POR OLA INVERNAL, FALLAS GEOLÓGICAS Y OTROS DESASTRES</t>
  </si>
  <si>
    <t xml:space="preserve"> REALIZAR  MEJORAS DE VIVIENDA EN EL SECTOR RURAL CORREGIMIENTOS DE LA JURISDICCIÓN</t>
  </si>
  <si>
    <t>MEJORAMIENTO DE LAS CONDICIONES DE HABITABILIDAD PARA LA POBLACIÓN BENEFICIADA DEL SECTOR URBANO Y RURAL DEL PROGRAMA MEJORO MI CADA COMPROMISO DE TODOS DEL DISTRITO DE CARTAGENA DE INDIAS</t>
  </si>
  <si>
    <t>2.3.4001.1400.2020130010153</t>
  </si>
  <si>
    <t>TITULACION Y/O LEGALIZACIÓN DE PREDIOS PARA LA POBLACIÓN BENEFICIADA DEL PROGRAMA MI CASA A LO LEGAL DE LA CIUDAD DE CARTAGENA DE INDIAS</t>
  </si>
  <si>
    <t>2.3.4001.1400.2020130010154</t>
  </si>
  <si>
    <t>2.3.4002.1400.2020130010306</t>
  </si>
  <si>
    <t>2.3.4002.1400.2020130010308</t>
  </si>
  <si>
    <t>LINEA BASE
2019
SEGÚN PDD</t>
  </si>
  <si>
    <t>BENEFICIARIOS PROGRAMADOS</t>
  </si>
  <si>
    <t>BENEFICIARIOS CUBIERTOS</t>
  </si>
  <si>
    <t>ABOGADO BORIS SIERRA TÁMARA</t>
  </si>
  <si>
    <t>REALIZAR INFORME 
DE ESTUDIO Y SEGUIMIENTO DE INVESTIGACIÓN DEL SECTOR VIVIENDA DEL DISTRITO DE CARTAGENA DE INDIAS</t>
  </si>
  <si>
    <t>LINEA BASE INDICADOR DE BIENESTAR A 2019</t>
  </si>
  <si>
    <t>DESCRIPCION META DE BIENESTAR 2020-2023</t>
  </si>
  <si>
    <t>UNIDAD DE MEDIDA META DE BIENESTAR</t>
  </si>
  <si>
    <t>INDICADOR DE PRODUCTO SEGÚN PDD</t>
  </si>
  <si>
    <t>DENOMINACIÓN DEL PRODUCTO</t>
  </si>
  <si>
    <t>ENTREGABLE
INDICADOR DE PRODUCTO SEGÚN CATALOGO DE PRODUCTO</t>
  </si>
  <si>
    <t>VALOR DE LA META PRODUCTO 
2020-2023</t>
  </si>
  <si>
    <t>ACUMULADO DE META PRODUCTO 2020-2022</t>
  </si>
  <si>
    <t>PLANTEAMIENTO ESTRATÉGICO PLAN DE DESARROLLO</t>
  </si>
  <si>
    <t>PROYECTO DE INVERSIÓN</t>
  </si>
  <si>
    <t>ENTREGABLE</t>
  </si>
  <si>
    <t>FECHA DE INICIO DE LA ACTIVIDAD O ENTREGABLE</t>
  </si>
  <si>
    <t>FECHA DE TERMINACIÓN DEL ENTREGABLE</t>
  </si>
  <si>
    <t>TIEMPO DE EJECUCIÓN
(número de días)</t>
  </si>
  <si>
    <t>PROGRAMACIÓN PRESUPUESTAL</t>
  </si>
  <si>
    <t>1.2.1.0.00-001-ICLD</t>
  </si>
  <si>
    <t>ENERO
2023</t>
  </si>
  <si>
    <t>NÚMERO DE VIVIENDAS INICIADAS</t>
  </si>
  <si>
    <t>NÚMERO DE SUBSIDIOS DE MEJORAMIENTO DE VIVIENDA ADJUDICADOS</t>
  </si>
  <si>
    <t>NÚMERO DE PREDIOS LEGALIZADOS Y/O TITULADOS</t>
  </si>
  <si>
    <t xml:space="preserve">DISMINUIR EL DÉFICIT CUANTITATIVO DE VIVIENDA </t>
  </si>
  <si>
    <t xml:space="preserve">DISMINUIR EL DÉFICIT CUALITATIVO DE VIVIENDA </t>
  </si>
  <si>
    <t>DISMINUIR EL DÉFICIT DE LEGALIZACIÓN Y TITULACIÓN DE PREDIOS</t>
  </si>
  <si>
    <t>VIVIENDAS DE INTERÉS PRIORITARIO URBANAS CONSTRUIDAS</t>
  </si>
  <si>
    <t>X</t>
  </si>
  <si>
    <t xml:space="preserve">HOGARES BENEFICIADOS CON ADQUISICIÓN DE VIVIENDA </t>
  </si>
  <si>
    <t xml:space="preserve">HOGARES BENEFICIADOS CON MEJORAMIENTO DE UNA VIVIENDA  </t>
  </si>
  <si>
    <t>ENTIDADES TERRITORIALES ASISTIDAS TÉCNICA Y JURÍDICAMENTE</t>
  </si>
  <si>
    <t>SISTEMAS DE INFORMACIÓN ACTUALIZADOS</t>
  </si>
  <si>
    <t>INSTRUMENTOS NORMATIVOS FORMULADOS</t>
  </si>
  <si>
    <t>PROGRAMACIÓN META BIENESTAR 
2023</t>
  </si>
  <si>
    <t>NA</t>
  </si>
  <si>
    <t>VERIFICAR INICIO DE OBRAS UNIDADES HABITACIONALES EN EL MARCO DEL PROYECTO BAHÍA SAN CARLOS TORRE 2</t>
  </si>
  <si>
    <t>VERIFICAR INICIO DE OBRAS UNIDADES HABITACIONALES  CON SUBSIDIOS PROGRAMA 
MI CASA YA</t>
  </si>
  <si>
    <t>ASIGNAR SUBSIDIOS TOTALES Y  COMPLEMENTARIOS DE VIVIENDA</t>
  </si>
  <si>
    <t>TERMINACIÓN  Y ENTREGA UNIDADES HABITACIONALES EN EL MARCO DEL PROYECTO CLP  3, 4, 5 Y CAMINOS DEL CERRO</t>
  </si>
  <si>
    <t>SUBSIDIOS DE VIVIENDA</t>
  </si>
  <si>
    <t>VIVIENDAS INICIADAS Y/O TERMINADAS</t>
  </si>
  <si>
    <t>VIVIENDAS ENTREGADAS</t>
  </si>
  <si>
    <t>VIVIENDAS 
INICIADAS</t>
  </si>
  <si>
    <t>DICIEMBRE
2023</t>
  </si>
  <si>
    <t>JUNIO 
2023</t>
  </si>
  <si>
    <t>SEPTIEMBRE
2023</t>
  </si>
  <si>
    <t xml:space="preserve"> REALIZAR  MEJORAS DE VIVIENDA EN EL MARCO DEL PROGRAMA "CAMBIA MI CASA"</t>
  </si>
  <si>
    <t>MEJORAMIENTO DE VIVIENDA SECTOR URBANO</t>
  </si>
  <si>
    <t>MEJORAMIENTO DE VIVIENDA SECTOR RURAL</t>
  </si>
  <si>
    <t>TÍTULOS
DE
PROPIEDAD</t>
  </si>
  <si>
    <t>DOCUMENTO
TÉCNICO
DE
SOPORTE</t>
  </si>
  <si>
    <t>PRESUPUESTO DE INVERSIÓN 2023</t>
  </si>
  <si>
    <t>% AVANCE CUATRIENIO</t>
  </si>
  <si>
    <t>NP</t>
  </si>
  <si>
    <t>REPORTE META PRODUCTO
EJECUTADO DE ENERO 1 A MARZO 31</t>
  </si>
  <si>
    <t>AVANCE METAS PRODUCTOS  EN EL CUATRIENIO</t>
  </si>
  <si>
    <t>% AVANCE DE LAS METAS EN EL CUATRIENIO</t>
  </si>
  <si>
    <t>% AVANCE DEL PROGRAMA EN EL CUATRIENIO</t>
  </si>
  <si>
    <t>AVANCE META PRODUCTO 
2023</t>
  </si>
  <si>
    <t>% AVANCE DE LAS METAS A 2023</t>
  </si>
  <si>
    <t>% AVANCE DEL PROGRAMA  2023</t>
  </si>
  <si>
    <t>NÚMERO DE INSTRUMENTOS Y/O DIAGNÓSTICOS QUE IDENTIFIQUEN ÁREAS DISPONIBLES PARA LA CONSTRUCCIÓN DE VIVIENDAS VIS Y/O VIP</t>
  </si>
  <si>
    <t>DOCUMENTO TÉCNICO, INSTRUMENTO Y/O DIAGNÓSTICO</t>
  </si>
  <si>
    <t>DOCUMENTOS TÉCNICOS, INSTRUMENTOS Y/O DIAGNÓSTICOS DESTINADOS A IDENTIFICAR SUELO DISPONIBLE PARA LA CONSTRUCCIÓN DE VIVIENDAS VIS Y/O VIP EN EL DISTRITO DE CARTAGENA DE INDIAS</t>
  </si>
  <si>
    <t>HECTÁREAS</t>
  </si>
  <si>
    <t xml:space="preserve">ADQUISICIÓŃN DE HECTÁREAS IDENTIFICADAS PARA LA CONSTRUCCIÓŃN DE VIVIENDAS VIS Y/O VIP EN EL DISTRITO DE CARTAGENA DE INDIAS </t>
  </si>
  <si>
    <t>DOCUMENTOS TÉCNICOS, INSTRUMENTOS Y/O DIAGNÓSTICOS</t>
  </si>
  <si>
    <t>HECTÁREAS DE TIERRAS</t>
  </si>
  <si>
    <t xml:space="preserve">NÚMERO DE DOCUMENTOS, ESTUDIOS O INFORMES REALIZADOS PARA LA MEDICIÓN INTEGRAL DE LAS NECESIDADES HABITACIONALES (MINH) </t>
  </si>
  <si>
    <t>DOCUMENTO GENERAL E INFORMES DE SEGUIMIENTO</t>
  </si>
  <si>
    <t>DOCUMENTO GENERAL E INFORMES DE SEGUIMIENTO PARA LA MEDICIÓN DE LAS NECESIDADES HABITACIONALES (MINH)</t>
  </si>
  <si>
    <t>INSTRUMENTO DE PLANEACIÓN Y/O GESTIÓN URBANÍSTICA</t>
  </si>
  <si>
    <t>FORMULACIÓN Y/O PARTICIPACIÓN EN INSTRUMENTOS DE PLANEACIÓN Y/O GESTIÓN URBANÍSTICA QUE DESARROLLE EL POT (PLAN PARCIAL)</t>
  </si>
  <si>
    <t xml:space="preserve">FORMULACIÓN Y/O PARTICIPACIÓN INSTRUMENTOS DE PLANEACIÓN Y/O GESTIÓN URBANÍSTICA QUE DESARROLLEN EL POT </t>
  </si>
  <si>
    <t>FORMULACIÓN Y/O PARTICIPACIÓN EN INSTRUMENTOS DE PLANEACIÓN
NUEVO POT</t>
  </si>
  <si>
    <t>% AVANCE METAS CORVIVIENDA 2023</t>
  </si>
  <si>
    <t>ESTUDIO DEL SECTOR VIVIENDA</t>
  </si>
  <si>
    <t>INGENIERA FANIA CANTILLO CASTILLA</t>
  </si>
  <si>
    <t>1.
BIEN</t>
  </si>
  <si>
    <t>2.
SERVICIO</t>
  </si>
  <si>
    <t>PLAN DE ACCION INFORMACION DE ACTIVIDADES</t>
  </si>
  <si>
    <t>OBSERVACIONES</t>
  </si>
  <si>
    <t xml:space="preserve">DÉFICIT CUANTITATIVO DE VIVIENDA DISMINUIDO EN EL DISTRITO DE CARTAGENA </t>
  </si>
  <si>
    <t>META DE 
BIENESTAR 
2020-2023</t>
  </si>
  <si>
    <t>PROGRAMACIÓN NUMERICA DE LA ACTIVIDAD PROYECTO 2023</t>
  </si>
  <si>
    <t>PONDERACIÒN DE LAS ACTIVIDADES (HITOS) DE PROYECTO</t>
  </si>
  <si>
    <t>APROPIACIÓN
 DEFINITIVA
(EN PESOS)</t>
  </si>
  <si>
    <t>REPORTE EJECUCIÓN PRESUPUESTAL
PROYECTO</t>
  </si>
  <si>
    <t xml:space="preserve">NÚMERO DE HECTÁREAS DE TIERRAS APTAS PARA LA CONSTRUCCIÓN DE VIVIENDA NUEVA </t>
  </si>
  <si>
    <t>PRESUPUESTO EJECUTADO 2023</t>
  </si>
  <si>
    <t>Con respecto a la meta para la adquisición de 10 hectáreas identificadas para la construcción de viviendas VIS y/o VIP en el Distrito de Cartagena de Indias, esta meta no se programó durante el cuatrienio debido a que CORVIVIENDA no cuenta con el presupuesto suficiente para la programación de una compraventa de un bien raíz, debido a que el presupuesto general asignado a CORVIVENDA se encuentra pignorado con el 35% para las vigencias 2020 y 2021, con el 45% para la vigencia 2022 y con el 48% para la vigencia 2023, en atención al Acuerdo 004 del 8 de julio de 2019.</t>
  </si>
  <si>
    <t>Meta cumplida 100% vigencia 2022.</t>
  </si>
  <si>
    <t>LINEA BASE
2019 SEGÚN 
PDD 2020-2023</t>
  </si>
  <si>
    <t>INDICADOR DE PRODUCTO
PDD 2020-2023</t>
  </si>
  <si>
    <t>DESCRIPCIÓN DE LA META PRODUCTO 
2020-2023</t>
  </si>
  <si>
    <t>AVANCE METAS PRODUCTOS  CUATRIENIO</t>
  </si>
  <si>
    <t>% AVANCE DE LAS METAS CUATRIENIO</t>
  </si>
  <si>
    <t>% AVANCE DEL PROGRAMA CUATRIENIO</t>
  </si>
  <si>
    <t>ENTREGABLE
INDICADOR DE PRODUCTO</t>
  </si>
  <si>
    <t>UNIDAD DE MEDIDA INDICADOR DE PRODUCTO</t>
  </si>
  <si>
    <t>SEGUIMIENTO PLAN DE ACCIÓN - II TRIMESTRE 2023
FONDO DE VIVIENDA DE INTERÉS SOCIAL Y REFORMA URBANA DISTRITAL "CORVIVIENDA"</t>
  </si>
  <si>
    <t>REPORTE META PRODUCTO
EJECUTADO DE ABRIL 1 A       JUNIO 30</t>
  </si>
  <si>
    <t>REPORTE ACTIVIDAD DE PROYECTO
EJECUTADO DE ENE 1 A JUN 30</t>
  </si>
  <si>
    <t>1. BIEN</t>
  </si>
  <si>
    <t>2. SERVICIO</t>
  </si>
  <si>
    <t xml:space="preserve">No se programa la presente meta durante el cuatrienio mientras no se adopte el nuevo POT de Cartagena. 
Está meta se fundamenta en la actualización del Plan Maestro de Vivienda a partir del nuevo Plan de Ordenamiento Territorial de la ciudad de Cartagena de Indias, en alineación con el Decreto Nacional 1077 de 2015 y las disposiciones que lo complementen o deroguen.
</t>
  </si>
  <si>
    <t>El avance de producto a la fecha es del 30% con las siguientes acciones:
* Se adelantaron mesas de trabajo el 6, 8 y 23 de junio de 2023 con aliados estratégicos de la academia y gremios de la ciudad con los cuales se construyó ruta metodológica para elaborar el Tercer Estudio del Sector Vivienda “Problemas y desafíos para el alistamiento de la Política Pública de Vivienda del Distrito de Cartagena de Indias”.
* Se modifcó la Resolución No. 029 de 2022 a través de la Resolución No. 914 de 2023, la cual crea y reglamenta el Observatorio de Vivienda del Distrito de Cartagena de Indias. 
* Se suscribió Memorando de Entendimiento con la Universidad de San Buenaventura, con el cual se aunaran esfuerzos para la realización de actividades académicas e investigativas en el marco del Observatorio de Vivienda del Distrito de Cartagena de Indias – OVIC.</t>
  </si>
  <si>
    <t>• Para el II Trimestre se asignaron 5 Subsidios Complementarios de Vivienda en el Proyecto Bahía San Carlos mediante a través de la Resolución Interna No. 915 de 2023.
• Se dió apertura de la Oferta Institucional para la asignación de 62 SFV a la población vicitmas del conflicto armado a través de la Resolución Interna No. 913 de 2023.
• En el marco del Convenio Interadministrativo CD-06-2021 "Mi Casa Ya", de una bolsa de 812 Subsidios Distritales Complementarios de Vivienda, están por asignar 46 subsidios a corte 30 de junio de 2023.
• Se formaliza la entrega de 1 vivienda a damnificados del Barrio San Francisco a través de la Resolución Interna No. 474 de 2019 CVV.
• A corte 30 de junio de 2023 se han certificado 1819 unidades habitacionales por parte de FINDETER en el proyecto CLP etapas 3, 4 y 5, y se han entregado 1085 apartamentos.</t>
  </si>
  <si>
    <t>AVANCE DEL PROGRAMA JUNTOS POR UNA VIVIENDA DIGNA</t>
  </si>
  <si>
    <t xml:space="preserve">AVANCE DEL PROGRAMA MEJORO MI CASA  COMPROMISO DE TODOS </t>
  </si>
  <si>
    <t>AVANCE DEL PROGRAMA MI CASA A LO LEGAL</t>
  </si>
  <si>
    <t>AVANCE DEL PROGRAMA UN LUGAR APTO PARA MI HOGAR</t>
  </si>
  <si>
    <t>AVANCE DEL PROGRAMA MI CASA MI ENTORNO MI HABITAT</t>
  </si>
  <si>
    <t>AVANCE DEL PROYECTO APLICACIÓN A SUBSIDIOS E INICIACIÓN DE VIVIENDAS PARA LA POBLACIÓN BENEFICIADA DEL PROGRAMA JUNTOS POR UNA VIVIENDA DIGNA DE LA CIUDAD DE CARTAGENA DE INDIAS</t>
  </si>
  <si>
    <t>AVANCE DE LAS ACTIVIDADES DEL PROYECTO
EJECUTADO DE ENE 1 A JUN 30</t>
  </si>
  <si>
    <t>AVANCE DEL PROYECTO MEJORAMIENTO DE LAS CONDICIONES DE HABITABILIDAD PARA LA POBLACIÓN BENEFICIADA DEL SECTOR URBANO Y RURAL DEL PROGRAMA MEJOR MI CASA COMPROMISO DE TODOS DEL DISTRITO DE CARTAGENA DE INDIAS</t>
  </si>
  <si>
    <t>AVANCE DEL PROYECTO TITULACIÓN Y/O LEGALIZACIÓN DE PREDIOS PARA LA POBLACIÓN BENEFICIADA DEL PROGRAMA MI CASA A LO LEGAL DE LA CIUDAD DE CARTAGENA DE INDIAS</t>
  </si>
  <si>
    <t>AVANCE DEL PROYECTO ELABORACIÓN DE ESTUDIOS SECTORIALES Y SEGUIMIENTO A LA LÍNEA ESTRATÉGICA DE VIVIENDA A TRAVÉS DE UN OBSERVATORIO DE VIVIENDA DE INTERÉS SOCIAL DEL PROGRAMA MI CASA, MI ENTORNO, MI HÁBITAT DE LA CIUDAD DE CARTAGENA DE INDIAS</t>
  </si>
  <si>
    <t>AVANCE DEL PROYECTO ELABORACIÓN DE ESTUDIOS Y TRÁMITES DE LEGALIZACIÓN URBANÍSTICA DE BARRIOS DEL PROGRAMA MI CASA, MI ENTORNO, MI HÁBITAT, EN LA CIUDAD DE CARTAGENA DE INDIAS</t>
  </si>
  <si>
    <t>REPORTE EJECUCIÓN PRESUPUESTAL
PROYECTO SEGÚN PREDIS PLANEACION
GIROS</t>
  </si>
  <si>
    <t>AVANCE PORCENTUAL DEL PRESUPUESTO EJECUTADO JUNIO  2023 SEGUN PLANEACION</t>
  </si>
  <si>
    <t>PRESUPUESTO EJECUTADO JUNIO  2023 SEGUN PLANEACION</t>
  </si>
  <si>
    <t>REPORTE EJECUCIÓN PRESUPUESTAL
PROYECTO SEGÚN PREDIS PLANEACION
COMPROMISOS</t>
  </si>
  <si>
    <r>
      <t xml:space="preserve">FECHA ELABORACIÓN   </t>
    </r>
    <r>
      <rPr>
        <b/>
        <sz val="9"/>
        <color theme="1"/>
        <rFont val="Calibri (Cuerpo)"/>
      </rPr>
      <t>DÍA: 30  MES: JUNIO   AÑO: 2023</t>
    </r>
  </si>
  <si>
    <r>
      <rPr>
        <b/>
        <sz val="9"/>
        <color theme="1"/>
        <rFont val="Calibri (Cuerpo)"/>
      </rPr>
      <t>PROGRAMACIÓN</t>
    </r>
    <r>
      <rPr>
        <b/>
        <sz val="9"/>
        <color theme="1"/>
        <rFont val="Calibri"/>
        <family val="2"/>
        <scheme val="minor"/>
      </rPr>
      <t xml:space="preserve"> META PRODUCTO A 2023</t>
    </r>
  </si>
  <si>
    <r>
      <t>A</t>
    </r>
    <r>
      <rPr>
        <b/>
        <sz val="9"/>
        <color theme="1"/>
        <rFont val="Calibri (Cuerpo)"/>
      </rPr>
      <t xml:space="preserve">CTIVIDADES DE PROYECTO DE INVERSION VIABILIZADAS EN SUIFP </t>
    </r>
    <r>
      <rPr>
        <b/>
        <sz val="9"/>
        <color theme="1"/>
        <rFont val="Calibri"/>
        <family val="2"/>
        <scheme val="minor"/>
      </rPr>
      <t>( HITOS )</t>
    </r>
  </si>
  <si>
    <r>
      <t xml:space="preserve">CÓDIGO </t>
    </r>
    <r>
      <rPr>
        <b/>
        <sz val="9"/>
        <color theme="1"/>
        <rFont val="Calibri (Cuerpo)"/>
      </rPr>
      <t>PRESUPUESTAL</t>
    </r>
  </si>
  <si>
    <r>
      <t xml:space="preserve">• Se han postulado 103 viviendas de 1.300 en el Programa "Cambia Mi Casa" en la plataforma del Ministerio de Vivienda para un </t>
    </r>
    <r>
      <rPr>
        <b/>
        <i/>
        <u/>
        <sz val="9"/>
        <color theme="1"/>
        <rFont val="Calibri (Cuerpo)"/>
      </rPr>
      <t>avance del 7,9%</t>
    </r>
    <r>
      <rPr>
        <sz val="9"/>
        <color theme="1"/>
        <rFont val="Calibri"/>
        <family val="2"/>
        <scheme val="minor"/>
      </rPr>
      <t xml:space="preserve"> respecto al total.
• En el marco del Programa "Resiliente e Incluyente en Colombia" se han postulado 184 viviendas de 250 para un </t>
    </r>
    <r>
      <rPr>
        <b/>
        <i/>
        <u/>
        <sz val="9"/>
        <color theme="1"/>
        <rFont val="Calibri (Cuerpo)"/>
      </rPr>
      <t>avance de 73,6%</t>
    </r>
    <r>
      <rPr>
        <sz val="9"/>
        <color theme="1"/>
        <rFont val="Calibri"/>
        <family val="2"/>
        <scheme val="minor"/>
      </rPr>
      <t xml:space="preserve"> pertenecientes a 5 corregimientos (Pontezuela, Puerto Rey, Arroyo de piedra, Tierra baja y Punta Canoa).
• En el marco del contrato LP-004-2022 para la realización de 232 mejoras de vivienda sector rural, se están trabajando en 60 hogares, lo que representa un </t>
    </r>
    <r>
      <rPr>
        <b/>
        <i/>
        <u/>
        <sz val="9"/>
        <color theme="1"/>
        <rFont val="Calibri"/>
        <family val="2"/>
        <scheme val="minor"/>
      </rPr>
      <t>a</t>
    </r>
    <r>
      <rPr>
        <b/>
        <i/>
        <u/>
        <sz val="9"/>
        <color theme="1"/>
        <rFont val="Calibri (Cuerpo)"/>
      </rPr>
      <t>vance del 25,86</t>
    </r>
    <r>
      <rPr>
        <b/>
        <i/>
        <u/>
        <sz val="9"/>
        <color theme="1"/>
        <rFont val="Calibri"/>
        <family val="2"/>
        <scheme val="minor"/>
      </rPr>
      <t>%</t>
    </r>
    <r>
      <rPr>
        <sz val="9"/>
        <color theme="1"/>
        <rFont val="Calibri"/>
        <family val="2"/>
        <scheme val="minor"/>
      </rPr>
      <t xml:space="preserve"> de las cuales 5 finalizaron actividades constructivas y se encuentran a la espera de la entrega por parte de la interventoria.
• El contrato LP-CVV-003-2023 para la realizacion de 388 mejoramientos de vivienda se encuentra en etapa precontractual y será adjudicado el 10 de julio de 2023.</t>
    </r>
  </si>
  <si>
    <r>
      <t xml:space="preserve">Para el II Trimestre 2023 se han  titulado 385 predios así:
• Se registraron por transferencia de dominio en la ORIP </t>
    </r>
    <r>
      <rPr>
        <b/>
        <i/>
        <u/>
        <sz val="9"/>
        <color theme="1"/>
        <rFont val="Calibri (Cuerpo)"/>
      </rPr>
      <t>315 titulos de propiedad</t>
    </r>
    <r>
      <rPr>
        <sz val="9"/>
        <color theme="1"/>
        <rFont val="Calibri"/>
        <family val="2"/>
        <scheme val="minor"/>
      </rPr>
      <t xml:space="preserve"> con certificados de asignación de Ciudadela de La Paz barrio El Pozón.
• Se tramitaron y registraron </t>
    </r>
    <r>
      <rPr>
        <b/>
        <i/>
        <u/>
        <sz val="9"/>
        <color theme="1"/>
        <rFont val="Calibri"/>
        <family val="2"/>
        <scheme val="minor"/>
      </rPr>
      <t>9</t>
    </r>
    <r>
      <rPr>
        <b/>
        <i/>
        <u/>
        <sz val="9"/>
        <color theme="1"/>
        <rFont val="Calibri (Cuerpo)"/>
      </rPr>
      <t xml:space="preserve"> escrituras publicas</t>
    </r>
    <r>
      <rPr>
        <sz val="9"/>
        <color theme="1"/>
        <rFont val="Calibri"/>
        <family val="2"/>
        <scheme val="minor"/>
      </rPr>
      <t xml:space="preserve"> de Manzana 72 barrio Bicentenario.
• Se registraron por cesión gratuita en la ORIP  </t>
    </r>
    <r>
      <rPr>
        <b/>
        <i/>
        <u/>
        <sz val="9"/>
        <color theme="1"/>
        <rFont val="Calibri (Cuerpo)"/>
      </rPr>
      <t>61 titulos de propiedad</t>
    </r>
    <r>
      <rPr>
        <sz val="9"/>
        <color theme="1"/>
        <rFont val="Calibri"/>
        <family val="2"/>
        <scheme val="minor"/>
      </rPr>
      <t xml:space="preserve"> con certificados de asignación.</t>
    </r>
  </si>
  <si>
    <r>
      <rPr>
        <sz val="9"/>
        <color theme="1"/>
        <rFont val="Calibri (Cuerpo)"/>
      </rPr>
      <t>ADMINISTRADOR</t>
    </r>
    <r>
      <rPr>
        <sz val="9"/>
        <color theme="1"/>
        <rFont val="Calibri"/>
        <family val="2"/>
        <scheme val="minor"/>
      </rPr>
      <t xml:space="preserve"> JAVIER GAONA SOLANO</t>
    </r>
  </si>
  <si>
    <r>
      <t xml:space="preserve">El avance del II Trimestre 2023 es del </t>
    </r>
    <r>
      <rPr>
        <b/>
        <i/>
        <u/>
        <sz val="9"/>
        <color theme="1"/>
        <rFont val="Calibri (Cuerpo)"/>
      </rPr>
      <t>27%</t>
    </r>
    <r>
      <rPr>
        <sz val="9"/>
        <color theme="1"/>
        <rFont val="Calibri"/>
        <family val="2"/>
        <scheme val="minor"/>
      </rPr>
      <t xml:space="preserve"> para un </t>
    </r>
    <r>
      <rPr>
        <b/>
        <i/>
        <u/>
        <sz val="9"/>
        <color theme="1"/>
        <rFont val="Calibri (Cuerpo)"/>
      </rPr>
      <t>avance total del producto del 55%</t>
    </r>
    <r>
      <rPr>
        <sz val="9"/>
        <color theme="1"/>
        <rFont val="Calibri"/>
        <family val="2"/>
        <scheme val="minor"/>
      </rPr>
      <t>, con las siguientes actividades realizadas:</t>
    </r>
    <r>
      <rPr>
        <sz val="9"/>
        <color theme="1"/>
        <rFont val="Calibri (Cuerpo)"/>
      </rPr>
      <t xml:space="preserve">
</t>
    </r>
    <r>
      <rPr>
        <b/>
        <sz val="9"/>
        <color theme="1"/>
        <rFont val="Calibri (Cuerpo)"/>
      </rPr>
      <t xml:space="preserve">• </t>
    </r>
    <r>
      <rPr>
        <sz val="9"/>
        <color theme="1"/>
        <rFont val="Calibri (Cuerpo)"/>
      </rPr>
      <t>La</t>
    </r>
    <r>
      <rPr>
        <b/>
        <sz val="9"/>
        <color theme="1"/>
        <rFont val="Calibri (Cuerpo)"/>
      </rPr>
      <t xml:space="preserve"> </t>
    </r>
    <r>
      <rPr>
        <sz val="9"/>
        <color theme="1"/>
        <rFont val="Calibri (Cuerpo)"/>
      </rPr>
      <t xml:space="preserve">fase de  Diagnóstico Jurídico Catastral tiene un </t>
    </r>
    <r>
      <rPr>
        <b/>
        <i/>
        <u/>
        <sz val="9"/>
        <color theme="1"/>
        <rFont val="Calibri (Cuerpo)"/>
      </rPr>
      <t>avance del 91%,</t>
    </r>
    <r>
      <rPr>
        <sz val="9"/>
        <color theme="1"/>
        <rFont val="Calibri (Cuerpo)"/>
      </rPr>
      <t xml:space="preserve"> la fase de Plano de Loteo tiene un </t>
    </r>
    <r>
      <rPr>
        <b/>
        <i/>
        <u/>
        <sz val="9"/>
        <color theme="1"/>
        <rFont val="Calibri (Cuerpo)"/>
      </rPr>
      <t>avance del 70%</t>
    </r>
    <r>
      <rPr>
        <sz val="9"/>
        <color theme="1"/>
        <rFont val="Calibri (Cuerpo)"/>
      </rPr>
      <t xml:space="preserve">, la fase de Formulación de los seis (6) DTS´s tiene un </t>
    </r>
    <r>
      <rPr>
        <b/>
        <i/>
        <u/>
        <sz val="9"/>
        <color theme="1"/>
        <rFont val="Calibri (Cuerpo)"/>
      </rPr>
      <t>avance del 46%</t>
    </r>
    <r>
      <rPr>
        <sz val="9"/>
        <color theme="1"/>
        <rFont val="Calibri (Cuerpo)"/>
      </rPr>
      <t xml:space="preserve"> y la fase de Propuesta de regularización urbanística tiene un </t>
    </r>
    <r>
      <rPr>
        <b/>
        <i/>
        <u/>
        <sz val="9"/>
        <color theme="1"/>
        <rFont val="Calibri (Cuerpo)"/>
      </rPr>
      <t>avance del 19%</t>
    </r>
    <r>
      <rPr>
        <sz val="9"/>
        <color theme="1"/>
        <rFont val="Calibri (Cuerpo)"/>
      </rPr>
      <t xml:space="preserve">.
</t>
    </r>
    <r>
      <rPr>
        <sz val="9"/>
        <color theme="1"/>
        <rFont val="Calibri"/>
        <family val="2"/>
        <scheme val="minor"/>
      </rPr>
      <t xml:space="preserve">
• En ejecución contrato SAMC-08-2022 de servicio especializados de topografía para la legalización urbanística del barrio Arroz Barato con un </t>
    </r>
    <r>
      <rPr>
        <b/>
        <i/>
        <u/>
        <sz val="9"/>
        <color theme="1"/>
        <rFont val="Calibri (Cuerpo)"/>
      </rPr>
      <t xml:space="preserve">avance del 60% </t>
    </r>
    <r>
      <rPr>
        <sz val="9"/>
        <color theme="1"/>
        <rFont val="Calibri"/>
        <family val="2"/>
        <scheme val="minor"/>
      </rPr>
      <t>. Se autorizó 1 mes de prorroga en tiempo para garantizar la entrega de productos acorde a las especificaciones técnicas del contrato.</t>
    </r>
  </si>
  <si>
    <r>
      <t xml:space="preserve">FUENTE:   </t>
    </r>
    <r>
      <rPr>
        <b/>
        <sz val="9"/>
        <color theme="1"/>
        <rFont val="Calibri (Cuerpo)"/>
      </rPr>
      <t>OFICINA ASESORA DE PLANEACIÓN</t>
    </r>
    <r>
      <rPr>
        <b/>
        <sz val="9"/>
        <color theme="1"/>
        <rFont val="Calibri"/>
        <family val="2"/>
        <scheme val="minor"/>
      </rPr>
      <t xml:space="preserve"> CORVIVIENDA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</si>
</sst>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* #,##0_-;\-* #,##0_-;_-* &quot;-&quot;??_-;_-@_-"/>
    <numFmt numFmtId="167" formatCode="_-&quot;$&quot;* #,##0_-;\-&quot;$&quot;* #,##0_-;_-&quot;$&quot;* &quot;-&quot;??_-;_-@_-"/>
    <numFmt numFmtId="168" formatCode="#,##0.0"/>
    <numFmt numFmtId="169" formatCode="_-&quot;$&quot;* #,##0.00_-;\-&quot;$&quot;* #,##0.00_-;_-&quot;$&quot;* &quot;-&quot;_-;_-@_-"/>
    <numFmt numFmtId="170" formatCode="0.0%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2"/>
      <color rgb="FF000000"/>
      <name val="Tahoma"/>
      <family val="34"/>
    </font>
    <font>
      <sz val="12"/>
      <color rgb="FF000000"/>
      <name val="Tahoma"/>
      <family val="34"/>
    </font>
    <font>
      <sz val="18"/>
      <color theme="1"/>
      <name val="Calibri"/>
      <family val="2"/>
      <scheme val="minor"/>
    </font>
    <font>
      <sz val="18"/>
      <color theme="1"/>
      <name val="Calibri (Cuerpo)"/>
    </font>
    <font>
      <sz val="12"/>
      <color rgb="FF000000"/>
      <name val="Calibri"/>
      <family val="2"/>
    </font>
    <font>
      <b/>
      <sz val="9"/>
      <color rgb="FFC00000"/>
      <name val="Calibri"/>
      <family val="2"/>
      <scheme val="minor"/>
    </font>
    <font>
      <b/>
      <sz val="9"/>
      <color theme="1"/>
      <name val="Calibri (Cuerpo)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(Cuerpo)"/>
    </font>
    <font>
      <b/>
      <sz val="9"/>
      <color rgb="FFFF0000"/>
      <name val="Calibri"/>
      <family val="2"/>
      <scheme val="minor"/>
    </font>
    <font>
      <b/>
      <i/>
      <u/>
      <sz val="9"/>
      <color theme="1"/>
      <name val="Calibri (Cuerpo)"/>
    </font>
    <font>
      <b/>
      <i/>
      <u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468">
    <xf numFmtId="0" fontId="0" fillId="0" borderId="0" xfId="0"/>
    <xf numFmtId="0" fontId="11" fillId="0" borderId="0" xfId="0" applyFont="1"/>
    <xf numFmtId="0" fontId="11" fillId="2" borderId="0" xfId="0" applyFont="1" applyFill="1"/>
    <xf numFmtId="3" fontId="15" fillId="0" borderId="4" xfId="0" applyNumberFormat="1" applyFont="1" applyBorder="1" applyAlignment="1">
      <alignment horizontal="center" vertical="center" wrapText="1"/>
    </xf>
    <xf numFmtId="166" fontId="5" fillId="0" borderId="4" xfId="1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6" fontId="7" fillId="0" borderId="4" xfId="1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170" fontId="15" fillId="0" borderId="8" xfId="3" applyNumberFormat="1" applyFont="1" applyBorder="1" applyAlignment="1">
      <alignment horizontal="center" vertical="center" wrapText="1"/>
    </xf>
    <xf numFmtId="166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6" fontId="7" fillId="0" borderId="13" xfId="1" applyNumberFormat="1" applyFont="1" applyBorder="1" applyAlignment="1">
      <alignment horizontal="center" vertical="center" wrapText="1"/>
    </xf>
    <xf numFmtId="166" fontId="5" fillId="0" borderId="13" xfId="1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6" fontId="3" fillId="0" borderId="4" xfId="1" applyNumberFormat="1" applyFont="1" applyBorder="1" applyAlignment="1">
      <alignment horizontal="center" vertical="center" wrapText="1"/>
    </xf>
    <xf numFmtId="170" fontId="15" fillId="0" borderId="4" xfId="3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7" fillId="0" borderId="8" xfId="1" applyNumberFormat="1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166" fontId="15" fillId="0" borderId="4" xfId="1" applyNumberFormat="1" applyFont="1" applyBorder="1" applyAlignment="1">
      <alignment horizontal="center" vertical="center" wrapText="1"/>
    </xf>
    <xf numFmtId="166" fontId="15" fillId="0" borderId="1" xfId="1" applyNumberFormat="1" applyFont="1" applyBorder="1" applyAlignment="1">
      <alignment horizontal="center" vertical="center" wrapText="1"/>
    </xf>
    <xf numFmtId="166" fontId="15" fillId="0" borderId="8" xfId="1" applyNumberFormat="1" applyFont="1" applyBorder="1" applyAlignment="1">
      <alignment horizontal="center" vertical="center" wrapText="1"/>
    </xf>
    <xf numFmtId="166" fontId="15" fillId="0" borderId="2" xfId="1" applyNumberFormat="1" applyFont="1" applyBorder="1" applyAlignment="1">
      <alignment horizontal="center" vertical="center" wrapText="1"/>
    </xf>
    <xf numFmtId="166" fontId="7" fillId="2" borderId="4" xfId="1" applyNumberFormat="1" applyFont="1" applyFill="1" applyBorder="1" applyAlignment="1">
      <alignment horizontal="center" vertical="center" wrapText="1"/>
    </xf>
    <xf numFmtId="166" fontId="5" fillId="2" borderId="4" xfId="1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9" fontId="0" fillId="0" borderId="0" xfId="3" applyFont="1"/>
    <xf numFmtId="0" fontId="13" fillId="4" borderId="10" xfId="0" applyFont="1" applyFill="1" applyBorder="1" applyAlignment="1">
      <alignment horizontal="center" vertical="center" wrapText="1"/>
    </xf>
    <xf numFmtId="166" fontId="7" fillId="2" borderId="10" xfId="1" applyNumberFormat="1" applyFont="1" applyFill="1" applyBorder="1" applyAlignment="1">
      <alignment horizontal="center" vertical="center" wrapText="1"/>
    </xf>
    <xf numFmtId="166" fontId="5" fillId="2" borderId="10" xfId="1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170" fontId="15" fillId="2" borderId="10" xfId="3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66" fontId="1" fillId="0" borderId="4" xfId="1" applyNumberFormat="1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/>
    </xf>
    <xf numFmtId="0" fontId="26" fillId="0" borderId="0" xfId="0" applyFont="1"/>
    <xf numFmtId="0" fontId="25" fillId="4" borderId="8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3" fontId="27" fillId="0" borderId="4" xfId="0" applyNumberFormat="1" applyFont="1" applyBorder="1" applyAlignment="1">
      <alignment horizontal="center" vertical="center" wrapText="1"/>
    </xf>
    <xf numFmtId="10" fontId="11" fillId="0" borderId="4" xfId="3" applyNumberFormat="1" applyFont="1" applyBorder="1" applyAlignment="1">
      <alignment horizontal="center" vertical="center"/>
    </xf>
    <xf numFmtId="10" fontId="11" fillId="2" borderId="17" xfId="3" applyNumberFormat="1" applyFont="1" applyFill="1" applyBorder="1" applyAlignment="1">
      <alignment horizontal="center" vertical="center" wrapText="1"/>
    </xf>
    <xf numFmtId="17" fontId="27" fillId="0" borderId="4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0" fontId="11" fillId="0" borderId="1" xfId="3" applyNumberFormat="1" applyFont="1" applyBorder="1" applyAlignment="1">
      <alignment horizontal="center" vertical="center"/>
    </xf>
    <xf numFmtId="10" fontId="11" fillId="2" borderId="1" xfId="3" applyNumberFormat="1" applyFont="1" applyFill="1" applyBorder="1" applyAlignment="1">
      <alignment horizontal="center" vertical="center" wrapText="1"/>
    </xf>
    <xf numFmtId="17" fontId="27" fillId="0" borderId="1" xfId="0" applyNumberFormat="1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10" fontId="11" fillId="2" borderId="10" xfId="3" applyNumberFormat="1" applyFont="1" applyFill="1" applyBorder="1" applyAlignment="1">
      <alignment horizontal="center" vertical="center" wrapText="1"/>
    </xf>
    <xf numFmtId="17" fontId="27" fillId="0" borderId="10" xfId="0" applyNumberFormat="1" applyFont="1" applyBorder="1" applyAlignment="1">
      <alignment horizontal="center" vertical="center" wrapText="1"/>
    </xf>
    <xf numFmtId="3" fontId="27" fillId="0" borderId="10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3" fontId="27" fillId="0" borderId="17" xfId="0" applyNumberFormat="1" applyFont="1" applyBorder="1" applyAlignment="1">
      <alignment horizontal="center" vertical="center" wrapText="1"/>
    </xf>
    <xf numFmtId="166" fontId="27" fillId="0" borderId="17" xfId="1" applyNumberFormat="1" applyFont="1" applyBorder="1" applyAlignment="1">
      <alignment horizontal="center" vertical="center" wrapText="1"/>
    </xf>
    <xf numFmtId="10" fontId="11" fillId="0" borderId="17" xfId="3" applyNumberFormat="1" applyFont="1" applyFill="1" applyBorder="1" applyAlignment="1">
      <alignment horizontal="center" vertical="center" wrapText="1"/>
    </xf>
    <xf numFmtId="170" fontId="29" fillId="2" borderId="17" xfId="3" applyNumberFormat="1" applyFont="1" applyFill="1" applyBorder="1" applyAlignment="1">
      <alignment horizontal="center" vertical="center" wrapText="1"/>
    </xf>
    <xf numFmtId="170" fontId="11" fillId="2" borderId="17" xfId="3" applyNumberFormat="1" applyFont="1" applyFill="1" applyBorder="1" applyAlignment="1">
      <alignment horizontal="center" vertical="center" wrapText="1"/>
    </xf>
    <xf numFmtId="3" fontId="11" fillId="2" borderId="17" xfId="0" applyNumberFormat="1" applyFont="1" applyFill="1" applyBorder="1" applyAlignment="1">
      <alignment horizontal="center" vertical="center" wrapText="1"/>
    </xf>
    <xf numFmtId="10" fontId="11" fillId="6" borderId="22" xfId="3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169" fontId="11" fillId="0" borderId="17" xfId="0" applyNumberFormat="1" applyFont="1" applyBorder="1" applyAlignment="1">
      <alignment horizontal="center" vertical="center"/>
    </xf>
    <xf numFmtId="164" fontId="11" fillId="0" borderId="17" xfId="2" applyNumberFormat="1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textRotation="90" wrapText="1"/>
    </xf>
    <xf numFmtId="169" fontId="11" fillId="0" borderId="22" xfId="0" applyNumberFormat="1" applyFont="1" applyBorder="1" applyAlignment="1">
      <alignment horizontal="center" vertical="center"/>
    </xf>
    <xf numFmtId="169" fontId="11" fillId="0" borderId="58" xfId="0" applyNumberFormat="1" applyFont="1" applyBorder="1" applyAlignment="1">
      <alignment horizontal="center" vertical="center"/>
    </xf>
    <xf numFmtId="0" fontId="11" fillId="0" borderId="43" xfId="0" applyFont="1" applyBorder="1" applyAlignment="1">
      <alignment horizontal="left" vertical="top"/>
    </xf>
    <xf numFmtId="166" fontId="11" fillId="0" borderId="4" xfId="1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170" fontId="11" fillId="0" borderId="4" xfId="3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3" fontId="27" fillId="0" borderId="2" xfId="0" applyNumberFormat="1" applyFont="1" applyBorder="1" applyAlignment="1">
      <alignment horizontal="center" vertical="center" wrapText="1"/>
    </xf>
    <xf numFmtId="10" fontId="11" fillId="0" borderId="2" xfId="3" applyNumberFormat="1" applyFont="1" applyBorder="1" applyAlignment="1">
      <alignment horizontal="center" vertical="center"/>
    </xf>
    <xf numFmtId="17" fontId="27" fillId="0" borderId="2" xfId="0" applyNumberFormat="1" applyFont="1" applyBorder="1" applyAlignment="1">
      <alignment horizontal="center" vertical="center" wrapText="1"/>
    </xf>
    <xf numFmtId="166" fontId="11" fillId="0" borderId="8" xfId="1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170" fontId="11" fillId="0" borderId="8" xfId="3" applyNumberFormat="1" applyFont="1" applyBorder="1" applyAlignment="1">
      <alignment horizontal="center" vertical="center" wrapText="1"/>
    </xf>
    <xf numFmtId="170" fontId="11" fillId="0" borderId="17" xfId="3" applyNumberFormat="1" applyFont="1" applyBorder="1" applyAlignment="1">
      <alignment horizontal="center" vertical="center" wrapText="1"/>
    </xf>
    <xf numFmtId="3" fontId="11" fillId="0" borderId="17" xfId="0" applyNumberFormat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169" fontId="11" fillId="0" borderId="16" xfId="0" applyNumberFormat="1" applyFont="1" applyBorder="1" applyAlignment="1">
      <alignment horizontal="center" vertical="center"/>
    </xf>
    <xf numFmtId="164" fontId="11" fillId="0" borderId="16" xfId="2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textRotation="90" wrapText="1"/>
    </xf>
    <xf numFmtId="169" fontId="11" fillId="0" borderId="31" xfId="0" applyNumberFormat="1" applyFont="1" applyBorder="1" applyAlignment="1">
      <alignment horizontal="center" vertical="center"/>
    </xf>
    <xf numFmtId="169" fontId="11" fillId="0" borderId="59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left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3" fontId="27" fillId="0" borderId="13" xfId="0" applyNumberFormat="1" applyFont="1" applyBorder="1" applyAlignment="1">
      <alignment horizontal="center" vertical="center" wrapText="1"/>
    </xf>
    <xf numFmtId="166" fontId="27" fillId="0" borderId="13" xfId="1" applyNumberFormat="1" applyFont="1" applyBorder="1" applyAlignment="1">
      <alignment horizontal="center" vertical="center" wrapText="1"/>
    </xf>
    <xf numFmtId="10" fontId="11" fillId="0" borderId="13" xfId="3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vertical="center" wrapText="1"/>
    </xf>
    <xf numFmtId="166" fontId="11" fillId="0" borderId="13" xfId="1" applyNumberFormat="1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170" fontId="11" fillId="0" borderId="13" xfId="3" applyNumberFormat="1" applyFont="1" applyBorder="1" applyAlignment="1">
      <alignment horizontal="center" vertical="center" wrapText="1"/>
    </xf>
    <xf numFmtId="10" fontId="11" fillId="6" borderId="13" xfId="3" applyNumberFormat="1" applyFont="1" applyFill="1" applyBorder="1" applyAlignment="1">
      <alignment horizontal="center" vertical="center" wrapText="1"/>
    </xf>
    <xf numFmtId="10" fontId="11" fillId="6" borderId="14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textRotation="90" wrapText="1"/>
    </xf>
    <xf numFmtId="0" fontId="11" fillId="0" borderId="1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3" fontId="27" fillId="0" borderId="16" xfId="0" applyNumberFormat="1" applyFont="1" applyBorder="1" applyAlignment="1">
      <alignment horizontal="center" vertical="center" wrapText="1"/>
    </xf>
    <xf numFmtId="9" fontId="27" fillId="0" borderId="16" xfId="3" applyFont="1" applyBorder="1" applyAlignment="1">
      <alignment horizontal="center" vertical="center" wrapText="1"/>
    </xf>
    <xf numFmtId="17" fontId="27" fillId="0" borderId="16" xfId="0" applyNumberFormat="1" applyFont="1" applyBorder="1" applyAlignment="1">
      <alignment horizontal="center" vertical="center" wrapText="1"/>
    </xf>
    <xf numFmtId="3" fontId="27" fillId="0" borderId="11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169" fontId="11" fillId="0" borderId="11" xfId="0" applyNumberFormat="1" applyFont="1" applyBorder="1" applyAlignment="1">
      <alignment horizontal="center" vertical="center"/>
    </xf>
    <xf numFmtId="164" fontId="11" fillId="0" borderId="11" xfId="2" applyNumberFormat="1" applyFont="1" applyFill="1" applyBorder="1" applyAlignment="1">
      <alignment horizontal="center" vertical="center" wrapText="1"/>
    </xf>
    <xf numFmtId="167" fontId="11" fillId="0" borderId="11" xfId="2" applyNumberFormat="1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textRotation="90" wrapText="1"/>
    </xf>
    <xf numFmtId="169" fontId="11" fillId="0" borderId="21" xfId="0" applyNumberFormat="1" applyFont="1" applyBorder="1" applyAlignment="1">
      <alignment horizontal="center" vertical="center"/>
    </xf>
    <xf numFmtId="165" fontId="24" fillId="0" borderId="1" xfId="2" applyFont="1" applyFill="1" applyBorder="1" applyAlignment="1">
      <alignment horizontal="left" vertical="center" wrapText="1"/>
    </xf>
    <xf numFmtId="165" fontId="11" fillId="0" borderId="1" xfId="2" applyFont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top" wrapText="1"/>
    </xf>
    <xf numFmtId="0" fontId="11" fillId="2" borderId="16" xfId="0" applyFont="1" applyFill="1" applyBorder="1" applyAlignment="1">
      <alignment vertical="center" wrapText="1"/>
    </xf>
    <xf numFmtId="10" fontId="29" fillId="0" borderId="13" xfId="3" applyNumberFormat="1" applyFont="1" applyBorder="1" applyAlignment="1">
      <alignment horizontal="center" vertical="center" wrapText="1"/>
    </xf>
    <xf numFmtId="17" fontId="27" fillId="0" borderId="13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169" fontId="11" fillId="0" borderId="13" xfId="0" applyNumberFormat="1" applyFont="1" applyBorder="1" applyAlignment="1">
      <alignment horizontal="center" vertical="center"/>
    </xf>
    <xf numFmtId="164" fontId="11" fillId="0" borderId="13" xfId="2" applyNumberFormat="1" applyFont="1" applyFill="1" applyBorder="1" applyAlignment="1">
      <alignment horizontal="center" vertical="center" wrapText="1"/>
    </xf>
    <xf numFmtId="167" fontId="11" fillId="0" borderId="13" xfId="2" applyNumberFormat="1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textRotation="90" wrapText="1"/>
    </xf>
    <xf numFmtId="169" fontId="11" fillId="0" borderId="14" xfId="0" applyNumberFormat="1" applyFont="1" applyBorder="1" applyAlignment="1">
      <alignment horizontal="center" vertical="center"/>
    </xf>
    <xf numFmtId="169" fontId="11" fillId="0" borderId="44" xfId="0" applyNumberFormat="1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0" fontId="11" fillId="6" borderId="4" xfId="3" applyNumberFormat="1" applyFont="1" applyFill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9" fontId="11" fillId="6" borderId="5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60" xfId="0" applyFont="1" applyBorder="1" applyAlignment="1">
      <alignment horizontal="center" vertical="center" wrapText="1"/>
    </xf>
    <xf numFmtId="0" fontId="11" fillId="0" borderId="36" xfId="0" applyFont="1" applyBorder="1" applyAlignment="1">
      <alignment vertical="center" wrapText="1"/>
    </xf>
    <xf numFmtId="0" fontId="11" fillId="0" borderId="40" xfId="0" applyFont="1" applyBorder="1" applyAlignment="1">
      <alignment horizontal="center" vertical="center" wrapText="1"/>
    </xf>
    <xf numFmtId="166" fontId="11" fillId="0" borderId="10" xfId="1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70" fontId="11" fillId="0" borderId="10" xfId="3" applyNumberFormat="1" applyFont="1" applyBorder="1" applyAlignment="1">
      <alignment horizontal="center" vertical="center" wrapText="1"/>
    </xf>
    <xf numFmtId="170" fontId="11" fillId="6" borderId="10" xfId="3" applyNumberFormat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11" fillId="0" borderId="34" xfId="0" applyFont="1" applyBorder="1" applyAlignment="1">
      <alignment vertical="top" wrapText="1"/>
    </xf>
    <xf numFmtId="170" fontId="11" fillId="0" borderId="1" xfId="3" applyNumberFormat="1" applyFont="1" applyBorder="1" applyAlignment="1">
      <alignment horizontal="center" vertical="center" wrapText="1"/>
    </xf>
    <xf numFmtId="170" fontId="11" fillId="6" borderId="1" xfId="3" applyNumberFormat="1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9" fontId="11" fillId="6" borderId="1" xfId="0" applyNumberFormat="1" applyFont="1" applyFill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textRotation="90" wrapText="1"/>
    </xf>
    <xf numFmtId="0" fontId="27" fillId="0" borderId="17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 wrapText="1"/>
    </xf>
    <xf numFmtId="0" fontId="11" fillId="0" borderId="43" xfId="0" applyFont="1" applyBorder="1" applyAlignment="1">
      <alignment vertical="top" wrapText="1"/>
    </xf>
    <xf numFmtId="166" fontId="11" fillId="0" borderId="55" xfId="1" applyNumberFormat="1" applyFont="1" applyBorder="1" applyAlignment="1">
      <alignment horizontal="center" vertical="center" wrapText="1"/>
    </xf>
    <xf numFmtId="166" fontId="11" fillId="0" borderId="2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170" fontId="11" fillId="0" borderId="2" xfId="3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169" fontId="11" fillId="0" borderId="50" xfId="0" applyNumberFormat="1" applyFont="1" applyBorder="1" applyAlignment="1">
      <alignment horizontal="center" vertical="center"/>
    </xf>
    <xf numFmtId="164" fontId="11" fillId="0" borderId="2" xfId="2" applyNumberFormat="1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169" fontId="11" fillId="0" borderId="15" xfId="0" applyNumberFormat="1" applyFont="1" applyBorder="1" applyAlignment="1">
      <alignment horizontal="center" vertical="center"/>
    </xf>
    <xf numFmtId="169" fontId="11" fillId="0" borderId="61" xfId="0" applyNumberFormat="1" applyFont="1" applyBorder="1" applyAlignment="1">
      <alignment horizontal="center" vertical="center"/>
    </xf>
    <xf numFmtId="0" fontId="11" fillId="0" borderId="51" xfId="0" applyFont="1" applyBorder="1" applyAlignment="1">
      <alignment horizontal="left" vertical="top" wrapText="1"/>
    </xf>
    <xf numFmtId="166" fontId="11" fillId="0" borderId="53" xfId="1" applyNumberFormat="1" applyFont="1" applyBorder="1" applyAlignment="1">
      <alignment horizontal="center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8" fontId="27" fillId="2" borderId="1" xfId="0" applyNumberFormat="1" applyFont="1" applyFill="1" applyBorder="1" applyAlignment="1">
      <alignment horizontal="center" vertical="center" wrapText="1"/>
    </xf>
    <xf numFmtId="168" fontId="27" fillId="0" borderId="1" xfId="0" applyNumberFormat="1" applyFont="1" applyBorder="1" applyAlignment="1">
      <alignment horizontal="center" vertical="center" wrapText="1"/>
    </xf>
    <xf numFmtId="170" fontId="27" fillId="0" borderId="1" xfId="3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textRotation="90" wrapText="1"/>
    </xf>
    <xf numFmtId="168" fontId="27" fillId="0" borderId="2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9" fontId="11" fillId="0" borderId="2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textRotation="90" wrapText="1"/>
    </xf>
    <xf numFmtId="0" fontId="11" fillId="0" borderId="37" xfId="0" applyFont="1" applyBorder="1" applyAlignment="1">
      <alignment horizontal="left" vertical="top" wrapText="1"/>
    </xf>
    <xf numFmtId="9" fontId="27" fillId="0" borderId="1" xfId="3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textRotation="90" wrapText="1"/>
    </xf>
    <xf numFmtId="0" fontId="11" fillId="0" borderId="6" xfId="0" applyFont="1" applyBorder="1" applyAlignment="1">
      <alignment horizontal="center" vertical="center"/>
    </xf>
    <xf numFmtId="169" fontId="11" fillId="0" borderId="48" xfId="0" applyNumberFormat="1" applyFont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169" fontId="11" fillId="0" borderId="7" xfId="0" applyNumberFormat="1" applyFont="1" applyBorder="1" applyAlignment="1">
      <alignment horizontal="center" vertical="center"/>
    </xf>
    <xf numFmtId="169" fontId="11" fillId="0" borderId="62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left" vertical="center" wrapText="1"/>
    </xf>
    <xf numFmtId="166" fontId="11" fillId="0" borderId="56" xfId="1" applyNumberFormat="1" applyFont="1" applyBorder="1" applyAlignment="1">
      <alignment horizontal="center" vertical="center" wrapText="1"/>
    </xf>
    <xf numFmtId="170" fontId="27" fillId="0" borderId="10" xfId="3" applyNumberFormat="1" applyFont="1" applyBorder="1" applyAlignment="1">
      <alignment horizontal="center" vertical="center" wrapText="1"/>
    </xf>
    <xf numFmtId="9" fontId="27" fillId="0" borderId="10" xfId="3" applyFont="1" applyBorder="1" applyAlignment="1">
      <alignment horizontal="center" vertical="center" wrapText="1"/>
    </xf>
    <xf numFmtId="10" fontId="27" fillId="0" borderId="1" xfId="0" applyNumberFormat="1" applyFont="1" applyBorder="1" applyAlignment="1">
      <alignment horizontal="center" vertical="center" wrapText="1"/>
    </xf>
    <xf numFmtId="169" fontId="11" fillId="0" borderId="0" xfId="0" applyNumberFormat="1" applyFont="1" applyAlignment="1">
      <alignment horizontal="center" vertical="center"/>
    </xf>
    <xf numFmtId="0" fontId="11" fillId="0" borderId="39" xfId="0" applyFont="1" applyBorder="1" applyAlignment="1">
      <alignment horizontal="center" vertical="center" wrapText="1"/>
    </xf>
    <xf numFmtId="169" fontId="11" fillId="0" borderId="1" xfId="0" applyNumberFormat="1" applyFont="1" applyBorder="1" applyAlignment="1">
      <alignment horizontal="center" vertical="center"/>
    </xf>
    <xf numFmtId="0" fontId="11" fillId="0" borderId="58" xfId="0" applyFont="1" applyBorder="1" applyAlignment="1">
      <alignment horizontal="left" vertical="center" wrapText="1"/>
    </xf>
    <xf numFmtId="168" fontId="27" fillId="0" borderId="10" xfId="0" applyNumberFormat="1" applyFont="1" applyBorder="1" applyAlignment="1">
      <alignment horizontal="center" vertical="center" wrapText="1"/>
    </xf>
    <xf numFmtId="168" fontId="27" fillId="0" borderId="17" xfId="0" applyNumberFormat="1" applyFont="1" applyBorder="1" applyAlignment="1">
      <alignment horizontal="center" vertical="center" wrapText="1"/>
    </xf>
    <xf numFmtId="17" fontId="27" fillId="0" borderId="17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9" fontId="11" fillId="0" borderId="17" xfId="0" applyNumberFormat="1" applyFont="1" applyBorder="1" applyAlignment="1">
      <alignment horizontal="center" vertical="center" wrapText="1"/>
    </xf>
    <xf numFmtId="164" fontId="11" fillId="0" borderId="31" xfId="0" applyNumberFormat="1" applyFont="1" applyBorder="1" applyAlignment="1">
      <alignment horizontal="center" vertical="center"/>
    </xf>
    <xf numFmtId="165" fontId="11" fillId="0" borderId="2" xfId="2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top" wrapText="1"/>
    </xf>
    <xf numFmtId="0" fontId="22" fillId="0" borderId="0" xfId="0" applyFont="1" applyAlignment="1">
      <alignment vertical="top"/>
    </xf>
    <xf numFmtId="0" fontId="11" fillId="0" borderId="0" xfId="0" applyFont="1" applyAlignment="1">
      <alignment horizontal="center"/>
    </xf>
    <xf numFmtId="170" fontId="11" fillId="0" borderId="1" xfId="3" applyNumberFormat="1" applyFont="1" applyBorder="1" applyAlignment="1">
      <alignment horizontal="center" vertical="center"/>
    </xf>
    <xf numFmtId="10" fontId="11" fillId="0" borderId="1" xfId="3" applyNumberFormat="1" applyFont="1" applyBorder="1"/>
    <xf numFmtId="3" fontId="11" fillId="0" borderId="1" xfId="0" applyNumberFormat="1" applyFont="1" applyBorder="1"/>
    <xf numFmtId="0" fontId="22" fillId="0" borderId="1" xfId="0" applyFont="1" applyBorder="1" applyAlignment="1">
      <alignment vertical="top" wrapText="1"/>
    </xf>
    <xf numFmtId="10" fontId="32" fillId="0" borderId="1" xfId="3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3" fontId="11" fillId="0" borderId="0" xfId="0" applyNumberFormat="1" applyFont="1"/>
    <xf numFmtId="0" fontId="11" fillId="0" borderId="0" xfId="0" applyFont="1" applyAlignment="1">
      <alignment horizontal="center" vertical="center" wrapText="1"/>
    </xf>
    <xf numFmtId="164" fontId="11" fillId="3" borderId="1" xfId="0" applyNumberFormat="1" applyFont="1" applyFill="1" applyBorder="1" applyAlignment="1">
      <alignment vertical="center"/>
    </xf>
    <xf numFmtId="164" fontId="11" fillId="3" borderId="33" xfId="0" applyNumberFormat="1" applyFont="1" applyFill="1" applyBorder="1" applyAlignment="1">
      <alignment vertical="center"/>
    </xf>
    <xf numFmtId="3" fontId="11" fillId="0" borderId="0" xfId="0" applyNumberFormat="1" applyFont="1" applyAlignment="1">
      <alignment horizontal="center"/>
    </xf>
    <xf numFmtId="170" fontId="11" fillId="0" borderId="2" xfId="0" applyNumberFormat="1" applyFont="1" applyBorder="1" applyAlignment="1">
      <alignment horizontal="center" vertical="center" wrapText="1"/>
    </xf>
    <xf numFmtId="10" fontId="11" fillId="3" borderId="2" xfId="3" applyNumberFormat="1" applyFont="1" applyFill="1" applyBorder="1" applyAlignment="1">
      <alignment horizontal="center" vertical="center"/>
    </xf>
    <xf numFmtId="3" fontId="11" fillId="0" borderId="2" xfId="0" applyNumberFormat="1" applyFont="1" applyBorder="1"/>
    <xf numFmtId="0" fontId="11" fillId="0" borderId="0" xfId="0" applyFont="1" applyAlignment="1">
      <alignment horizontal="center" vertical="center"/>
    </xf>
    <xf numFmtId="164" fontId="11" fillId="3" borderId="44" xfId="0" applyNumberFormat="1" applyFont="1" applyFill="1" applyBorder="1" applyAlignment="1">
      <alignment vertical="center"/>
    </xf>
    <xf numFmtId="170" fontId="11" fillId="0" borderId="0" xfId="3" applyNumberFormat="1" applyFont="1"/>
    <xf numFmtId="10" fontId="11" fillId="0" borderId="0" xfId="3" applyNumberFormat="1" applyFont="1"/>
    <xf numFmtId="0" fontId="11" fillId="0" borderId="0" xfId="0" applyFont="1" applyAlignment="1">
      <alignment wrapText="1"/>
    </xf>
    <xf numFmtId="10" fontId="29" fillId="0" borderId="53" xfId="3" applyNumberFormat="1" applyFont="1" applyBorder="1" applyAlignment="1">
      <alignment horizontal="center" vertical="center" wrapText="1"/>
    </xf>
    <xf numFmtId="10" fontId="29" fillId="0" borderId="53" xfId="3" applyNumberFormat="1" applyFont="1" applyBorder="1" applyAlignment="1">
      <alignment horizontal="center" vertical="center"/>
    </xf>
    <xf numFmtId="0" fontId="11" fillId="0" borderId="0" xfId="0" applyFont="1" applyAlignment="1">
      <alignment textRotation="90"/>
    </xf>
    <xf numFmtId="0" fontId="11" fillId="7" borderId="4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9" fontId="11" fillId="3" borderId="35" xfId="0" applyNumberFormat="1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41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 wrapText="1"/>
    </xf>
    <xf numFmtId="169" fontId="11" fillId="0" borderId="14" xfId="0" applyNumberFormat="1" applyFont="1" applyBorder="1" applyAlignment="1">
      <alignment horizontal="center" vertical="center"/>
    </xf>
    <xf numFmtId="169" fontId="11" fillId="0" borderId="22" xfId="0" applyNumberFormat="1" applyFont="1" applyBorder="1" applyAlignment="1">
      <alignment horizontal="center" vertical="center"/>
    </xf>
    <xf numFmtId="169" fontId="11" fillId="0" borderId="31" xfId="0" applyNumberFormat="1" applyFont="1" applyBorder="1" applyAlignment="1">
      <alignment horizontal="center" vertical="center"/>
    </xf>
    <xf numFmtId="166" fontId="29" fillId="0" borderId="47" xfId="1" applyNumberFormat="1" applyFont="1" applyBorder="1" applyAlignment="1">
      <alignment horizontal="center" vertical="center" wrapText="1"/>
    </xf>
    <xf numFmtId="166" fontId="29" fillId="0" borderId="26" xfId="1" applyNumberFormat="1" applyFont="1" applyBorder="1" applyAlignment="1">
      <alignment horizontal="center" vertical="center" wrapText="1"/>
    </xf>
    <xf numFmtId="166" fontId="29" fillId="0" borderId="52" xfId="1" applyNumberFormat="1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66" fontId="29" fillId="0" borderId="49" xfId="1" applyNumberFormat="1" applyFont="1" applyBorder="1" applyAlignment="1">
      <alignment horizontal="center" vertical="center" wrapText="1"/>
    </xf>
    <xf numFmtId="166" fontId="29" fillId="0" borderId="48" xfId="1" applyNumberFormat="1" applyFont="1" applyBorder="1" applyAlignment="1">
      <alignment horizontal="center" vertical="center" wrapText="1"/>
    </xf>
    <xf numFmtId="166" fontId="29" fillId="0" borderId="53" xfId="1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3" fontId="24" fillId="3" borderId="4" xfId="0" applyNumberFormat="1" applyFont="1" applyFill="1" applyBorder="1" applyAlignment="1">
      <alignment horizontal="center" vertical="center" wrapText="1"/>
    </xf>
    <xf numFmtId="3" fontId="24" fillId="3" borderId="8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166" fontId="11" fillId="2" borderId="4" xfId="1" applyNumberFormat="1" applyFont="1" applyFill="1" applyBorder="1" applyAlignment="1">
      <alignment horizontal="center" vertical="center" wrapText="1"/>
    </xf>
    <xf numFmtId="166" fontId="11" fillId="2" borderId="1" xfId="1" applyNumberFormat="1" applyFont="1" applyFill="1" applyBorder="1" applyAlignment="1">
      <alignment horizontal="center" vertical="center" wrapText="1"/>
    </xf>
    <xf numFmtId="166" fontId="11" fillId="2" borderId="8" xfId="1" applyNumberFormat="1" applyFont="1" applyFill="1" applyBorder="1" applyAlignment="1">
      <alignment horizontal="center" vertical="center" wrapText="1"/>
    </xf>
    <xf numFmtId="10" fontId="11" fillId="6" borderId="5" xfId="3" applyNumberFormat="1" applyFont="1" applyFill="1" applyBorder="1" applyAlignment="1">
      <alignment horizontal="center" vertical="center" wrapText="1"/>
    </xf>
    <xf numFmtId="10" fontId="11" fillId="6" borderId="7" xfId="3" applyNumberFormat="1" applyFont="1" applyFill="1" applyBorder="1" applyAlignment="1">
      <alignment horizontal="center" vertical="center" wrapText="1"/>
    </xf>
    <xf numFmtId="10" fontId="11" fillId="6" borderId="23" xfId="3" applyNumberFormat="1" applyFont="1" applyFill="1" applyBorder="1" applyAlignment="1">
      <alignment horizontal="center" vertical="center" wrapText="1"/>
    </xf>
    <xf numFmtId="170" fontId="11" fillId="0" borderId="4" xfId="3" applyNumberFormat="1" applyFont="1" applyBorder="1" applyAlignment="1">
      <alignment horizontal="center" vertical="center" wrapText="1"/>
    </xf>
    <xf numFmtId="170" fontId="11" fillId="0" borderId="1" xfId="3" applyNumberFormat="1" applyFont="1" applyBorder="1" applyAlignment="1">
      <alignment horizontal="center" vertical="center" wrapText="1"/>
    </xf>
    <xf numFmtId="170" fontId="11" fillId="2" borderId="1" xfId="3" applyNumberFormat="1" applyFont="1" applyFill="1" applyBorder="1" applyAlignment="1">
      <alignment horizontal="center" vertical="center" wrapText="1"/>
    </xf>
    <xf numFmtId="170" fontId="11" fillId="2" borderId="8" xfId="3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4" fillId="5" borderId="33" xfId="0" applyFont="1" applyFill="1" applyBorder="1" applyAlignment="1">
      <alignment horizontal="center" vertical="center" wrapText="1"/>
    </xf>
    <xf numFmtId="0" fontId="24" fillId="5" borderId="43" xfId="0" applyFont="1" applyFill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22" fillId="0" borderId="18" xfId="0" applyFont="1" applyBorder="1" applyAlignment="1">
      <alignment horizontal="left" vertical="center"/>
    </xf>
    <xf numFmtId="3" fontId="24" fillId="3" borderId="13" xfId="0" applyNumberFormat="1" applyFont="1" applyFill="1" applyBorder="1" applyAlignment="1">
      <alignment horizontal="center" vertical="center" wrapText="1"/>
    </xf>
    <xf numFmtId="3" fontId="24" fillId="3" borderId="16" xfId="0" applyNumberFormat="1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4" fillId="0" borderId="38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170" fontId="25" fillId="5" borderId="4" xfId="3" applyNumberFormat="1" applyFont="1" applyFill="1" applyBorder="1" applyAlignment="1">
      <alignment horizontal="center" vertical="center" wrapText="1"/>
    </xf>
    <xf numFmtId="170" fontId="25" fillId="5" borderId="8" xfId="3" applyNumberFormat="1" applyFont="1" applyFill="1" applyBorder="1" applyAlignment="1">
      <alignment horizontal="center" vertical="center" wrapText="1"/>
    </xf>
    <xf numFmtId="3" fontId="25" fillId="5" borderId="4" xfId="0" applyNumberFormat="1" applyFont="1" applyFill="1" applyBorder="1" applyAlignment="1">
      <alignment horizontal="center" vertical="center" wrapText="1"/>
    </xf>
    <xf numFmtId="3" fontId="25" fillId="5" borderId="8" xfId="0" applyNumberFormat="1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 wrapText="1"/>
    </xf>
    <xf numFmtId="3" fontId="24" fillId="5" borderId="4" xfId="0" applyNumberFormat="1" applyFont="1" applyFill="1" applyBorder="1" applyAlignment="1">
      <alignment horizontal="center" vertical="center" wrapText="1"/>
    </xf>
    <xf numFmtId="3" fontId="24" fillId="5" borderId="8" xfId="0" applyNumberFormat="1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40" xfId="0" applyFont="1" applyFill="1" applyBorder="1" applyAlignment="1">
      <alignment horizontal="center" vertical="center" wrapText="1"/>
    </xf>
    <xf numFmtId="3" fontId="24" fillId="5" borderId="13" xfId="0" applyNumberFormat="1" applyFont="1" applyFill="1" applyBorder="1" applyAlignment="1">
      <alignment horizontal="center" vertical="center" wrapText="1"/>
    </xf>
    <xf numFmtId="3" fontId="24" fillId="5" borderId="16" xfId="0" applyNumberFormat="1" applyFont="1" applyFill="1" applyBorder="1" applyAlignment="1">
      <alignment horizontal="center" vertical="center" wrapText="1"/>
    </xf>
    <xf numFmtId="3" fontId="27" fillId="0" borderId="4" xfId="0" applyNumberFormat="1" applyFont="1" applyBorder="1" applyAlignment="1">
      <alignment horizontal="center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3" fontId="27" fillId="0" borderId="8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69" fontId="11" fillId="0" borderId="13" xfId="0" applyNumberFormat="1" applyFont="1" applyBorder="1" applyAlignment="1">
      <alignment horizontal="center" vertical="center"/>
    </xf>
    <xf numFmtId="169" fontId="11" fillId="0" borderId="17" xfId="0" applyNumberFormat="1" applyFont="1" applyBorder="1" applyAlignment="1">
      <alignment horizontal="center" vertical="center"/>
    </xf>
    <xf numFmtId="169" fontId="11" fillId="0" borderId="16" xfId="0" applyNumberFormat="1" applyFont="1" applyBorder="1" applyAlignment="1">
      <alignment horizontal="center" vertical="center"/>
    </xf>
    <xf numFmtId="164" fontId="11" fillId="0" borderId="13" xfId="2" applyNumberFormat="1" applyFont="1" applyFill="1" applyBorder="1" applyAlignment="1">
      <alignment horizontal="center" vertical="center" wrapText="1"/>
    </xf>
    <xf numFmtId="164" fontId="11" fillId="0" borderId="17" xfId="2" applyNumberFormat="1" applyFont="1" applyFill="1" applyBorder="1" applyAlignment="1">
      <alignment horizontal="center" vertical="center" wrapText="1"/>
    </xf>
    <xf numFmtId="164" fontId="11" fillId="0" borderId="16" xfId="2" applyNumberFormat="1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textRotation="90" wrapText="1"/>
    </xf>
    <xf numFmtId="0" fontId="11" fillId="0" borderId="39" xfId="0" applyFont="1" applyBorder="1" applyAlignment="1">
      <alignment horizontal="center" vertical="center" textRotation="90" wrapText="1"/>
    </xf>
    <xf numFmtId="0" fontId="11" fillId="0" borderId="29" xfId="0" applyFont="1" applyBorder="1" applyAlignment="1">
      <alignment horizontal="center" vertical="center" textRotation="90" wrapText="1"/>
    </xf>
    <xf numFmtId="0" fontId="24" fillId="5" borderId="14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10" fontId="11" fillId="0" borderId="1" xfId="3" applyNumberFormat="1" applyFont="1" applyFill="1" applyBorder="1" applyAlignment="1">
      <alignment horizontal="center" vertical="center" wrapText="1"/>
    </xf>
    <xf numFmtId="10" fontId="11" fillId="0" borderId="8" xfId="3" applyNumberFormat="1" applyFont="1" applyFill="1" applyBorder="1" applyAlignment="1">
      <alignment horizontal="center" vertical="center" wrapText="1"/>
    </xf>
    <xf numFmtId="10" fontId="25" fillId="5" borderId="5" xfId="3" applyNumberFormat="1" applyFont="1" applyFill="1" applyBorder="1" applyAlignment="1">
      <alignment horizontal="center" vertical="center" wrapText="1"/>
    </xf>
    <xf numFmtId="10" fontId="25" fillId="5" borderId="23" xfId="3" applyNumberFormat="1" applyFont="1" applyFill="1" applyBorder="1" applyAlignment="1">
      <alignment horizontal="center" vertical="center" wrapText="1"/>
    </xf>
    <xf numFmtId="10" fontId="11" fillId="0" borderId="4" xfId="3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6" fontId="27" fillId="0" borderId="1" xfId="1" applyNumberFormat="1" applyFont="1" applyBorder="1" applyAlignment="1">
      <alignment horizontal="center" vertical="center" wrapText="1"/>
    </xf>
    <xf numFmtId="166" fontId="27" fillId="0" borderId="8" xfId="1" applyNumberFormat="1" applyFont="1" applyBorder="1" applyAlignment="1">
      <alignment horizontal="center" vertical="center" wrapText="1"/>
    </xf>
    <xf numFmtId="166" fontId="27" fillId="0" borderId="4" xfId="1" applyNumberFormat="1" applyFont="1" applyBorder="1" applyAlignment="1">
      <alignment horizontal="center" vertical="center" wrapText="1"/>
    </xf>
    <xf numFmtId="10" fontId="11" fillId="6" borderId="4" xfId="3" applyNumberFormat="1" applyFont="1" applyFill="1" applyBorder="1" applyAlignment="1">
      <alignment horizontal="center" vertical="center" wrapText="1"/>
    </xf>
    <xf numFmtId="10" fontId="11" fillId="6" borderId="8" xfId="3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166" fontId="29" fillId="2" borderId="47" xfId="1" applyNumberFormat="1" applyFont="1" applyFill="1" applyBorder="1" applyAlignment="1">
      <alignment horizontal="center" vertical="center" wrapText="1"/>
    </xf>
    <xf numFmtId="166" fontId="29" fillId="2" borderId="26" xfId="1" applyNumberFormat="1" applyFont="1" applyFill="1" applyBorder="1" applyAlignment="1">
      <alignment horizontal="center" vertical="center" wrapText="1"/>
    </xf>
    <xf numFmtId="166" fontId="29" fillId="2" borderId="52" xfId="1" applyNumberFormat="1" applyFont="1" applyFill="1" applyBorder="1" applyAlignment="1">
      <alignment horizontal="center" vertical="center" wrapText="1"/>
    </xf>
    <xf numFmtId="10" fontId="11" fillId="6" borderId="1" xfId="3" applyNumberFormat="1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textRotation="90" wrapText="1"/>
    </xf>
    <xf numFmtId="0" fontId="11" fillId="0" borderId="46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3" fontId="27" fillId="0" borderId="10" xfId="0" applyNumberFormat="1" applyFont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center" vertical="center" wrapText="1"/>
    </xf>
    <xf numFmtId="3" fontId="24" fillId="4" borderId="13" xfId="0" applyNumberFormat="1" applyFont="1" applyFill="1" applyBorder="1" applyAlignment="1">
      <alignment horizontal="center" vertical="center" wrapText="1"/>
    </xf>
    <xf numFmtId="3" fontId="24" fillId="4" borderId="16" xfId="0" applyNumberFormat="1" applyFont="1" applyFill="1" applyBorder="1" applyAlignment="1">
      <alignment horizontal="center" vertical="center" wrapText="1"/>
    </xf>
    <xf numFmtId="10" fontId="25" fillId="5" borderId="4" xfId="3" applyNumberFormat="1" applyFont="1" applyFill="1" applyBorder="1" applyAlignment="1">
      <alignment horizontal="center" vertical="center" wrapText="1"/>
    </xf>
    <xf numFmtId="10" fontId="25" fillId="5" borderId="8" xfId="3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10" fontId="11" fillId="6" borderId="2" xfId="3" applyNumberFormat="1" applyFont="1" applyFill="1" applyBorder="1" applyAlignment="1">
      <alignment horizontal="center" vertical="center" wrapText="1"/>
    </xf>
    <xf numFmtId="10" fontId="11" fillId="6" borderId="10" xfId="3" applyNumberFormat="1" applyFont="1" applyFill="1" applyBorder="1" applyAlignment="1">
      <alignment horizontal="center" vertical="center" wrapText="1"/>
    </xf>
    <xf numFmtId="10" fontId="11" fillId="6" borderId="15" xfId="0" applyNumberFormat="1" applyFont="1" applyFill="1" applyBorder="1" applyAlignment="1">
      <alignment horizontal="center" vertical="center" wrapText="1"/>
    </xf>
    <xf numFmtId="10" fontId="11" fillId="6" borderId="49" xfId="0" applyNumberFormat="1" applyFont="1" applyFill="1" applyBorder="1" applyAlignment="1">
      <alignment horizontal="center" vertical="center" wrapText="1"/>
    </xf>
    <xf numFmtId="10" fontId="11" fillId="6" borderId="57" xfId="0" applyNumberFormat="1" applyFont="1" applyFill="1" applyBorder="1" applyAlignment="1">
      <alignment horizontal="center" vertical="center" wrapText="1"/>
    </xf>
    <xf numFmtId="10" fontId="11" fillId="6" borderId="35" xfId="0" applyNumberFormat="1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0" fontId="11" fillId="0" borderId="41" xfId="3" applyNumberFormat="1" applyFont="1" applyFill="1" applyBorder="1" applyAlignment="1">
      <alignment horizontal="center" vertical="center" wrapText="1"/>
    </xf>
    <xf numFmtId="10" fontId="11" fillId="0" borderId="49" xfId="3" applyNumberFormat="1" applyFont="1" applyFill="1" applyBorder="1" applyAlignment="1">
      <alignment horizontal="center" vertical="center" wrapText="1"/>
    </xf>
    <xf numFmtId="10" fontId="11" fillId="0" borderId="57" xfId="3" applyNumberFormat="1" applyFont="1" applyFill="1" applyBorder="1" applyAlignment="1">
      <alignment horizontal="center" vertical="center" wrapText="1"/>
    </xf>
    <xf numFmtId="10" fontId="11" fillId="0" borderId="46" xfId="3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3" fontId="13" fillId="5" borderId="10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6" fontId="9" fillId="2" borderId="4" xfId="1" applyNumberFormat="1" applyFont="1" applyFill="1" applyBorder="1" applyAlignment="1">
      <alignment horizontal="center" vertical="center" wrapText="1"/>
    </xf>
    <xf numFmtId="166" fontId="9" fillId="2" borderId="10" xfId="1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10" fontId="13" fillId="5" borderId="5" xfId="3" applyNumberFormat="1" applyFont="1" applyFill="1" applyBorder="1" applyAlignment="1">
      <alignment horizontal="center" vertical="center" wrapText="1"/>
    </xf>
    <xf numFmtId="10" fontId="13" fillId="5" borderId="35" xfId="3" applyNumberFormat="1" applyFont="1" applyFill="1" applyBorder="1" applyAlignment="1">
      <alignment horizontal="center" vertical="center" wrapText="1"/>
    </xf>
    <xf numFmtId="10" fontId="15" fillId="6" borderId="5" xfId="3" applyNumberFormat="1" applyFont="1" applyFill="1" applyBorder="1" applyAlignment="1">
      <alignment horizontal="center" vertical="center" wrapText="1"/>
    </xf>
    <xf numFmtId="10" fontId="15" fillId="6" borderId="35" xfId="3" applyNumberFormat="1" applyFont="1" applyFill="1" applyBorder="1" applyAlignment="1">
      <alignment horizontal="center" vertical="center" wrapText="1"/>
    </xf>
    <xf numFmtId="9" fontId="13" fillId="5" borderId="4" xfId="3" applyFont="1" applyFill="1" applyBorder="1" applyAlignment="1">
      <alignment horizontal="center" vertical="center" wrapText="1"/>
    </xf>
    <xf numFmtId="9" fontId="13" fillId="5" borderId="10" xfId="3" applyFont="1" applyFill="1" applyBorder="1" applyAlignment="1">
      <alignment horizontal="center" vertical="center" wrapText="1"/>
    </xf>
    <xf numFmtId="10" fontId="15" fillId="6" borderId="23" xfId="3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E2EFDA"/>
      <color rgb="FF6699FF"/>
      <color rgb="FF1C5BF7"/>
      <color rgb="FF73FEFF"/>
      <color rgb="FFFFD579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26"/>
  <sheetViews>
    <sheetView showGridLines="0" tabSelected="1" topLeftCell="I1" zoomScale="60" zoomScaleNormal="60" zoomScaleSheetLayoutView="50" workbookViewId="0">
      <pane ySplit="5" topLeftCell="A18" activePane="bottomLeft" state="frozen"/>
      <selection pane="bottomLeft" activeCell="Z19" sqref="Z19"/>
    </sheetView>
  </sheetViews>
  <sheetFormatPr baseColWidth="10" defaultRowHeight="12"/>
  <cols>
    <col min="1" max="1" width="14.7109375" style="1" customWidth="1"/>
    <col min="2" max="2" width="13.85546875" style="1" customWidth="1"/>
    <col min="3" max="3" width="16.85546875" style="1" customWidth="1"/>
    <col min="4" max="4" width="14.140625" style="1" customWidth="1"/>
    <col min="5" max="5" width="14.7109375" style="1" customWidth="1"/>
    <col min="6" max="6" width="16.85546875" style="237" customWidth="1"/>
    <col min="7" max="7" width="14.85546875" style="237" customWidth="1"/>
    <col min="8" max="8" width="16.140625" style="237" customWidth="1"/>
    <col min="9" max="9" width="14.7109375" style="237" customWidth="1"/>
    <col min="10" max="10" width="16.28515625" style="1" customWidth="1"/>
    <col min="11" max="11" width="14" style="1" customWidth="1"/>
    <col min="12" max="12" width="11.140625" style="1" customWidth="1"/>
    <col min="13" max="13" width="18.7109375" style="1" customWidth="1"/>
    <col min="14" max="14" width="5.85546875" style="1" hidden="1" customWidth="1"/>
    <col min="15" max="15" width="9.85546875" style="1" hidden="1" customWidth="1"/>
    <col min="16" max="16" width="17.85546875" style="1" customWidth="1"/>
    <col min="17" max="17" width="14.85546875" style="249" customWidth="1"/>
    <col min="18" max="18" width="14.7109375" style="245" customWidth="1"/>
    <col min="19" max="19" width="14.85546875" style="245" customWidth="1"/>
    <col min="20" max="20" width="24.42578125" style="245" customWidth="1"/>
    <col min="21" max="21" width="21.85546875" style="245" customWidth="1"/>
    <col min="22" max="22" width="18.5703125" style="245" customWidth="1"/>
    <col min="23" max="23" width="18.7109375" style="255" customWidth="1"/>
    <col min="24" max="24" width="19.140625" style="256" customWidth="1"/>
    <col min="25" max="25" width="24.5703125" style="245" customWidth="1"/>
    <col min="26" max="26" width="15.5703125" style="255" customWidth="1"/>
    <col min="27" max="27" width="25.42578125" style="256" bestFit="1" customWidth="1"/>
    <col min="28" max="28" width="27.85546875" style="1" customWidth="1"/>
    <col min="29" max="29" width="20" style="1" customWidth="1"/>
    <col min="30" max="30" width="19.85546875" style="1" customWidth="1"/>
    <col min="31" max="31" width="32.7109375" style="237" customWidth="1"/>
    <col min="32" max="32" width="19.85546875" style="237" customWidth="1"/>
    <col min="33" max="33" width="24.85546875" style="249" customWidth="1"/>
    <col min="34" max="34" width="22.5703125" style="249" customWidth="1"/>
    <col min="35" max="35" width="25.42578125" style="249" customWidth="1"/>
    <col min="36" max="36" width="30.42578125" style="249" customWidth="1"/>
    <col min="37" max="37" width="20.5703125" style="237" customWidth="1"/>
    <col min="38" max="38" width="21.5703125" style="237" customWidth="1"/>
    <col min="39" max="39" width="13" style="1" customWidth="1"/>
    <col min="40" max="40" width="28.5703125" style="245" customWidth="1"/>
    <col min="41" max="41" width="22.42578125" style="245" customWidth="1"/>
    <col min="42" max="42" width="23.7109375" style="1" customWidth="1"/>
    <col min="43" max="43" width="21.85546875" style="237" customWidth="1"/>
    <col min="44" max="44" width="24.5703125" style="253" customWidth="1"/>
    <col min="45" max="45" width="37.5703125" style="1" customWidth="1"/>
    <col min="46" max="46" width="27.140625" style="257" customWidth="1"/>
    <col min="47" max="47" width="26.5703125" style="1" customWidth="1"/>
    <col min="48" max="48" width="25.42578125" style="260" customWidth="1"/>
    <col min="49" max="51" width="34.85546875" style="1" customWidth="1"/>
    <col min="52" max="52" width="40.85546875" style="1" customWidth="1"/>
    <col min="53" max="53" width="11.42578125" style="1"/>
    <col min="54" max="54" width="18.7109375" style="1" customWidth="1"/>
    <col min="55" max="16384" width="11.42578125" style="1"/>
  </cols>
  <sheetData>
    <row r="1" spans="1:54" ht="81" customHeight="1">
      <c r="A1" s="346" t="s">
        <v>184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 t="s">
        <v>184</v>
      </c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  <c r="AV1" s="346"/>
      <c r="AW1" s="346"/>
      <c r="AX1" s="346"/>
      <c r="AY1" s="346"/>
      <c r="AZ1" s="346"/>
    </row>
    <row r="2" spans="1:54" ht="30" customHeight="1" thickBot="1">
      <c r="A2" s="326" t="s">
        <v>207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 t="s">
        <v>207</v>
      </c>
      <c r="AC2" s="326"/>
      <c r="AD2" s="326"/>
      <c r="AE2" s="326"/>
      <c r="AF2" s="326"/>
      <c r="AG2" s="326"/>
      <c r="AH2" s="326"/>
      <c r="AI2" s="326"/>
      <c r="AJ2" s="326"/>
      <c r="AK2" s="326"/>
      <c r="AL2" s="326"/>
      <c r="AM2" s="326"/>
      <c r="AN2" s="326"/>
      <c r="AO2" s="326"/>
      <c r="AP2" s="326"/>
      <c r="AQ2" s="326"/>
      <c r="AR2" s="326"/>
      <c r="AS2" s="326"/>
      <c r="AT2" s="326"/>
      <c r="AU2" s="326"/>
      <c r="AV2" s="326"/>
      <c r="AW2" s="326"/>
      <c r="AX2" s="326"/>
      <c r="AY2" s="326"/>
      <c r="AZ2" s="326"/>
    </row>
    <row r="3" spans="1:54" ht="36" customHeight="1" thickBot="1">
      <c r="A3" s="347" t="s">
        <v>95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8"/>
      <c r="Z3" s="348"/>
      <c r="AA3" s="349"/>
      <c r="AB3" s="334" t="s">
        <v>164</v>
      </c>
      <c r="AC3" s="334"/>
      <c r="AD3" s="334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  <c r="AP3" s="334"/>
      <c r="AQ3" s="334"/>
      <c r="AR3" s="329" t="s">
        <v>101</v>
      </c>
      <c r="AS3" s="330"/>
      <c r="AT3" s="330"/>
      <c r="AU3" s="330"/>
      <c r="AV3" s="330"/>
      <c r="AW3" s="331"/>
      <c r="AX3" s="54"/>
      <c r="AY3" s="54"/>
      <c r="AZ3" s="320" t="s">
        <v>165</v>
      </c>
    </row>
    <row r="4" spans="1:54" ht="45" customHeight="1">
      <c r="A4" s="362" t="s">
        <v>0</v>
      </c>
      <c r="B4" s="350" t="s">
        <v>45</v>
      </c>
      <c r="C4" s="350" t="s">
        <v>14</v>
      </c>
      <c r="D4" s="350" t="s">
        <v>87</v>
      </c>
      <c r="E4" s="350" t="s">
        <v>88</v>
      </c>
      <c r="F4" s="339" t="s">
        <v>167</v>
      </c>
      <c r="G4" s="339" t="s">
        <v>89</v>
      </c>
      <c r="H4" s="339" t="s">
        <v>117</v>
      </c>
      <c r="I4" s="350" t="s">
        <v>1</v>
      </c>
      <c r="J4" s="350" t="s">
        <v>90</v>
      </c>
      <c r="K4" s="350" t="s">
        <v>59</v>
      </c>
      <c r="L4" s="350" t="s">
        <v>82</v>
      </c>
      <c r="M4" s="356" t="s">
        <v>15</v>
      </c>
      <c r="N4" s="358" t="s">
        <v>91</v>
      </c>
      <c r="O4" s="358"/>
      <c r="P4" s="358" t="s">
        <v>92</v>
      </c>
      <c r="Q4" s="354" t="s">
        <v>93</v>
      </c>
      <c r="R4" s="360" t="s">
        <v>208</v>
      </c>
      <c r="S4" s="360" t="s">
        <v>94</v>
      </c>
      <c r="T4" s="298" t="s">
        <v>138</v>
      </c>
      <c r="U4" s="298" t="s">
        <v>185</v>
      </c>
      <c r="V4" s="354" t="s">
        <v>142</v>
      </c>
      <c r="W4" s="352" t="s">
        <v>143</v>
      </c>
      <c r="X4" s="416" t="s">
        <v>144</v>
      </c>
      <c r="Y4" s="354" t="s">
        <v>139</v>
      </c>
      <c r="Z4" s="352" t="s">
        <v>140</v>
      </c>
      <c r="AA4" s="387" t="s">
        <v>141</v>
      </c>
      <c r="AB4" s="383" t="s">
        <v>96</v>
      </c>
      <c r="AC4" s="332" t="s">
        <v>58</v>
      </c>
      <c r="AD4" s="332" t="s">
        <v>16</v>
      </c>
      <c r="AE4" s="335" t="s">
        <v>209</v>
      </c>
      <c r="AF4" s="335" t="s">
        <v>97</v>
      </c>
      <c r="AG4" s="414" t="s">
        <v>168</v>
      </c>
      <c r="AH4" s="327" t="s">
        <v>186</v>
      </c>
      <c r="AI4" s="414" t="s">
        <v>169</v>
      </c>
      <c r="AJ4" s="327" t="s">
        <v>198</v>
      </c>
      <c r="AK4" s="335" t="s">
        <v>98</v>
      </c>
      <c r="AL4" s="335" t="s">
        <v>99</v>
      </c>
      <c r="AM4" s="335" t="s">
        <v>100</v>
      </c>
      <c r="AN4" s="364" t="s">
        <v>83</v>
      </c>
      <c r="AO4" s="364" t="s">
        <v>84</v>
      </c>
      <c r="AP4" s="332" t="s">
        <v>2</v>
      </c>
      <c r="AQ4" s="381" t="s">
        <v>3</v>
      </c>
      <c r="AR4" s="383" t="s">
        <v>17</v>
      </c>
      <c r="AS4" s="332" t="s">
        <v>170</v>
      </c>
      <c r="AT4" s="332" t="s">
        <v>60</v>
      </c>
      <c r="AU4" s="332" t="s">
        <v>29</v>
      </c>
      <c r="AV4" s="412" t="s">
        <v>210</v>
      </c>
      <c r="AW4" s="281" t="s">
        <v>171</v>
      </c>
      <c r="AX4" s="281" t="s">
        <v>206</v>
      </c>
      <c r="AY4" s="281" t="s">
        <v>203</v>
      </c>
      <c r="AZ4" s="321"/>
      <c r="BB4" s="55">
        <v>4488210003035200</v>
      </c>
    </row>
    <row r="5" spans="1:54" ht="24.75" thickBot="1">
      <c r="A5" s="363"/>
      <c r="B5" s="351"/>
      <c r="C5" s="351"/>
      <c r="D5" s="351"/>
      <c r="E5" s="351"/>
      <c r="F5" s="340"/>
      <c r="G5" s="340"/>
      <c r="H5" s="340"/>
      <c r="I5" s="351"/>
      <c r="J5" s="351"/>
      <c r="K5" s="351"/>
      <c r="L5" s="351"/>
      <c r="M5" s="357"/>
      <c r="N5" s="56" t="s">
        <v>162</v>
      </c>
      <c r="O5" s="56" t="s">
        <v>163</v>
      </c>
      <c r="P5" s="359"/>
      <c r="Q5" s="355"/>
      <c r="R5" s="361"/>
      <c r="S5" s="361"/>
      <c r="T5" s="299"/>
      <c r="U5" s="299"/>
      <c r="V5" s="355"/>
      <c r="W5" s="353"/>
      <c r="X5" s="417"/>
      <c r="Y5" s="355"/>
      <c r="Z5" s="353"/>
      <c r="AA5" s="388"/>
      <c r="AB5" s="384"/>
      <c r="AC5" s="333"/>
      <c r="AD5" s="333"/>
      <c r="AE5" s="336"/>
      <c r="AF5" s="336"/>
      <c r="AG5" s="415"/>
      <c r="AH5" s="328"/>
      <c r="AI5" s="415"/>
      <c r="AJ5" s="328"/>
      <c r="AK5" s="336"/>
      <c r="AL5" s="336"/>
      <c r="AM5" s="336"/>
      <c r="AN5" s="365"/>
      <c r="AO5" s="365"/>
      <c r="AP5" s="333"/>
      <c r="AQ5" s="382"/>
      <c r="AR5" s="384"/>
      <c r="AS5" s="333"/>
      <c r="AT5" s="333"/>
      <c r="AU5" s="333"/>
      <c r="AV5" s="413"/>
      <c r="AW5" s="282"/>
      <c r="AX5" s="282"/>
      <c r="AY5" s="282"/>
      <c r="AZ5" s="322"/>
      <c r="BB5" s="55"/>
    </row>
    <row r="6" spans="1:54" ht="105.95" customHeight="1">
      <c r="A6" s="342" t="s">
        <v>4</v>
      </c>
      <c r="B6" s="316" t="s">
        <v>5</v>
      </c>
      <c r="C6" s="316" t="s">
        <v>166</v>
      </c>
      <c r="D6" s="366" t="s">
        <v>33</v>
      </c>
      <c r="E6" s="366" t="s">
        <v>107</v>
      </c>
      <c r="F6" s="390" t="s">
        <v>46</v>
      </c>
      <c r="G6" s="390" t="s">
        <v>8</v>
      </c>
      <c r="H6" s="389">
        <f>Y6/36794</f>
        <v>6.9848344838832413E-2</v>
      </c>
      <c r="I6" s="289" t="s">
        <v>6</v>
      </c>
      <c r="J6" s="304" t="s">
        <v>8</v>
      </c>
      <c r="K6" s="304" t="s">
        <v>61</v>
      </c>
      <c r="L6" s="304" t="s">
        <v>33</v>
      </c>
      <c r="M6" s="419" t="s">
        <v>47</v>
      </c>
      <c r="N6" s="422" t="s">
        <v>111</v>
      </c>
      <c r="O6" s="390"/>
      <c r="P6" s="390" t="s">
        <v>110</v>
      </c>
      <c r="Q6" s="418">
        <v>5000</v>
      </c>
      <c r="R6" s="300">
        <f>58+35+230+660</f>
        <v>983</v>
      </c>
      <c r="S6" s="300">
        <v>2565</v>
      </c>
      <c r="T6" s="300">
        <v>0</v>
      </c>
      <c r="U6" s="300">
        <v>5</v>
      </c>
      <c r="V6" s="300">
        <f>SUM(T6:U7)</f>
        <v>5</v>
      </c>
      <c r="W6" s="310">
        <f>V6/R6</f>
        <v>5.0864699898270603E-3</v>
      </c>
      <c r="X6" s="394">
        <f>AVERAGE(W6:W9)</f>
        <v>3.0189723878726168E-3</v>
      </c>
      <c r="Y6" s="300">
        <f>S6+V6</f>
        <v>2570</v>
      </c>
      <c r="Z6" s="310">
        <f>Y6/Q6</f>
        <v>0.51400000000000001</v>
      </c>
      <c r="AA6" s="307">
        <f>AVERAGE(Z6:Z9)</f>
        <v>0.58774999999999999</v>
      </c>
      <c r="AB6" s="276" t="s">
        <v>21</v>
      </c>
      <c r="AC6" s="409" t="s">
        <v>24</v>
      </c>
      <c r="AD6" s="316" t="s">
        <v>18</v>
      </c>
      <c r="AE6" s="57" t="s">
        <v>121</v>
      </c>
      <c r="AF6" s="57" t="s">
        <v>123</v>
      </c>
      <c r="AG6" s="57">
        <v>983</v>
      </c>
      <c r="AH6" s="58">
        <f>V6</f>
        <v>5</v>
      </c>
      <c r="AI6" s="59">
        <f>AG6/SUM(AG6:AG9)</f>
        <v>0.29475262368815591</v>
      </c>
      <c r="AJ6" s="60">
        <f>+(AH6*AI6)/AG6</f>
        <v>1.4992503748125937E-3</v>
      </c>
      <c r="AK6" s="61" t="s">
        <v>103</v>
      </c>
      <c r="AL6" s="61" t="s">
        <v>127</v>
      </c>
      <c r="AM6" s="58">
        <v>360</v>
      </c>
      <c r="AN6" s="366">
        <f>Q6*5</f>
        <v>25000</v>
      </c>
      <c r="AO6" s="366">
        <f>Y6*5</f>
        <v>12850</v>
      </c>
      <c r="AP6" s="316" t="s">
        <v>11</v>
      </c>
      <c r="AQ6" s="314" t="s">
        <v>161</v>
      </c>
      <c r="AR6" s="369" t="s">
        <v>67</v>
      </c>
      <c r="AS6" s="372">
        <f>4000000001+200000000</f>
        <v>4200000001</v>
      </c>
      <c r="AT6" s="375" t="s">
        <v>102</v>
      </c>
      <c r="AU6" s="316" t="s">
        <v>73</v>
      </c>
      <c r="AV6" s="378" t="s">
        <v>71</v>
      </c>
      <c r="AW6" s="283">
        <v>217200000</v>
      </c>
      <c r="AX6" s="283">
        <v>407000000</v>
      </c>
      <c r="AY6" s="283">
        <v>407000000</v>
      </c>
      <c r="AZ6" s="323" t="s">
        <v>191</v>
      </c>
      <c r="BA6" s="2"/>
      <c r="BB6" s="2"/>
    </row>
    <row r="7" spans="1:54" s="2" customFormat="1" ht="105.95" customHeight="1">
      <c r="A7" s="345"/>
      <c r="B7" s="267"/>
      <c r="C7" s="267"/>
      <c r="D7" s="367"/>
      <c r="E7" s="367"/>
      <c r="F7" s="295"/>
      <c r="G7" s="295"/>
      <c r="H7" s="385"/>
      <c r="I7" s="290"/>
      <c r="J7" s="305"/>
      <c r="K7" s="305"/>
      <c r="L7" s="305"/>
      <c r="M7" s="420"/>
      <c r="N7" s="295"/>
      <c r="O7" s="295"/>
      <c r="P7" s="295"/>
      <c r="Q7" s="302"/>
      <c r="R7" s="301"/>
      <c r="S7" s="301"/>
      <c r="T7" s="301"/>
      <c r="U7" s="301"/>
      <c r="V7" s="301"/>
      <c r="W7" s="311"/>
      <c r="X7" s="404"/>
      <c r="Y7" s="301"/>
      <c r="Z7" s="311"/>
      <c r="AA7" s="308"/>
      <c r="AB7" s="297"/>
      <c r="AC7" s="410"/>
      <c r="AD7" s="267"/>
      <c r="AE7" s="62" t="s">
        <v>120</v>
      </c>
      <c r="AF7" s="62" t="s">
        <v>124</v>
      </c>
      <c r="AG7" s="62">
        <v>890</v>
      </c>
      <c r="AH7" s="62">
        <v>0</v>
      </c>
      <c r="AI7" s="63">
        <f>AG7/SUM(AG6:AG9)</f>
        <v>0.26686656671664166</v>
      </c>
      <c r="AJ7" s="64">
        <f t="shared" ref="AJ7:AJ14" si="0">+(AH7*AI7)/AG7</f>
        <v>0</v>
      </c>
      <c r="AK7" s="65" t="s">
        <v>103</v>
      </c>
      <c r="AL7" s="65" t="s">
        <v>127</v>
      </c>
      <c r="AM7" s="66">
        <v>360</v>
      </c>
      <c r="AN7" s="367"/>
      <c r="AO7" s="367"/>
      <c r="AP7" s="267"/>
      <c r="AQ7" s="407"/>
      <c r="AR7" s="370"/>
      <c r="AS7" s="373"/>
      <c r="AT7" s="376"/>
      <c r="AU7" s="267"/>
      <c r="AV7" s="379"/>
      <c r="AW7" s="284"/>
      <c r="AX7" s="284"/>
      <c r="AY7" s="284"/>
      <c r="AZ7" s="324"/>
    </row>
    <row r="8" spans="1:54" s="2" customFormat="1" ht="147" customHeight="1">
      <c r="A8" s="345"/>
      <c r="B8" s="267"/>
      <c r="C8" s="267"/>
      <c r="D8" s="367"/>
      <c r="E8" s="367"/>
      <c r="F8" s="391" t="s">
        <v>30</v>
      </c>
      <c r="G8" s="391" t="s">
        <v>104</v>
      </c>
      <c r="H8" s="385">
        <f>Y8/36794</f>
        <v>7.1913899005272605E-2</v>
      </c>
      <c r="I8" s="290"/>
      <c r="J8" s="305" t="s">
        <v>13</v>
      </c>
      <c r="K8" s="305" t="s">
        <v>31</v>
      </c>
      <c r="L8" s="305"/>
      <c r="M8" s="420" t="s">
        <v>74</v>
      </c>
      <c r="N8" s="399" t="s">
        <v>111</v>
      </c>
      <c r="O8" s="295"/>
      <c r="P8" s="295" t="s">
        <v>112</v>
      </c>
      <c r="Q8" s="302">
        <v>4000</v>
      </c>
      <c r="R8" s="301">
        <f>126+890+35</f>
        <v>1051</v>
      </c>
      <c r="S8" s="302">
        <v>2645</v>
      </c>
      <c r="T8" s="302">
        <v>0</v>
      </c>
      <c r="U8" s="302">
        <v>1</v>
      </c>
      <c r="V8" s="397">
        <f>SUM(T8:U9)</f>
        <v>1</v>
      </c>
      <c r="W8" s="312">
        <f>V8/R8</f>
        <v>9.5147478591817321E-4</v>
      </c>
      <c r="X8" s="404"/>
      <c r="Y8" s="302">
        <f>S8+V8</f>
        <v>2646</v>
      </c>
      <c r="Z8" s="312">
        <f>Y8/Q8</f>
        <v>0.66149999999999998</v>
      </c>
      <c r="AA8" s="308"/>
      <c r="AB8" s="297"/>
      <c r="AC8" s="410"/>
      <c r="AD8" s="267"/>
      <c r="AE8" s="62" t="s">
        <v>122</v>
      </c>
      <c r="AF8" s="62" t="s">
        <v>125</v>
      </c>
      <c r="AG8" s="62">
        <f>2512-591-620+35</f>
        <v>1336</v>
      </c>
      <c r="AH8" s="62">
        <v>494</v>
      </c>
      <c r="AI8" s="63">
        <f>AG8/SUM(AG6:AG9)</f>
        <v>0.40059970014992502</v>
      </c>
      <c r="AJ8" s="64">
        <f t="shared" si="0"/>
        <v>0.14812593703148424</v>
      </c>
      <c r="AK8" s="65" t="s">
        <v>103</v>
      </c>
      <c r="AL8" s="65" t="s">
        <v>128</v>
      </c>
      <c r="AM8" s="66">
        <v>180</v>
      </c>
      <c r="AN8" s="367"/>
      <c r="AO8" s="367"/>
      <c r="AP8" s="267"/>
      <c r="AQ8" s="407"/>
      <c r="AR8" s="370"/>
      <c r="AS8" s="373"/>
      <c r="AT8" s="376"/>
      <c r="AU8" s="267"/>
      <c r="AV8" s="379"/>
      <c r="AW8" s="284"/>
      <c r="AX8" s="284"/>
      <c r="AY8" s="284"/>
      <c r="AZ8" s="324"/>
    </row>
    <row r="9" spans="1:54" s="2" customFormat="1" ht="120" customHeight="1" thickBot="1">
      <c r="A9" s="343"/>
      <c r="B9" s="344"/>
      <c r="C9" s="344"/>
      <c r="D9" s="368"/>
      <c r="E9" s="368"/>
      <c r="F9" s="392"/>
      <c r="G9" s="392"/>
      <c r="H9" s="386"/>
      <c r="I9" s="290"/>
      <c r="J9" s="306"/>
      <c r="K9" s="306"/>
      <c r="L9" s="306"/>
      <c r="M9" s="421"/>
      <c r="N9" s="396"/>
      <c r="O9" s="396"/>
      <c r="P9" s="396"/>
      <c r="Q9" s="303"/>
      <c r="R9" s="398"/>
      <c r="S9" s="303"/>
      <c r="T9" s="303"/>
      <c r="U9" s="303"/>
      <c r="V9" s="398"/>
      <c r="W9" s="313"/>
      <c r="X9" s="395"/>
      <c r="Y9" s="303"/>
      <c r="Z9" s="313"/>
      <c r="AA9" s="309"/>
      <c r="AB9" s="297"/>
      <c r="AC9" s="338"/>
      <c r="AD9" s="317"/>
      <c r="AE9" s="67" t="s">
        <v>119</v>
      </c>
      <c r="AF9" s="67" t="s">
        <v>126</v>
      </c>
      <c r="AG9" s="67">
        <v>126</v>
      </c>
      <c r="AH9" s="67">
        <v>0</v>
      </c>
      <c r="AI9" s="68">
        <f>AG9/SUM(AG6:AG9)</f>
        <v>3.7781109445277364E-2</v>
      </c>
      <c r="AJ9" s="64">
        <f t="shared" si="0"/>
        <v>0</v>
      </c>
      <c r="AK9" s="69" t="s">
        <v>103</v>
      </c>
      <c r="AL9" s="69" t="s">
        <v>129</v>
      </c>
      <c r="AM9" s="70">
        <v>270</v>
      </c>
      <c r="AN9" s="411"/>
      <c r="AO9" s="411"/>
      <c r="AP9" s="317"/>
      <c r="AQ9" s="408"/>
      <c r="AR9" s="371"/>
      <c r="AS9" s="374"/>
      <c r="AT9" s="377"/>
      <c r="AU9" s="317"/>
      <c r="AV9" s="380"/>
      <c r="AW9" s="285"/>
      <c r="AX9" s="285"/>
      <c r="AY9" s="285"/>
      <c r="AZ9" s="325"/>
    </row>
    <row r="10" spans="1:54" s="2" customFormat="1" ht="120" customHeight="1" thickBot="1">
      <c r="A10" s="71"/>
      <c r="B10" s="72"/>
      <c r="C10" s="72"/>
      <c r="D10" s="73"/>
      <c r="E10" s="73"/>
      <c r="F10" s="74"/>
      <c r="G10" s="74"/>
      <c r="H10" s="75"/>
      <c r="I10" s="400"/>
      <c r="J10" s="401" t="s">
        <v>192</v>
      </c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3"/>
      <c r="W10" s="76">
        <f>AVERAGE(W6:W9)</f>
        <v>3.0189723878726168E-3</v>
      </c>
      <c r="X10" s="77">
        <f>AVERAGE(X6:X9)</f>
        <v>3.0189723878726168E-3</v>
      </c>
      <c r="Y10" s="78"/>
      <c r="Z10" s="76">
        <f>AVERAGE(Z6:Z9)</f>
        <v>0.58774999999999999</v>
      </c>
      <c r="AA10" s="79"/>
      <c r="AB10" s="277"/>
      <c r="AC10" s="273" t="s">
        <v>197</v>
      </c>
      <c r="AD10" s="274"/>
      <c r="AE10" s="274"/>
      <c r="AF10" s="274"/>
      <c r="AG10" s="274"/>
      <c r="AH10" s="274"/>
      <c r="AI10" s="275"/>
      <c r="AJ10" s="64">
        <f>AVERAGE(AJ6:AJ9)</f>
        <v>3.7406296851574213E-2</v>
      </c>
      <c r="AK10" s="65"/>
      <c r="AL10" s="65"/>
      <c r="AM10" s="66"/>
      <c r="AN10" s="73"/>
      <c r="AO10" s="73"/>
      <c r="AP10" s="72"/>
      <c r="AQ10" s="80"/>
      <c r="AR10" s="81"/>
      <c r="AS10" s="82"/>
      <c r="AT10" s="83"/>
      <c r="AU10" s="72"/>
      <c r="AV10" s="84"/>
      <c r="AW10" s="85"/>
      <c r="AX10" s="86"/>
      <c r="AY10" s="86"/>
      <c r="AZ10" s="87"/>
    </row>
    <row r="11" spans="1:54" ht="99" customHeight="1">
      <c r="A11" s="342" t="s">
        <v>4</v>
      </c>
      <c r="B11" s="316" t="s">
        <v>5</v>
      </c>
      <c r="C11" s="316" t="s">
        <v>48</v>
      </c>
      <c r="D11" s="366" t="s">
        <v>32</v>
      </c>
      <c r="E11" s="366" t="s">
        <v>108</v>
      </c>
      <c r="F11" s="393" t="s">
        <v>34</v>
      </c>
      <c r="G11" s="393" t="s">
        <v>105</v>
      </c>
      <c r="H11" s="389">
        <f>(Y11+Y12)/19258</f>
        <v>0.10608578253193478</v>
      </c>
      <c r="I11" s="289" t="s">
        <v>7</v>
      </c>
      <c r="J11" s="88" t="s">
        <v>35</v>
      </c>
      <c r="K11" s="88" t="s">
        <v>62</v>
      </c>
      <c r="L11" s="366" t="s">
        <v>32</v>
      </c>
      <c r="M11" s="261" t="s">
        <v>37</v>
      </c>
      <c r="N11" s="390" t="s">
        <v>111</v>
      </c>
      <c r="O11" s="390"/>
      <c r="P11" s="390" t="s">
        <v>113</v>
      </c>
      <c r="Q11" s="89">
        <v>3500</v>
      </c>
      <c r="R11" s="89">
        <v>1500</v>
      </c>
      <c r="S11" s="89">
        <v>2002</v>
      </c>
      <c r="T11" s="89">
        <v>0</v>
      </c>
      <c r="U11" s="89">
        <v>0</v>
      </c>
      <c r="V11" s="89">
        <f>SUM(T11:U11)</f>
        <v>0</v>
      </c>
      <c r="W11" s="90">
        <f>V11/R11</f>
        <v>0</v>
      </c>
      <c r="X11" s="394">
        <f>(V11+V12)/(R11+R12)</f>
        <v>0</v>
      </c>
      <c r="Y11" s="89">
        <f>S11+V11</f>
        <v>2002</v>
      </c>
      <c r="Z11" s="90">
        <f>Y11/Q11</f>
        <v>0.57199999999999995</v>
      </c>
      <c r="AA11" s="307">
        <f>(Y11+Y12)/(Q11+Q12)</f>
        <v>0.45400000000000001</v>
      </c>
      <c r="AB11" s="276" t="s">
        <v>22</v>
      </c>
      <c r="AC11" s="337" t="s">
        <v>25</v>
      </c>
      <c r="AD11" s="341" t="s">
        <v>19</v>
      </c>
      <c r="AE11" s="91" t="s">
        <v>130</v>
      </c>
      <c r="AF11" s="91" t="s">
        <v>131</v>
      </c>
      <c r="AG11" s="92">
        <f>R11</f>
        <v>1500</v>
      </c>
      <c r="AH11" s="92">
        <v>0</v>
      </c>
      <c r="AI11" s="93">
        <f>AG11/SUM(AG11:AG12)</f>
        <v>0.61932287365813377</v>
      </c>
      <c r="AJ11" s="64">
        <f t="shared" si="0"/>
        <v>0</v>
      </c>
      <c r="AK11" s="94" t="s">
        <v>103</v>
      </c>
      <c r="AL11" s="94" t="s">
        <v>127</v>
      </c>
      <c r="AM11" s="92">
        <v>360</v>
      </c>
      <c r="AN11" s="366">
        <f>(Q11+Q12)*5</f>
        <v>22500</v>
      </c>
      <c r="AO11" s="366">
        <f>(Y11+Y12)*5</f>
        <v>10215</v>
      </c>
      <c r="AP11" s="316" t="s">
        <v>11</v>
      </c>
      <c r="AQ11" s="314" t="s">
        <v>161</v>
      </c>
      <c r="AR11" s="318" t="s">
        <v>67</v>
      </c>
      <c r="AS11" s="372">
        <f>7361763638</f>
        <v>7361763638</v>
      </c>
      <c r="AT11" s="375" t="s">
        <v>72</v>
      </c>
      <c r="AU11" s="316" t="s">
        <v>76</v>
      </c>
      <c r="AV11" s="405" t="s">
        <v>77</v>
      </c>
      <c r="AW11" s="283">
        <v>457440000</v>
      </c>
      <c r="AX11" s="283">
        <v>7361763638</v>
      </c>
      <c r="AY11" s="283">
        <v>7361763638</v>
      </c>
      <c r="AZ11" s="323" t="s">
        <v>211</v>
      </c>
    </row>
    <row r="12" spans="1:54" ht="114" customHeight="1" thickBot="1">
      <c r="A12" s="343"/>
      <c r="B12" s="344"/>
      <c r="C12" s="344"/>
      <c r="D12" s="368"/>
      <c r="E12" s="368"/>
      <c r="F12" s="392"/>
      <c r="G12" s="392"/>
      <c r="H12" s="386"/>
      <c r="I12" s="290"/>
      <c r="J12" s="95" t="s">
        <v>36</v>
      </c>
      <c r="K12" s="95" t="s">
        <v>63</v>
      </c>
      <c r="L12" s="368"/>
      <c r="M12" s="262" t="s">
        <v>38</v>
      </c>
      <c r="N12" s="396"/>
      <c r="O12" s="396"/>
      <c r="P12" s="396"/>
      <c r="Q12" s="97">
        <v>1000</v>
      </c>
      <c r="R12" s="97">
        <f>232+460+230</f>
        <v>922</v>
      </c>
      <c r="S12" s="97">
        <v>41</v>
      </c>
      <c r="T12" s="97">
        <v>0</v>
      </c>
      <c r="U12" s="97">
        <v>0</v>
      </c>
      <c r="V12" s="97">
        <f>SUM(T12:U12)</f>
        <v>0</v>
      </c>
      <c r="W12" s="98">
        <f>V12/R12</f>
        <v>0</v>
      </c>
      <c r="X12" s="395"/>
      <c r="Y12" s="97">
        <f>S12+V12</f>
        <v>41</v>
      </c>
      <c r="Z12" s="98">
        <f>Y12/Q12</f>
        <v>4.1000000000000002E-2</v>
      </c>
      <c r="AA12" s="309"/>
      <c r="AB12" s="297"/>
      <c r="AC12" s="338"/>
      <c r="AD12" s="317"/>
      <c r="AE12" s="67" t="s">
        <v>75</v>
      </c>
      <c r="AF12" s="67" t="s">
        <v>132</v>
      </c>
      <c r="AG12" s="70">
        <f>R12</f>
        <v>922</v>
      </c>
      <c r="AH12" s="70">
        <v>0</v>
      </c>
      <c r="AI12" s="68">
        <f>AG12/SUM(AG11:AG12)</f>
        <v>0.38067712634186623</v>
      </c>
      <c r="AJ12" s="68">
        <f t="shared" si="0"/>
        <v>0</v>
      </c>
      <c r="AK12" s="69" t="s">
        <v>103</v>
      </c>
      <c r="AL12" s="69" t="s">
        <v>127</v>
      </c>
      <c r="AM12" s="70">
        <v>360</v>
      </c>
      <c r="AN12" s="411"/>
      <c r="AO12" s="411"/>
      <c r="AP12" s="317"/>
      <c r="AQ12" s="315"/>
      <c r="AR12" s="319"/>
      <c r="AS12" s="374"/>
      <c r="AT12" s="377"/>
      <c r="AU12" s="317"/>
      <c r="AV12" s="406"/>
      <c r="AW12" s="285"/>
      <c r="AX12" s="285"/>
      <c r="AY12" s="285"/>
      <c r="AZ12" s="325"/>
    </row>
    <row r="13" spans="1:54" ht="57.75" customHeight="1" thickBot="1">
      <c r="A13" s="71"/>
      <c r="B13" s="72"/>
      <c r="C13" s="72"/>
      <c r="D13" s="73"/>
      <c r="E13" s="73"/>
      <c r="F13" s="74"/>
      <c r="G13" s="74"/>
      <c r="H13" s="75"/>
      <c r="I13" s="400"/>
      <c r="J13" s="286" t="s">
        <v>193</v>
      </c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8"/>
      <c r="W13" s="99">
        <f>AVERAGE(W11:W12)</f>
        <v>0</v>
      </c>
      <c r="X13" s="99">
        <f>AVERAGE(X11:X12)</f>
        <v>0</v>
      </c>
      <c r="Y13" s="100"/>
      <c r="Z13" s="99">
        <f>+(Y11+Y12)/(Q11+Q12)</f>
        <v>0.45400000000000001</v>
      </c>
      <c r="AA13" s="79"/>
      <c r="AB13" s="277"/>
      <c r="AC13" s="273" t="s">
        <v>199</v>
      </c>
      <c r="AD13" s="274"/>
      <c r="AE13" s="274"/>
      <c r="AF13" s="274"/>
      <c r="AG13" s="274"/>
      <c r="AH13" s="274"/>
      <c r="AI13" s="275"/>
      <c r="AJ13" s="64">
        <f>AVERAGE(AJ11:AJ12)</f>
        <v>0</v>
      </c>
      <c r="AK13" s="65"/>
      <c r="AL13" s="65"/>
      <c r="AM13" s="66"/>
      <c r="AN13" s="73"/>
      <c r="AO13" s="73"/>
      <c r="AP13" s="72"/>
      <c r="AQ13" s="101"/>
      <c r="AR13" s="81"/>
      <c r="AS13" s="102"/>
      <c r="AT13" s="103"/>
      <c r="AU13" s="72"/>
      <c r="AV13" s="104"/>
      <c r="AW13" s="105"/>
      <c r="AX13" s="106"/>
      <c r="AY13" s="106"/>
      <c r="AZ13" s="107"/>
    </row>
    <row r="14" spans="1:54" ht="260.10000000000002" customHeight="1" thickBot="1">
      <c r="A14" s="108" t="s">
        <v>4</v>
      </c>
      <c r="B14" s="109" t="s">
        <v>5</v>
      </c>
      <c r="C14" s="109" t="s">
        <v>49</v>
      </c>
      <c r="D14" s="110" t="s">
        <v>39</v>
      </c>
      <c r="E14" s="110" t="s">
        <v>109</v>
      </c>
      <c r="F14" s="111" t="s">
        <v>40</v>
      </c>
      <c r="G14" s="111" t="s">
        <v>106</v>
      </c>
      <c r="H14" s="112">
        <f>(Y14)/14770</f>
        <v>0.14631008801624915</v>
      </c>
      <c r="I14" s="113" t="s">
        <v>41</v>
      </c>
      <c r="J14" s="114" t="s">
        <v>50</v>
      </c>
      <c r="K14" s="114" t="s">
        <v>64</v>
      </c>
      <c r="L14" s="110" t="s">
        <v>39</v>
      </c>
      <c r="M14" s="109" t="s">
        <v>42</v>
      </c>
      <c r="N14" s="109" t="s">
        <v>111</v>
      </c>
      <c r="O14" s="109"/>
      <c r="P14" s="263" t="s">
        <v>114</v>
      </c>
      <c r="Q14" s="115">
        <v>4500</v>
      </c>
      <c r="R14" s="115">
        <f>1518+1314</f>
        <v>2832</v>
      </c>
      <c r="S14" s="115">
        <v>1668</v>
      </c>
      <c r="T14" s="115">
        <v>108</v>
      </c>
      <c r="U14" s="115">
        <v>385</v>
      </c>
      <c r="V14" s="115">
        <f>SUM(T14:U14)</f>
        <v>493</v>
      </c>
      <c r="W14" s="116">
        <f>V14/R14</f>
        <v>0.1740819209039548</v>
      </c>
      <c r="X14" s="117">
        <f>W14</f>
        <v>0.1740819209039548</v>
      </c>
      <c r="Y14" s="115">
        <f>S14+V14</f>
        <v>2161</v>
      </c>
      <c r="Z14" s="116">
        <f>Y14/Q14</f>
        <v>0.48022222222222222</v>
      </c>
      <c r="AA14" s="118">
        <f>Z14</f>
        <v>0.48022222222222222</v>
      </c>
      <c r="AB14" s="276" t="s">
        <v>23</v>
      </c>
      <c r="AC14" s="119" t="s">
        <v>26</v>
      </c>
      <c r="AD14" s="120" t="s">
        <v>20</v>
      </c>
      <c r="AE14" s="121" t="s">
        <v>51</v>
      </c>
      <c r="AF14" s="121" t="s">
        <v>133</v>
      </c>
      <c r="AG14" s="122">
        <f>R14</f>
        <v>2832</v>
      </c>
      <c r="AH14" s="122">
        <f>V14</f>
        <v>493</v>
      </c>
      <c r="AI14" s="123">
        <v>1</v>
      </c>
      <c r="AJ14" s="68">
        <f t="shared" si="0"/>
        <v>0.1740819209039548</v>
      </c>
      <c r="AK14" s="124" t="s">
        <v>103</v>
      </c>
      <c r="AL14" s="124" t="s">
        <v>127</v>
      </c>
      <c r="AM14" s="122">
        <v>360</v>
      </c>
      <c r="AN14" s="125">
        <f>Q14*5</f>
        <v>22500</v>
      </c>
      <c r="AO14" s="125">
        <f>Y14*5</f>
        <v>10805</v>
      </c>
      <c r="AP14" s="126" t="s">
        <v>52</v>
      </c>
      <c r="AQ14" s="127" t="s">
        <v>85</v>
      </c>
      <c r="AR14" s="128" t="s">
        <v>67</v>
      </c>
      <c r="AS14" s="129">
        <f>169000000+106700184</f>
        <v>275700184</v>
      </c>
      <c r="AT14" s="130" t="s">
        <v>72</v>
      </c>
      <c r="AU14" s="131" t="s">
        <v>78</v>
      </c>
      <c r="AV14" s="132" t="s">
        <v>79</v>
      </c>
      <c r="AW14" s="133">
        <v>26670941</v>
      </c>
      <c r="AX14" s="134">
        <v>275700184</v>
      </c>
      <c r="AY14" s="135">
        <v>169000000</v>
      </c>
      <c r="AZ14" s="136" t="s">
        <v>212</v>
      </c>
    </row>
    <row r="15" spans="1:54" ht="132.75" customHeight="1" thickBot="1">
      <c r="A15" s="108"/>
      <c r="B15" s="109"/>
      <c r="C15" s="109"/>
      <c r="D15" s="110"/>
      <c r="E15" s="110"/>
      <c r="F15" s="111"/>
      <c r="G15" s="111"/>
      <c r="H15" s="112"/>
      <c r="I15" s="137"/>
      <c r="J15" s="286" t="s">
        <v>194</v>
      </c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8"/>
      <c r="W15" s="116">
        <f>+W14</f>
        <v>0.1740819209039548</v>
      </c>
      <c r="X15" s="117">
        <f>+X14</f>
        <v>0.1740819209039548</v>
      </c>
      <c r="Y15" s="115"/>
      <c r="Z15" s="116">
        <f>+Z14</f>
        <v>0.48022222222222222</v>
      </c>
      <c r="AA15" s="118"/>
      <c r="AB15" s="277"/>
      <c r="AC15" s="278" t="s">
        <v>200</v>
      </c>
      <c r="AD15" s="279"/>
      <c r="AE15" s="279"/>
      <c r="AF15" s="279"/>
      <c r="AG15" s="279"/>
      <c r="AH15" s="279"/>
      <c r="AI15" s="280"/>
      <c r="AJ15" s="138">
        <f>+AJ14</f>
        <v>0.1740819209039548</v>
      </c>
      <c r="AK15" s="139"/>
      <c r="AL15" s="139"/>
      <c r="AM15" s="110"/>
      <c r="AN15" s="110"/>
      <c r="AO15" s="110"/>
      <c r="AP15" s="109"/>
      <c r="AQ15" s="140"/>
      <c r="AR15" s="141"/>
      <c r="AS15" s="142"/>
      <c r="AT15" s="143"/>
      <c r="AU15" s="144"/>
      <c r="AV15" s="145"/>
      <c r="AW15" s="146"/>
      <c r="AX15" s="147"/>
      <c r="AY15" s="147"/>
      <c r="AZ15" s="148"/>
    </row>
    <row r="16" spans="1:54" ht="167.25" customHeight="1">
      <c r="A16" s="149" t="s">
        <v>4</v>
      </c>
      <c r="B16" s="150" t="s">
        <v>5</v>
      </c>
      <c r="C16" s="150" t="s">
        <v>9</v>
      </c>
      <c r="D16" s="150" t="s">
        <v>9</v>
      </c>
      <c r="E16" s="150" t="s">
        <v>9</v>
      </c>
      <c r="F16" s="150" t="s">
        <v>118</v>
      </c>
      <c r="G16" s="150" t="s">
        <v>118</v>
      </c>
      <c r="H16" s="150" t="s">
        <v>118</v>
      </c>
      <c r="I16" s="289" t="s">
        <v>10</v>
      </c>
      <c r="J16" s="88" t="s">
        <v>145</v>
      </c>
      <c r="K16" s="88" t="s">
        <v>146</v>
      </c>
      <c r="L16" s="88" t="s">
        <v>9</v>
      </c>
      <c r="M16" s="150" t="s">
        <v>147</v>
      </c>
      <c r="N16" s="150"/>
      <c r="O16" s="150" t="s">
        <v>111</v>
      </c>
      <c r="P16" s="88" t="s">
        <v>150</v>
      </c>
      <c r="Q16" s="89">
        <v>2</v>
      </c>
      <c r="R16" s="89" t="s">
        <v>137</v>
      </c>
      <c r="S16" s="89">
        <v>2</v>
      </c>
      <c r="T16" s="89" t="s">
        <v>137</v>
      </c>
      <c r="U16" s="89" t="s">
        <v>137</v>
      </c>
      <c r="V16" s="89" t="s">
        <v>137</v>
      </c>
      <c r="W16" s="90" t="s">
        <v>137</v>
      </c>
      <c r="X16" s="151" t="s">
        <v>137</v>
      </c>
      <c r="Y16" s="89">
        <f>S16</f>
        <v>2</v>
      </c>
      <c r="Z16" s="152">
        <f>Y16/Q16</f>
        <v>1</v>
      </c>
      <c r="AA16" s="153">
        <f>Z16</f>
        <v>1</v>
      </c>
      <c r="AB16" s="149" t="s">
        <v>137</v>
      </c>
      <c r="AC16" s="154"/>
      <c r="AD16" s="150" t="s">
        <v>137</v>
      </c>
      <c r="AE16" s="57" t="s">
        <v>137</v>
      </c>
      <c r="AF16" s="57" t="s">
        <v>137</v>
      </c>
      <c r="AG16" s="57" t="s">
        <v>137</v>
      </c>
      <c r="AH16" s="57" t="s">
        <v>137</v>
      </c>
      <c r="AI16" s="57" t="s">
        <v>137</v>
      </c>
      <c r="AJ16" s="57"/>
      <c r="AK16" s="57" t="s">
        <v>137</v>
      </c>
      <c r="AL16" s="57" t="s">
        <v>137</v>
      </c>
      <c r="AM16" s="57" t="s">
        <v>137</v>
      </c>
      <c r="AN16" s="57" t="s">
        <v>137</v>
      </c>
      <c r="AO16" s="57" t="s">
        <v>137</v>
      </c>
      <c r="AP16" s="57" t="s">
        <v>137</v>
      </c>
      <c r="AQ16" s="155" t="s">
        <v>137</v>
      </c>
      <c r="AR16" s="156" t="s">
        <v>137</v>
      </c>
      <c r="AS16" s="57" t="s">
        <v>137</v>
      </c>
      <c r="AT16" s="57" t="s">
        <v>137</v>
      </c>
      <c r="AU16" s="57" t="s">
        <v>137</v>
      </c>
      <c r="AV16" s="57"/>
      <c r="AW16" s="155" t="s">
        <v>137</v>
      </c>
      <c r="AX16" s="157"/>
      <c r="AY16" s="157"/>
      <c r="AZ16" s="158" t="s">
        <v>175</v>
      </c>
    </row>
    <row r="17" spans="1:52" ht="225" customHeight="1" thickBot="1">
      <c r="A17" s="159" t="s">
        <v>4</v>
      </c>
      <c r="B17" s="96" t="s">
        <v>5</v>
      </c>
      <c r="C17" s="96" t="s">
        <v>9</v>
      </c>
      <c r="D17" s="96" t="s">
        <v>9</v>
      </c>
      <c r="E17" s="96" t="s">
        <v>9</v>
      </c>
      <c r="F17" s="96" t="s">
        <v>118</v>
      </c>
      <c r="G17" s="96" t="s">
        <v>118</v>
      </c>
      <c r="H17" s="96" t="s">
        <v>118</v>
      </c>
      <c r="I17" s="290"/>
      <c r="J17" s="160" t="s">
        <v>172</v>
      </c>
      <c r="K17" s="160" t="s">
        <v>148</v>
      </c>
      <c r="L17" s="160" t="s">
        <v>9</v>
      </c>
      <c r="M17" s="265" t="s">
        <v>149</v>
      </c>
      <c r="N17" s="162" t="s">
        <v>111</v>
      </c>
      <c r="O17" s="162"/>
      <c r="P17" s="162" t="s">
        <v>151</v>
      </c>
      <c r="Q17" s="161">
        <v>10</v>
      </c>
      <c r="R17" s="161" t="s">
        <v>137</v>
      </c>
      <c r="S17" s="161" t="s">
        <v>137</v>
      </c>
      <c r="T17" s="161" t="s">
        <v>137</v>
      </c>
      <c r="U17" s="161" t="s">
        <v>137</v>
      </c>
      <c r="V17" s="161" t="str">
        <f>T17</f>
        <v>NP</v>
      </c>
      <c r="W17" s="163" t="s">
        <v>137</v>
      </c>
      <c r="X17" s="164" t="s">
        <v>137</v>
      </c>
      <c r="Y17" s="161" t="s">
        <v>137</v>
      </c>
      <c r="Z17" s="163" t="s">
        <v>137</v>
      </c>
      <c r="AA17" s="264" t="s">
        <v>137</v>
      </c>
      <c r="AB17" s="165" t="s">
        <v>137</v>
      </c>
      <c r="AC17" s="119"/>
      <c r="AD17" s="120" t="s">
        <v>137</v>
      </c>
      <c r="AE17" s="121" t="s">
        <v>137</v>
      </c>
      <c r="AF17" s="121" t="s">
        <v>137</v>
      </c>
      <c r="AG17" s="121" t="s">
        <v>137</v>
      </c>
      <c r="AH17" s="121" t="s">
        <v>137</v>
      </c>
      <c r="AI17" s="121" t="s">
        <v>137</v>
      </c>
      <c r="AJ17" s="121"/>
      <c r="AK17" s="121" t="s">
        <v>137</v>
      </c>
      <c r="AL17" s="121" t="s">
        <v>137</v>
      </c>
      <c r="AM17" s="121" t="s">
        <v>137</v>
      </c>
      <c r="AN17" s="121" t="s">
        <v>137</v>
      </c>
      <c r="AO17" s="121" t="s">
        <v>137</v>
      </c>
      <c r="AP17" s="121" t="s">
        <v>137</v>
      </c>
      <c r="AQ17" s="166" t="s">
        <v>137</v>
      </c>
      <c r="AR17" s="167" t="s">
        <v>137</v>
      </c>
      <c r="AS17" s="121" t="s">
        <v>137</v>
      </c>
      <c r="AT17" s="121" t="s">
        <v>137</v>
      </c>
      <c r="AU17" s="121" t="s">
        <v>137</v>
      </c>
      <c r="AV17" s="121"/>
      <c r="AW17" s="166" t="s">
        <v>137</v>
      </c>
      <c r="AX17" s="168"/>
      <c r="AY17" s="168"/>
      <c r="AZ17" s="169" t="s">
        <v>174</v>
      </c>
    </row>
    <row r="18" spans="1:52" ht="102.75" customHeight="1">
      <c r="A18" s="71"/>
      <c r="B18" s="72"/>
      <c r="C18" s="72"/>
      <c r="D18" s="72"/>
      <c r="E18" s="72"/>
      <c r="F18" s="72"/>
      <c r="G18" s="72"/>
      <c r="H18" s="72"/>
      <c r="I18" s="291"/>
      <c r="J18" s="292" t="s">
        <v>195</v>
      </c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4"/>
      <c r="W18" s="170"/>
      <c r="X18" s="171" t="str">
        <f>+X17</f>
        <v>NP</v>
      </c>
      <c r="Y18" s="172"/>
      <c r="Z18" s="170" t="str">
        <f>+Z17</f>
        <v>NP</v>
      </c>
      <c r="AA18" s="173">
        <f>+AA16</f>
        <v>1</v>
      </c>
      <c r="AB18" s="174"/>
      <c r="AC18" s="175"/>
      <c r="AD18" s="72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7"/>
      <c r="AR18" s="178"/>
      <c r="AS18" s="179"/>
      <c r="AT18" s="176"/>
      <c r="AU18" s="176"/>
      <c r="AV18" s="180"/>
      <c r="AW18" s="177"/>
      <c r="AX18" s="181"/>
      <c r="AY18" s="181"/>
      <c r="AZ18" s="182"/>
    </row>
    <row r="19" spans="1:52" ht="200.1" customHeight="1">
      <c r="A19" s="429" t="s">
        <v>4</v>
      </c>
      <c r="B19" s="341" t="s">
        <v>5</v>
      </c>
      <c r="C19" s="341" t="s">
        <v>9</v>
      </c>
      <c r="D19" s="341" t="s">
        <v>9</v>
      </c>
      <c r="E19" s="341" t="s">
        <v>9</v>
      </c>
      <c r="F19" s="341" t="s">
        <v>118</v>
      </c>
      <c r="G19" s="341" t="s">
        <v>118</v>
      </c>
      <c r="H19" s="431" t="s">
        <v>118</v>
      </c>
      <c r="I19" s="295" t="s">
        <v>68</v>
      </c>
      <c r="J19" s="183" t="s">
        <v>152</v>
      </c>
      <c r="K19" s="184" t="s">
        <v>153</v>
      </c>
      <c r="L19" s="184" t="s">
        <v>9</v>
      </c>
      <c r="M19" s="185" t="s">
        <v>154</v>
      </c>
      <c r="N19" s="185"/>
      <c r="O19" s="185" t="s">
        <v>111</v>
      </c>
      <c r="P19" s="185" t="s">
        <v>153</v>
      </c>
      <c r="Q19" s="186">
        <v>4</v>
      </c>
      <c r="R19" s="186" t="s">
        <v>137</v>
      </c>
      <c r="S19" s="186" t="s">
        <v>137</v>
      </c>
      <c r="T19" s="186" t="s">
        <v>137</v>
      </c>
      <c r="U19" s="186" t="s">
        <v>137</v>
      </c>
      <c r="V19" s="186" t="s">
        <v>137</v>
      </c>
      <c r="W19" s="187" t="s">
        <v>137</v>
      </c>
      <c r="X19" s="423">
        <f>AVERAGE(W20:W23)</f>
        <v>0.38529411764705879</v>
      </c>
      <c r="Y19" s="186" t="s">
        <v>137</v>
      </c>
      <c r="Z19" s="187" t="s">
        <v>137</v>
      </c>
      <c r="AA19" s="425">
        <f>AVERAGE(Z20:Z23)</f>
        <v>0.77222222222222214</v>
      </c>
      <c r="AB19" s="188" t="s">
        <v>137</v>
      </c>
      <c r="AC19" s="91"/>
      <c r="AD19" s="91" t="s">
        <v>137</v>
      </c>
      <c r="AE19" s="91" t="s">
        <v>137</v>
      </c>
      <c r="AF19" s="91" t="s">
        <v>137</v>
      </c>
      <c r="AG19" s="91" t="s">
        <v>137</v>
      </c>
      <c r="AH19" s="91" t="s">
        <v>137</v>
      </c>
      <c r="AI19" s="91" t="s">
        <v>137</v>
      </c>
      <c r="AJ19" s="91"/>
      <c r="AK19" s="91" t="s">
        <v>137</v>
      </c>
      <c r="AL19" s="91" t="s">
        <v>137</v>
      </c>
      <c r="AM19" s="91" t="s">
        <v>137</v>
      </c>
      <c r="AN19" s="91" t="s">
        <v>137</v>
      </c>
      <c r="AO19" s="91" t="s">
        <v>137</v>
      </c>
      <c r="AP19" s="91" t="s">
        <v>137</v>
      </c>
      <c r="AQ19" s="189" t="s">
        <v>137</v>
      </c>
      <c r="AR19" s="190" t="s">
        <v>137</v>
      </c>
      <c r="AS19" s="191" t="s">
        <v>137</v>
      </c>
      <c r="AT19" s="192" t="s">
        <v>137</v>
      </c>
      <c r="AU19" s="185" t="s">
        <v>137</v>
      </c>
      <c r="AV19" s="193" t="s">
        <v>137</v>
      </c>
      <c r="AW19" s="194" t="s">
        <v>137</v>
      </c>
      <c r="AX19" s="195"/>
      <c r="AY19" s="195"/>
      <c r="AZ19" s="196" t="s">
        <v>189</v>
      </c>
    </row>
    <row r="20" spans="1:52" ht="365.1" customHeight="1">
      <c r="A20" s="345"/>
      <c r="B20" s="267"/>
      <c r="C20" s="267"/>
      <c r="D20" s="267"/>
      <c r="E20" s="267"/>
      <c r="F20" s="267"/>
      <c r="G20" s="267"/>
      <c r="H20" s="432"/>
      <c r="I20" s="295"/>
      <c r="J20" s="197" t="s">
        <v>44</v>
      </c>
      <c r="K20" s="198" t="s">
        <v>65</v>
      </c>
      <c r="L20" s="198" t="s">
        <v>9</v>
      </c>
      <c r="M20" s="266" t="s">
        <v>53</v>
      </c>
      <c r="N20" s="199" t="s">
        <v>111</v>
      </c>
      <c r="O20" s="199"/>
      <c r="P20" s="199" t="s">
        <v>115</v>
      </c>
      <c r="Q20" s="172">
        <v>3</v>
      </c>
      <c r="R20" s="66">
        <v>1</v>
      </c>
      <c r="S20" s="66">
        <v>2</v>
      </c>
      <c r="T20" s="66">
        <v>0</v>
      </c>
      <c r="U20" s="200">
        <v>0.3</v>
      </c>
      <c r="V20" s="201">
        <f>SUM(T20:U20)</f>
        <v>0.3</v>
      </c>
      <c r="W20" s="202">
        <f>V20/R20</f>
        <v>0.3</v>
      </c>
      <c r="X20" s="404"/>
      <c r="Y20" s="201">
        <f>S20+V20</f>
        <v>2.2999999999999998</v>
      </c>
      <c r="Z20" s="202">
        <f>Y20/Q20</f>
        <v>0.76666666666666661</v>
      </c>
      <c r="AA20" s="426"/>
      <c r="AB20" s="267" t="s">
        <v>54</v>
      </c>
      <c r="AC20" s="203" t="s">
        <v>27</v>
      </c>
      <c r="AD20" s="185" t="s">
        <v>12</v>
      </c>
      <c r="AE20" s="91" t="s">
        <v>86</v>
      </c>
      <c r="AF20" s="91" t="s">
        <v>160</v>
      </c>
      <c r="AG20" s="92">
        <f>R20</f>
        <v>1</v>
      </c>
      <c r="AH20" s="204">
        <f>V20</f>
        <v>0.3</v>
      </c>
      <c r="AI20" s="93">
        <f>AG20/SUM(AG20:AG23)</f>
        <v>0.16393442622950821</v>
      </c>
      <c r="AJ20" s="68">
        <f t="shared" ref="AJ20" si="1">+(AH20*AI20)/AG20</f>
        <v>4.9180327868852465E-2</v>
      </c>
      <c r="AK20" s="94" t="s">
        <v>103</v>
      </c>
      <c r="AL20" s="94" t="s">
        <v>127</v>
      </c>
      <c r="AM20" s="92">
        <v>360</v>
      </c>
      <c r="AN20" s="92">
        <f>70822*4</f>
        <v>283288</v>
      </c>
      <c r="AO20" s="92">
        <f>AN20</f>
        <v>283288</v>
      </c>
      <c r="AP20" s="185" t="s">
        <v>69</v>
      </c>
      <c r="AQ20" s="205" t="s">
        <v>213</v>
      </c>
      <c r="AR20" s="190" t="s">
        <v>67</v>
      </c>
      <c r="AS20" s="206">
        <f>62000000+82078418.72</f>
        <v>144078418.72</v>
      </c>
      <c r="AT20" s="192" t="s">
        <v>72</v>
      </c>
      <c r="AU20" s="185" t="s">
        <v>54</v>
      </c>
      <c r="AV20" s="207" t="s">
        <v>80</v>
      </c>
      <c r="AW20" s="194">
        <v>59614885</v>
      </c>
      <c r="AX20" s="134">
        <v>144078418.72</v>
      </c>
      <c r="AY20" s="135">
        <v>62000000</v>
      </c>
      <c r="AZ20" s="208" t="s">
        <v>190</v>
      </c>
    </row>
    <row r="21" spans="1:52" ht="96">
      <c r="A21" s="345"/>
      <c r="B21" s="267"/>
      <c r="C21" s="267"/>
      <c r="D21" s="267"/>
      <c r="E21" s="267"/>
      <c r="F21" s="267"/>
      <c r="G21" s="267"/>
      <c r="H21" s="432"/>
      <c r="I21" s="295"/>
      <c r="J21" s="197" t="s">
        <v>157</v>
      </c>
      <c r="K21" s="198" t="s">
        <v>155</v>
      </c>
      <c r="L21" s="198" t="s">
        <v>9</v>
      </c>
      <c r="M21" s="199" t="s">
        <v>156</v>
      </c>
      <c r="N21" s="199"/>
      <c r="O21" s="199" t="s">
        <v>111</v>
      </c>
      <c r="P21" s="199" t="s">
        <v>158</v>
      </c>
      <c r="Q21" s="172">
        <v>1</v>
      </c>
      <c r="R21" s="66" t="s">
        <v>137</v>
      </c>
      <c r="S21" s="66">
        <v>1</v>
      </c>
      <c r="T21" s="66" t="s">
        <v>137</v>
      </c>
      <c r="U21" s="66" t="s">
        <v>137</v>
      </c>
      <c r="V21" s="66" t="s">
        <v>137</v>
      </c>
      <c r="W21" s="202" t="s">
        <v>137</v>
      </c>
      <c r="X21" s="404"/>
      <c r="Y21" s="66">
        <f>S21</f>
        <v>1</v>
      </c>
      <c r="Z21" s="209">
        <f>Y21/Q21</f>
        <v>1</v>
      </c>
      <c r="AA21" s="426"/>
      <c r="AB21" s="267"/>
      <c r="AC21" s="210"/>
      <c r="AD21" s="185" t="s">
        <v>137</v>
      </c>
      <c r="AE21" s="91" t="s">
        <v>137</v>
      </c>
      <c r="AF21" s="91" t="s">
        <v>137</v>
      </c>
      <c r="AG21" s="91" t="s">
        <v>137</v>
      </c>
      <c r="AH21" s="91" t="s">
        <v>137</v>
      </c>
      <c r="AI21" s="91" t="s">
        <v>137</v>
      </c>
      <c r="AJ21" s="91"/>
      <c r="AK21" s="91" t="s">
        <v>137</v>
      </c>
      <c r="AL21" s="91" t="s">
        <v>137</v>
      </c>
      <c r="AM21" s="91" t="s">
        <v>137</v>
      </c>
      <c r="AN21" s="91" t="s">
        <v>137</v>
      </c>
      <c r="AO21" s="91" t="s">
        <v>137</v>
      </c>
      <c r="AP21" s="91" t="s">
        <v>137</v>
      </c>
      <c r="AQ21" s="189" t="s">
        <v>137</v>
      </c>
      <c r="AR21" s="211" t="s">
        <v>137</v>
      </c>
      <c r="AS21" s="212" t="s">
        <v>137</v>
      </c>
      <c r="AT21" s="213" t="s">
        <v>137</v>
      </c>
      <c r="AU21" s="199" t="s">
        <v>137</v>
      </c>
      <c r="AV21" s="214" t="s">
        <v>137</v>
      </c>
      <c r="AW21" s="215" t="s">
        <v>137</v>
      </c>
      <c r="AX21" s="216"/>
      <c r="AY21" s="216"/>
      <c r="AZ21" s="217" t="s">
        <v>175</v>
      </c>
    </row>
    <row r="22" spans="1:52" ht="107.25" customHeight="1">
      <c r="A22" s="430"/>
      <c r="B22" s="317"/>
      <c r="C22" s="317"/>
      <c r="D22" s="317"/>
      <c r="E22" s="317"/>
      <c r="F22" s="317"/>
      <c r="G22" s="317"/>
      <c r="H22" s="433"/>
      <c r="I22" s="295"/>
      <c r="J22" s="218"/>
      <c r="K22" s="160"/>
      <c r="L22" s="160"/>
      <c r="M22" s="162"/>
      <c r="N22" s="162"/>
      <c r="O22" s="162"/>
      <c r="P22" s="162"/>
      <c r="Q22" s="161"/>
      <c r="R22" s="70"/>
      <c r="S22" s="70"/>
      <c r="T22" s="70"/>
      <c r="U22" s="70"/>
      <c r="V22" s="70"/>
      <c r="W22" s="219"/>
      <c r="X22" s="424"/>
      <c r="Y22" s="70"/>
      <c r="Z22" s="220"/>
      <c r="AA22" s="427"/>
      <c r="AB22" s="267"/>
      <c r="AC22" s="273" t="s">
        <v>201</v>
      </c>
      <c r="AD22" s="274"/>
      <c r="AE22" s="274"/>
      <c r="AF22" s="274"/>
      <c r="AG22" s="274"/>
      <c r="AH22" s="274"/>
      <c r="AI22" s="275"/>
      <c r="AJ22" s="221">
        <f>+AJ20</f>
        <v>4.9180327868852465E-2</v>
      </c>
      <c r="AK22" s="62"/>
      <c r="AL22" s="62"/>
      <c r="AM22" s="62"/>
      <c r="AN22" s="62"/>
      <c r="AO22" s="62"/>
      <c r="AP22" s="62"/>
      <c r="AQ22" s="177"/>
      <c r="AR22" s="81"/>
      <c r="AS22" s="222"/>
      <c r="AT22" s="83"/>
      <c r="AU22" s="72"/>
      <c r="AV22" s="223"/>
      <c r="AW22" s="224"/>
      <c r="AX22" s="224"/>
      <c r="AY22" s="224"/>
      <c r="AZ22" s="225"/>
    </row>
    <row r="23" spans="1:52" ht="306" customHeight="1" thickBot="1">
      <c r="A23" s="343"/>
      <c r="B23" s="344"/>
      <c r="C23" s="344"/>
      <c r="D23" s="344"/>
      <c r="E23" s="344"/>
      <c r="F23" s="344"/>
      <c r="G23" s="344"/>
      <c r="H23" s="434"/>
      <c r="I23" s="295"/>
      <c r="J23" s="218" t="s">
        <v>43</v>
      </c>
      <c r="K23" s="160" t="s">
        <v>66</v>
      </c>
      <c r="L23" s="160" t="s">
        <v>9</v>
      </c>
      <c r="M23" s="162" t="s">
        <v>55</v>
      </c>
      <c r="N23" s="162" t="s">
        <v>111</v>
      </c>
      <c r="O23" s="162"/>
      <c r="P23" s="162" t="s">
        <v>116</v>
      </c>
      <c r="Q23" s="161">
        <v>6</v>
      </c>
      <c r="R23" s="226">
        <v>5.0999999999999996</v>
      </c>
      <c r="S23" s="226">
        <v>0.9</v>
      </c>
      <c r="T23" s="226">
        <v>0.3</v>
      </c>
      <c r="U23" s="226">
        <v>2.1</v>
      </c>
      <c r="V23" s="226">
        <f>SUM(T23:U23)</f>
        <v>2.4</v>
      </c>
      <c r="W23" s="219">
        <f>V23/R23</f>
        <v>0.47058823529411764</v>
      </c>
      <c r="X23" s="424"/>
      <c r="Y23" s="226">
        <f>S23+V23</f>
        <v>3.3</v>
      </c>
      <c r="Z23" s="219">
        <f>Y23/Q23</f>
        <v>0.54999999999999993</v>
      </c>
      <c r="AA23" s="428"/>
      <c r="AB23" s="71" t="s">
        <v>56</v>
      </c>
      <c r="AC23" s="175" t="s">
        <v>28</v>
      </c>
      <c r="AD23" s="72" t="s">
        <v>57</v>
      </c>
      <c r="AE23" s="176" t="s">
        <v>70</v>
      </c>
      <c r="AF23" s="176" t="s">
        <v>134</v>
      </c>
      <c r="AG23" s="227">
        <f>R23</f>
        <v>5.0999999999999996</v>
      </c>
      <c r="AH23" s="227">
        <f>V23</f>
        <v>2.4</v>
      </c>
      <c r="AI23" s="60">
        <f>AG23/SUM(AG20:AG23)</f>
        <v>0.83606557377049184</v>
      </c>
      <c r="AJ23" s="68">
        <f t="shared" ref="AJ23" si="2">+(AH23*AI23)/AG23</f>
        <v>0.39344262295081966</v>
      </c>
      <c r="AK23" s="228" t="s">
        <v>103</v>
      </c>
      <c r="AL23" s="228" t="s">
        <v>127</v>
      </c>
      <c r="AM23" s="73">
        <v>360</v>
      </c>
      <c r="AN23" s="122">
        <f>19258*4</f>
        <v>77032</v>
      </c>
      <c r="AO23" s="122">
        <f>AN23</f>
        <v>77032</v>
      </c>
      <c r="AP23" s="120" t="s">
        <v>69</v>
      </c>
      <c r="AQ23" s="229" t="s">
        <v>213</v>
      </c>
      <c r="AR23" s="230" t="s">
        <v>67</v>
      </c>
      <c r="AS23" s="231">
        <v>177538554</v>
      </c>
      <c r="AT23" s="232" t="s">
        <v>72</v>
      </c>
      <c r="AU23" s="72" t="s">
        <v>56</v>
      </c>
      <c r="AV23" s="104" t="s">
        <v>81</v>
      </c>
      <c r="AW23" s="233">
        <v>163200000</v>
      </c>
      <c r="AX23" s="234">
        <v>177538554</v>
      </c>
      <c r="AY23" s="234">
        <v>177538554</v>
      </c>
      <c r="AZ23" s="235" t="s">
        <v>214</v>
      </c>
    </row>
    <row r="24" spans="1:52" ht="24.75" thickBot="1">
      <c r="A24" s="236" t="s">
        <v>215</v>
      </c>
      <c r="I24" s="295"/>
      <c r="J24" s="296" t="s">
        <v>196</v>
      </c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38">
        <f>AVERAGE(W19:W23)</f>
        <v>0.38529411764705879</v>
      </c>
      <c r="X24" s="239"/>
      <c r="Y24" s="240"/>
      <c r="Z24" s="238">
        <f>AVERAGE(Z19:Z23)</f>
        <v>0.77222222222222214</v>
      </c>
      <c r="AA24" s="239"/>
      <c r="AB24" s="241" t="s">
        <v>215</v>
      </c>
      <c r="AC24" s="268" t="s">
        <v>202</v>
      </c>
      <c r="AD24" s="268"/>
      <c r="AE24" s="268"/>
      <c r="AF24" s="268"/>
      <c r="AG24" s="268"/>
      <c r="AH24" s="268"/>
      <c r="AI24" s="268"/>
      <c r="AJ24" s="242">
        <f>AVERAGE(AJ23)</f>
        <v>0.39344262295081966</v>
      </c>
      <c r="AK24" s="243"/>
      <c r="AL24" s="243"/>
      <c r="AM24" s="244"/>
      <c r="AR24" s="246" t="s">
        <v>135</v>
      </c>
      <c r="AS24" s="247">
        <f>SUM(AS6:AS23)</f>
        <v>12159080795.719999</v>
      </c>
      <c r="AT24" s="270" t="s">
        <v>173</v>
      </c>
      <c r="AU24" s="271"/>
      <c r="AV24" s="272"/>
      <c r="AW24" s="248">
        <f>SUM(AW6:AW23)</f>
        <v>924125826</v>
      </c>
      <c r="AX24" s="248"/>
      <c r="AY24" s="248"/>
    </row>
    <row r="25" spans="1:52" ht="99" customHeight="1">
      <c r="W25" s="250" t="s">
        <v>159</v>
      </c>
      <c r="X25" s="251">
        <f>AVERAGE(X6,X11,X14,X16,X19)</f>
        <v>0.14059875273472155</v>
      </c>
      <c r="Y25" s="252"/>
      <c r="Z25" s="187" t="s">
        <v>136</v>
      </c>
      <c r="AA25" s="251">
        <f>AVERAGE(AA6,AA11,AA14,AA16,AA19)</f>
        <v>0.65883888888888886</v>
      </c>
      <c r="AS25" s="269"/>
      <c r="AT25" s="269"/>
      <c r="AU25" s="269"/>
      <c r="AV25" s="267" t="s">
        <v>205</v>
      </c>
      <c r="AW25" s="267"/>
      <c r="AX25" s="254">
        <f>SUM(AX6:AX24)</f>
        <v>8366080794.7200003</v>
      </c>
      <c r="AY25" s="254">
        <f>SUM(AY6:AY24)</f>
        <v>8177302192</v>
      </c>
    </row>
    <row r="26" spans="1:52" ht="73.5" customHeight="1">
      <c r="AV26" s="268" t="s">
        <v>204</v>
      </c>
      <c r="AW26" s="268"/>
      <c r="AX26" s="258">
        <f>+AX25/AS24</f>
        <v>0.68805207690246317</v>
      </c>
      <c r="AY26" s="259">
        <f>+AY25/AS24</f>
        <v>0.67252634712966242</v>
      </c>
    </row>
  </sheetData>
  <mergeCells count="178">
    <mergeCell ref="AX4:AX5"/>
    <mergeCell ref="AX6:AX9"/>
    <mergeCell ref="AX11:AX12"/>
    <mergeCell ref="X19:X23"/>
    <mergeCell ref="AA19:AA23"/>
    <mergeCell ref="A19:A23"/>
    <mergeCell ref="B19:B23"/>
    <mergeCell ref="C19:C23"/>
    <mergeCell ref="D19:D23"/>
    <mergeCell ref="E19:E23"/>
    <mergeCell ref="F19:F23"/>
    <mergeCell ref="G19:G23"/>
    <mergeCell ref="H19:H23"/>
    <mergeCell ref="AA11:AA12"/>
    <mergeCell ref="W8:W9"/>
    <mergeCell ref="L11:L12"/>
    <mergeCell ref="C6:C9"/>
    <mergeCell ref="F8:F9"/>
    <mergeCell ref="C11:C12"/>
    <mergeCell ref="F11:F12"/>
    <mergeCell ref="F6:F7"/>
    <mergeCell ref="D11:D12"/>
    <mergeCell ref="K8:K9"/>
    <mergeCell ref="D6:D9"/>
    <mergeCell ref="R8:R9"/>
    <mergeCell ref="K6:K7"/>
    <mergeCell ref="Q8:Q9"/>
    <mergeCell ref="Q6:Q7"/>
    <mergeCell ref="M6:M7"/>
    <mergeCell ref="M8:M9"/>
    <mergeCell ref="L6:L9"/>
    <mergeCell ref="P6:P7"/>
    <mergeCell ref="N6:N7"/>
    <mergeCell ref="O6:O7"/>
    <mergeCell ref="AC4:AC5"/>
    <mergeCell ref="AV4:AV5"/>
    <mergeCell ref="AF4:AF5"/>
    <mergeCell ref="AG4:AG5"/>
    <mergeCell ref="AI4:AI5"/>
    <mergeCell ref="AK4:AK5"/>
    <mergeCell ref="AL4:AL5"/>
    <mergeCell ref="X4:X5"/>
    <mergeCell ref="Y4:Y5"/>
    <mergeCell ref="AJ4:AJ5"/>
    <mergeCell ref="AV11:AV12"/>
    <mergeCell ref="AQ6:AQ9"/>
    <mergeCell ref="AC6:AC9"/>
    <mergeCell ref="AD6:AD9"/>
    <mergeCell ref="AN6:AN9"/>
    <mergeCell ref="AN11:AN12"/>
    <mergeCell ref="AO11:AO12"/>
    <mergeCell ref="AO6:AO9"/>
    <mergeCell ref="AC10:AI10"/>
    <mergeCell ref="G6:G7"/>
    <mergeCell ref="H6:H7"/>
    <mergeCell ref="G8:G9"/>
    <mergeCell ref="G11:G12"/>
    <mergeCell ref="X11:X12"/>
    <mergeCell ref="N11:N12"/>
    <mergeCell ref="O11:O12"/>
    <mergeCell ref="P11:P12"/>
    <mergeCell ref="V6:V7"/>
    <mergeCell ref="W6:W7"/>
    <mergeCell ref="V8:V9"/>
    <mergeCell ref="N8:N9"/>
    <mergeCell ref="O8:O9"/>
    <mergeCell ref="P8:P9"/>
    <mergeCell ref="I6:I10"/>
    <mergeCell ref="J10:V10"/>
    <mergeCell ref="I11:I13"/>
    <mergeCell ref="J13:V13"/>
    <mergeCell ref="T8:T9"/>
    <mergeCell ref="S6:S7"/>
    <mergeCell ref="S8:S9"/>
    <mergeCell ref="X6:X9"/>
    <mergeCell ref="T6:T7"/>
    <mergeCell ref="R6:R7"/>
    <mergeCell ref="AB1:AZ1"/>
    <mergeCell ref="AM4:AM5"/>
    <mergeCell ref="AN4:AN5"/>
    <mergeCell ref="E6:E9"/>
    <mergeCell ref="E11:E12"/>
    <mergeCell ref="AR6:AR9"/>
    <mergeCell ref="AS6:AS9"/>
    <mergeCell ref="AT6:AT9"/>
    <mergeCell ref="AV6:AV9"/>
    <mergeCell ref="AS11:AS12"/>
    <mergeCell ref="AT11:AT12"/>
    <mergeCell ref="AO4:AO5"/>
    <mergeCell ref="AP4:AP5"/>
    <mergeCell ref="AQ4:AQ5"/>
    <mergeCell ref="AR4:AR5"/>
    <mergeCell ref="AS4:AS5"/>
    <mergeCell ref="H8:H9"/>
    <mergeCell ref="AB4:AB5"/>
    <mergeCell ref="T4:T5"/>
    <mergeCell ref="S4:S5"/>
    <mergeCell ref="F4:F5"/>
    <mergeCell ref="G4:G5"/>
    <mergeCell ref="AA4:AA5"/>
    <mergeCell ref="H11:H12"/>
    <mergeCell ref="A1:AA1"/>
    <mergeCell ref="A3:AA3"/>
    <mergeCell ref="C4:C5"/>
    <mergeCell ref="D4:D5"/>
    <mergeCell ref="Z4:Z5"/>
    <mergeCell ref="V4:V5"/>
    <mergeCell ref="W4:W5"/>
    <mergeCell ref="I4:I5"/>
    <mergeCell ref="J4:J5"/>
    <mergeCell ref="K4:K5"/>
    <mergeCell ref="L4:L5"/>
    <mergeCell ref="M4:M5"/>
    <mergeCell ref="N4:O4"/>
    <mergeCell ref="P4:P5"/>
    <mergeCell ref="Q4:Q5"/>
    <mergeCell ref="R4:R5"/>
    <mergeCell ref="E4:E5"/>
    <mergeCell ref="A4:A5"/>
    <mergeCell ref="B4:B5"/>
    <mergeCell ref="AZ3:AZ5"/>
    <mergeCell ref="AZ6:AZ9"/>
    <mergeCell ref="AZ11:AZ12"/>
    <mergeCell ref="A2:AA2"/>
    <mergeCell ref="AH4:AH5"/>
    <mergeCell ref="AW4:AW5"/>
    <mergeCell ref="AW6:AW9"/>
    <mergeCell ref="AW11:AW12"/>
    <mergeCell ref="AR3:AW3"/>
    <mergeCell ref="AB2:AZ2"/>
    <mergeCell ref="AT4:AT5"/>
    <mergeCell ref="AU4:AU5"/>
    <mergeCell ref="AB3:AQ3"/>
    <mergeCell ref="AD4:AD5"/>
    <mergeCell ref="AE4:AE5"/>
    <mergeCell ref="AC11:AC12"/>
    <mergeCell ref="AP11:AP12"/>
    <mergeCell ref="H4:H5"/>
    <mergeCell ref="AD11:AD12"/>
    <mergeCell ref="AP6:AP9"/>
    <mergeCell ref="A11:A12"/>
    <mergeCell ref="B11:B12"/>
    <mergeCell ref="A6:A9"/>
    <mergeCell ref="B6:B9"/>
    <mergeCell ref="AY4:AY5"/>
    <mergeCell ref="AY6:AY9"/>
    <mergeCell ref="AY11:AY12"/>
    <mergeCell ref="J15:V15"/>
    <mergeCell ref="I16:I18"/>
    <mergeCell ref="J18:V18"/>
    <mergeCell ref="I19:I24"/>
    <mergeCell ref="J24:V24"/>
    <mergeCell ref="AB6:AB10"/>
    <mergeCell ref="AB11:AB13"/>
    <mergeCell ref="U4:U5"/>
    <mergeCell ref="U6:U7"/>
    <mergeCell ref="U8:U9"/>
    <mergeCell ref="J6:J7"/>
    <mergeCell ref="J8:J9"/>
    <mergeCell ref="AA6:AA9"/>
    <mergeCell ref="Z6:Z7"/>
    <mergeCell ref="Z8:Z9"/>
    <mergeCell ref="Y6:Y7"/>
    <mergeCell ref="Y8:Y9"/>
    <mergeCell ref="AQ11:AQ12"/>
    <mergeCell ref="AU6:AU9"/>
    <mergeCell ref="AR11:AR12"/>
    <mergeCell ref="AU11:AU12"/>
    <mergeCell ref="AV25:AW25"/>
    <mergeCell ref="AV26:AW26"/>
    <mergeCell ref="AS25:AU25"/>
    <mergeCell ref="AT24:AV24"/>
    <mergeCell ref="AC13:AI13"/>
    <mergeCell ref="AB14:AB15"/>
    <mergeCell ref="AC15:AI15"/>
    <mergeCell ref="AB20:AB22"/>
    <mergeCell ref="AC22:AI22"/>
    <mergeCell ref="AC24:AI24"/>
  </mergeCells>
  <printOptions horizontalCentered="1"/>
  <pageMargins left="0.1" right="0.1" top="0.5" bottom="0.25" header="0.3" footer="0.3"/>
  <pageSetup paperSize="14" scale="39" pageOrder="overThenDown" orientation="landscape" horizontalDpi="4294967293" verticalDpi="4294967293" r:id="rId1"/>
  <headerFooter>
    <oddFooter>&amp;C&amp;"Calibri,Normal"&amp;16&amp;K000000Página &amp;P de &amp;N</oddFooter>
  </headerFooter>
  <colBreaks count="1" manualBreakCount="1">
    <brk id="27" max="18" man="1"/>
  </colBreaks>
  <ignoredErrors>
    <ignoredError sqref="X6 AA6 V6:V9" emptyCellReference="1"/>
    <ignoredError sqref="V14 V20 V23 V11:V12" formulaRange="1"/>
    <ignoredError sqref="Y2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"/>
  <sheetViews>
    <sheetView topLeftCell="A7" workbookViewId="0">
      <selection activeCell="G11" sqref="G11:H14"/>
    </sheetView>
  </sheetViews>
  <sheetFormatPr baseColWidth="10" defaultRowHeight="15"/>
  <cols>
    <col min="2" max="2" width="12.85546875" customWidth="1"/>
    <col min="3" max="3" width="19.28515625" customWidth="1"/>
    <col min="4" max="4" width="15.85546875" customWidth="1"/>
    <col min="5" max="5" width="14" bestFit="1" customWidth="1"/>
    <col min="6" max="6" width="22.85546875" customWidth="1"/>
    <col min="9" max="9" width="15.85546875" customWidth="1"/>
    <col min="10" max="10" width="12.85546875" customWidth="1"/>
    <col min="11" max="11" width="14.85546875" customWidth="1"/>
    <col min="12" max="12" width="13.85546875" style="40" customWidth="1"/>
    <col min="13" max="13" width="14.28515625" customWidth="1"/>
  </cols>
  <sheetData>
    <row r="2" spans="2:13" ht="15.75" thickBot="1"/>
    <row r="3" spans="2:13" ht="45.95" customHeight="1">
      <c r="B3" s="457" t="s">
        <v>1</v>
      </c>
      <c r="C3" s="459" t="s">
        <v>177</v>
      </c>
      <c r="D3" s="459" t="s">
        <v>183</v>
      </c>
      <c r="E3" s="459" t="s">
        <v>176</v>
      </c>
      <c r="F3" s="438" t="s">
        <v>178</v>
      </c>
      <c r="G3" s="440" t="s">
        <v>91</v>
      </c>
      <c r="H3" s="440"/>
      <c r="I3" s="440" t="s">
        <v>182</v>
      </c>
      <c r="J3" s="442" t="s">
        <v>93</v>
      </c>
      <c r="K3" s="442" t="s">
        <v>179</v>
      </c>
      <c r="L3" s="465" t="s">
        <v>180</v>
      </c>
      <c r="M3" s="461" t="s">
        <v>181</v>
      </c>
    </row>
    <row r="4" spans="2:13" ht="15" customHeight="1" thickBot="1">
      <c r="B4" s="458"/>
      <c r="C4" s="460"/>
      <c r="D4" s="460"/>
      <c r="E4" s="460"/>
      <c r="F4" s="439"/>
      <c r="G4" s="41" t="s">
        <v>187</v>
      </c>
      <c r="H4" s="41" t="s">
        <v>188</v>
      </c>
      <c r="I4" s="441"/>
      <c r="J4" s="443"/>
      <c r="K4" s="443"/>
      <c r="L4" s="466"/>
      <c r="M4" s="462"/>
    </row>
    <row r="5" spans="2:13" ht="94.5">
      <c r="B5" s="444" t="s">
        <v>6</v>
      </c>
      <c r="C5" s="34" t="s">
        <v>8</v>
      </c>
      <c r="D5" s="35" t="s">
        <v>61</v>
      </c>
      <c r="E5" s="455" t="s">
        <v>33</v>
      </c>
      <c r="F5" s="37" t="s">
        <v>47</v>
      </c>
      <c r="G5" s="39" t="s">
        <v>111</v>
      </c>
      <c r="H5" s="37"/>
      <c r="I5" s="38" t="s">
        <v>110</v>
      </c>
      <c r="J5" s="36">
        <v>5000</v>
      </c>
      <c r="K5" s="3">
        <f>'JUNIO 2023'!Y6</f>
        <v>2570</v>
      </c>
      <c r="L5" s="21">
        <f>'JUNIO 2023'!Z6</f>
        <v>0.51400000000000001</v>
      </c>
      <c r="M5" s="463">
        <f>'JUNIO 2023'!AA6</f>
        <v>0.58774999999999999</v>
      </c>
    </row>
    <row r="6" spans="2:13" ht="189.75" thickBot="1">
      <c r="B6" s="445"/>
      <c r="C6" s="42" t="s">
        <v>13</v>
      </c>
      <c r="D6" s="43" t="s">
        <v>31</v>
      </c>
      <c r="E6" s="456"/>
      <c r="F6" s="44" t="s">
        <v>74</v>
      </c>
      <c r="G6" s="45" t="s">
        <v>111</v>
      </c>
      <c r="H6" s="46"/>
      <c r="I6" s="47" t="s">
        <v>112</v>
      </c>
      <c r="J6" s="48">
        <v>4000</v>
      </c>
      <c r="K6" s="48">
        <f>'JUNIO 2023'!Y8</f>
        <v>2646</v>
      </c>
      <c r="L6" s="50">
        <f>'JUNIO 2023'!Z8</f>
        <v>0.66149999999999998</v>
      </c>
      <c r="M6" s="464"/>
    </row>
    <row r="7" spans="2:13" ht="78.75">
      <c r="B7" s="444" t="s">
        <v>7</v>
      </c>
      <c r="C7" s="6" t="s">
        <v>35</v>
      </c>
      <c r="D7" s="4" t="s">
        <v>62</v>
      </c>
      <c r="E7" s="447" t="s">
        <v>32</v>
      </c>
      <c r="F7" s="5" t="s">
        <v>37</v>
      </c>
      <c r="G7" s="449" t="s">
        <v>111</v>
      </c>
      <c r="H7" s="451"/>
      <c r="I7" s="453" t="s">
        <v>113</v>
      </c>
      <c r="J7" s="3">
        <v>3500</v>
      </c>
      <c r="K7" s="3">
        <f>'JUNIO 2023'!Y11</f>
        <v>2002</v>
      </c>
      <c r="L7" s="21">
        <f>'JUNIO 2023'!Z11</f>
        <v>0.57199999999999995</v>
      </c>
      <c r="M7" s="463">
        <f>'JUNIO 2023'!AA11</f>
        <v>0.45400000000000001</v>
      </c>
    </row>
    <row r="8" spans="2:13" ht="79.5" thickBot="1">
      <c r="B8" s="446"/>
      <c r="C8" s="26" t="s">
        <v>36</v>
      </c>
      <c r="D8" s="27" t="s">
        <v>63</v>
      </c>
      <c r="E8" s="448"/>
      <c r="F8" s="28" t="s">
        <v>38</v>
      </c>
      <c r="G8" s="450"/>
      <c r="H8" s="452"/>
      <c r="I8" s="454"/>
      <c r="J8" s="10">
        <v>1000</v>
      </c>
      <c r="K8" s="10">
        <f>'JUNIO 2023'!Y12</f>
        <v>41</v>
      </c>
      <c r="L8" s="11">
        <f>'JUNIO 2023'!Z12</f>
        <v>4.1000000000000002E-2</v>
      </c>
      <c r="M8" s="467"/>
    </row>
    <row r="9" spans="2:13" ht="79.5" thickBot="1">
      <c r="B9" s="8" t="s">
        <v>41</v>
      </c>
      <c r="C9" s="14" t="s">
        <v>50</v>
      </c>
      <c r="D9" s="15" t="s">
        <v>64</v>
      </c>
      <c r="E9" s="9" t="s">
        <v>39</v>
      </c>
      <c r="F9" s="16" t="s">
        <v>42</v>
      </c>
      <c r="G9" s="49" t="s">
        <v>111</v>
      </c>
    </row>
    <row r="10" spans="2:13" ht="170.1" customHeight="1" thickBot="1">
      <c r="B10" s="19" t="s">
        <v>10</v>
      </c>
      <c r="C10" s="53" t="s">
        <v>145</v>
      </c>
      <c r="D10" s="20" t="s">
        <v>146</v>
      </c>
      <c r="E10" s="30" t="s">
        <v>9</v>
      </c>
      <c r="F10" s="52" t="s">
        <v>147</v>
      </c>
      <c r="G10" s="51"/>
      <c r="H10" s="49" t="s">
        <v>111</v>
      </c>
    </row>
    <row r="11" spans="2:13" ht="157.5">
      <c r="B11" s="435" t="s">
        <v>68</v>
      </c>
      <c r="C11" s="12" t="s">
        <v>152</v>
      </c>
      <c r="D11" s="12" t="s">
        <v>153</v>
      </c>
      <c r="E11" s="33" t="s">
        <v>9</v>
      </c>
      <c r="F11" s="13" t="s">
        <v>154</v>
      </c>
      <c r="G11" s="7"/>
      <c r="H11" s="7" t="s">
        <v>111</v>
      </c>
    </row>
    <row r="12" spans="2:13" ht="157.5">
      <c r="B12" s="436"/>
      <c r="C12" s="23" t="s">
        <v>44</v>
      </c>
      <c r="D12" s="24" t="s">
        <v>65</v>
      </c>
      <c r="E12" s="31" t="s">
        <v>9</v>
      </c>
      <c r="F12" s="25" t="s">
        <v>53</v>
      </c>
      <c r="G12" s="18" t="s">
        <v>111</v>
      </c>
      <c r="H12" s="25"/>
    </row>
    <row r="13" spans="2:13" ht="141.75">
      <c r="B13" s="436"/>
      <c r="C13" s="29" t="s">
        <v>157</v>
      </c>
      <c r="D13" s="29" t="s">
        <v>155</v>
      </c>
      <c r="E13" s="31" t="s">
        <v>9</v>
      </c>
      <c r="F13" s="17" t="s">
        <v>156</v>
      </c>
      <c r="G13" s="18"/>
      <c r="H13" s="18" t="s">
        <v>111</v>
      </c>
    </row>
    <row r="14" spans="2:13" ht="142.5" thickBot="1">
      <c r="B14" s="437"/>
      <c r="C14" s="26" t="s">
        <v>43</v>
      </c>
      <c r="D14" s="27" t="s">
        <v>66</v>
      </c>
      <c r="E14" s="32" t="s">
        <v>9</v>
      </c>
      <c r="F14" s="28" t="s">
        <v>55</v>
      </c>
      <c r="G14" s="22" t="s">
        <v>111</v>
      </c>
      <c r="H14" s="28"/>
    </row>
  </sheetData>
  <mergeCells count="21">
    <mergeCell ref="M3:M4"/>
    <mergeCell ref="M5:M6"/>
    <mergeCell ref="L3:L4"/>
    <mergeCell ref="M7:M8"/>
    <mergeCell ref="K3:K4"/>
    <mergeCell ref="B11:B14"/>
    <mergeCell ref="F3:F4"/>
    <mergeCell ref="G3:H3"/>
    <mergeCell ref="I3:I4"/>
    <mergeCell ref="J3:J4"/>
    <mergeCell ref="B5:B6"/>
    <mergeCell ref="B7:B8"/>
    <mergeCell ref="E7:E8"/>
    <mergeCell ref="G7:G8"/>
    <mergeCell ref="H7:H8"/>
    <mergeCell ref="I7:I8"/>
    <mergeCell ref="E5:E6"/>
    <mergeCell ref="B3:B4"/>
    <mergeCell ref="C3:C4"/>
    <mergeCell ref="D3:D4"/>
    <mergeCell ref="E3:E4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JUNIO 2023</vt:lpstr>
      <vt:lpstr>Hoja1</vt:lpstr>
      <vt:lpstr>'JUNIO 2023'!_Hlk49970378</vt:lpstr>
      <vt:lpstr>'JUNIO 2023'!Área_de_impresión</vt:lpstr>
      <vt:lpstr>'JUNIO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</cp:lastModifiedBy>
  <cp:lastPrinted>2023-07-07T19:54:02Z</cp:lastPrinted>
  <dcterms:created xsi:type="dcterms:W3CDTF">2020-07-31T15:55:26Z</dcterms:created>
  <dcterms:modified xsi:type="dcterms:W3CDTF">2023-07-26T22:13:55Z</dcterms:modified>
</cp:coreProperties>
</file>