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01"/>
  <workbookPr checkCompatibility="1"/>
  <mc:AlternateContent xmlns:mc="http://schemas.openxmlformats.org/markup-compatibility/2006">
    <mc:Choice Requires="x15">
      <x15ac:absPath xmlns:x15ac="http://schemas.microsoft.com/office/spreadsheetml/2010/11/ac" url="C:\Users\informatica\Desktop\Nadia Garzón\Rendición de cuentas 2019\"/>
    </mc:Choice>
  </mc:AlternateContent>
  <xr:revisionPtr revIDLastSave="0" documentId="8_{913A304E-233D-4809-8E56-513259D1EB3A}" xr6:coauthVersionLast="43" xr6:coauthVersionMax="43" xr10:uidLastSave="{00000000-0000-0000-0000-000000000000}"/>
  <bookViews>
    <workbookView xWindow="-120" yWindow="-120" windowWidth="29040" windowHeight="15840" firstSheet="3" activeTab="3" xr2:uid="{00000000-000D-0000-FFFF-FFFF00000000}"/>
  </bookViews>
  <sheets>
    <sheet name="OBJ. ESTRATEGICO 1. " sheetId="1" r:id="rId1"/>
    <sheet name="OBJ. ESTRATEGICO 2" sheetId="2" r:id="rId2"/>
    <sheet name="OBJ. ESTRATEGICO 3." sheetId="3" r:id="rId3"/>
    <sheet name="AVANCES  JUN - 2019" sheetId="4" r:id="rId4"/>
    <sheet name="AVANCES 1 OBJETIVO" sheetId="5" r:id="rId5"/>
    <sheet name="AVANCES 2 OBJETIVO" sheetId="6" r:id="rId6"/>
    <sheet name="AVANCES 3 OBJETIVO" sheetId="7" r:id="rId7"/>
  </sheets>
  <externalReferences>
    <externalReference r:id="rId8"/>
  </externalReferences>
  <definedNames>
    <definedName name="_Aah337">'OBJ. ESTRATEGICO 1. '!$AW$3</definedName>
    <definedName name="_xlnm._FilterDatabase" localSheetId="3" hidden="1">'AVANCES  JUN - 2019'!$A$2:$DK$161</definedName>
    <definedName name="_xlnm._FilterDatabase" localSheetId="0" hidden="1">'OBJ. ESTRATEGICO 1. '!$A$2:$BB$2</definedName>
    <definedName name="_xlnm._FilterDatabase" localSheetId="1" hidden="1">'OBJ. ESTRATEGICO 2'!$A$2:$AT$2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E198" i="3" l="1"/>
  <c r="AA197" i="3"/>
  <c r="AE197" i="3" s="1"/>
  <c r="AE196" i="3"/>
  <c r="AE195" i="3"/>
  <c r="AE194" i="3"/>
  <c r="AF242" i="1" l="1"/>
  <c r="AF243" i="1"/>
  <c r="AF248" i="1"/>
  <c r="AH248" i="1" s="1"/>
  <c r="AF246" i="1"/>
  <c r="S6" i="4"/>
  <c r="S7" i="4" s="1"/>
  <c r="S8" i="4" s="1"/>
  <c r="T10" i="5"/>
  <c r="T11" i="5"/>
  <c r="AH5" i="3"/>
  <c r="AH7" i="3"/>
  <c r="AH9" i="3"/>
  <c r="AH13" i="3"/>
  <c r="AH14" i="3"/>
  <c r="AH17" i="3"/>
  <c r="AH21" i="3"/>
  <c r="AH24" i="3"/>
  <c r="AH25" i="3"/>
  <c r="AH26" i="3"/>
  <c r="AH29" i="3"/>
  <c r="AH30" i="3"/>
  <c r="AH34" i="3"/>
  <c r="AH35" i="3"/>
  <c r="AH36" i="3"/>
  <c r="AH37" i="3"/>
  <c r="AH38" i="3"/>
  <c r="AH40" i="3"/>
  <c r="AH43" i="3"/>
  <c r="AH44" i="3"/>
  <c r="AH50" i="3"/>
  <c r="AH56" i="3"/>
  <c r="AH64" i="3"/>
  <c r="AH68" i="3"/>
  <c r="AH88" i="3"/>
  <c r="AH94" i="3"/>
  <c r="AH95" i="3"/>
  <c r="AH96" i="3"/>
  <c r="AH97" i="3"/>
  <c r="AH103" i="3"/>
  <c r="AH105" i="3"/>
  <c r="AH114" i="3"/>
  <c r="AH116" i="3"/>
  <c r="AH117" i="3"/>
  <c r="AH120" i="3"/>
  <c r="AH121" i="3"/>
  <c r="AH123" i="3"/>
  <c r="AH126" i="3"/>
  <c r="AH137" i="3"/>
  <c r="AH141" i="3"/>
  <c r="AH146" i="3"/>
  <c r="AH149" i="3"/>
  <c r="AH152" i="3"/>
  <c r="AH174" i="3"/>
  <c r="AH181" i="3"/>
  <c r="AH182" i="3"/>
  <c r="AH185" i="3"/>
  <c r="AH19" i="2"/>
  <c r="AH26" i="2"/>
  <c r="AH40" i="2"/>
  <c r="AH43" i="2"/>
  <c r="AH54" i="2"/>
  <c r="AH55" i="2"/>
  <c r="AH56" i="2"/>
  <c r="AH60" i="2"/>
  <c r="AH79" i="2"/>
  <c r="AH82" i="2"/>
  <c r="AH84" i="2"/>
  <c r="AH88" i="2"/>
  <c r="AH89" i="2"/>
  <c r="AH91" i="2"/>
  <c r="AH92" i="2"/>
  <c r="AH93" i="2"/>
  <c r="AH98" i="2"/>
  <c r="AH103" i="2"/>
  <c r="AH104" i="2"/>
  <c r="AH106" i="2"/>
  <c r="AH107" i="2"/>
  <c r="AH108" i="2"/>
  <c r="AH109" i="2"/>
  <c r="AH115" i="2"/>
  <c r="AH117" i="2"/>
  <c r="AH118" i="2"/>
  <c r="AH120" i="2"/>
  <c r="AH137" i="2"/>
  <c r="AH138" i="2"/>
  <c r="AH141" i="2"/>
  <c r="AH143" i="2"/>
  <c r="AH148" i="2"/>
  <c r="AH156" i="2"/>
  <c r="AH159" i="2"/>
  <c r="AH173" i="2"/>
  <c r="AH174" i="2"/>
  <c r="AH197" i="2"/>
  <c r="AH204" i="2"/>
  <c r="AH218" i="2"/>
  <c r="AH220" i="2"/>
  <c r="AH222" i="2"/>
  <c r="AH223" i="2"/>
  <c r="AH227" i="2"/>
  <c r="AH229" i="2"/>
  <c r="AH233" i="2"/>
  <c r="AH234" i="2"/>
  <c r="AH235" i="2"/>
  <c r="AH236" i="2"/>
  <c r="AH237" i="2"/>
  <c r="AH239" i="2"/>
  <c r="AH240" i="2"/>
  <c r="AH241" i="2"/>
  <c r="AH244" i="2"/>
  <c r="AH245" i="2"/>
  <c r="AH246" i="2"/>
  <c r="AH261" i="2"/>
  <c r="AH271" i="2"/>
  <c r="AH274" i="2"/>
  <c r="AH276" i="2"/>
  <c r="AH294" i="2"/>
  <c r="AH312" i="2"/>
  <c r="AI4" i="1"/>
  <c r="AI10" i="1"/>
  <c r="AI11" i="1"/>
  <c r="AI17" i="1"/>
  <c r="AI18" i="1"/>
  <c r="AI20" i="1"/>
  <c r="AI27" i="1"/>
  <c r="AI49" i="1"/>
  <c r="AI50" i="1"/>
  <c r="AI51" i="1"/>
  <c r="AI54" i="1"/>
  <c r="AI58" i="1"/>
  <c r="AI60" i="1"/>
  <c r="AI64" i="1"/>
  <c r="AI65" i="1"/>
  <c r="AI71" i="1"/>
  <c r="AI77" i="1"/>
  <c r="AI78" i="1"/>
  <c r="AI82" i="1"/>
  <c r="AI83" i="1"/>
  <c r="AI93" i="1"/>
  <c r="AI94" i="1"/>
  <c r="AI96" i="1"/>
  <c r="AI99" i="1"/>
  <c r="AI103" i="1"/>
  <c r="AI104" i="1"/>
  <c r="AI105" i="1"/>
  <c r="AI110" i="1"/>
  <c r="AI112" i="1"/>
  <c r="AI120" i="1"/>
  <c r="AI122" i="1"/>
  <c r="AI144" i="1"/>
  <c r="AI170" i="1"/>
  <c r="AI179" i="1"/>
  <c r="AI180" i="1"/>
  <c r="AI183" i="1"/>
  <c r="AI191" i="1"/>
  <c r="AI195" i="1"/>
  <c r="AI201" i="1"/>
  <c r="AI202" i="1"/>
  <c r="AI205" i="1"/>
  <c r="AI211" i="1"/>
  <c r="AI213" i="1"/>
  <c r="AI220" i="1"/>
  <c r="AI223" i="1"/>
  <c r="AI226" i="1"/>
  <c r="AI229" i="1"/>
  <c r="AI231" i="1"/>
  <c r="AI233" i="1"/>
  <c r="AI235" i="1"/>
  <c r="AI258" i="1"/>
  <c r="AI263" i="1"/>
  <c r="AI265" i="1"/>
  <c r="AI270" i="1"/>
  <c r="AI274" i="1"/>
  <c r="AI275" i="1"/>
  <c r="AI276" i="1"/>
  <c r="AI279" i="1"/>
  <c r="AI281" i="1"/>
  <c r="AI282" i="1"/>
  <c r="AI284" i="1"/>
  <c r="AI291" i="1"/>
  <c r="AI294" i="1"/>
  <c r="AI296" i="1"/>
  <c r="AI297" i="1"/>
  <c r="AI298" i="1"/>
  <c r="AI300" i="1"/>
  <c r="AI302" i="1"/>
  <c r="AI303" i="1"/>
  <c r="AI310" i="1"/>
  <c r="AI316" i="1"/>
  <c r="AI317" i="1"/>
  <c r="AI318" i="1"/>
  <c r="AI323" i="1"/>
  <c r="AI328" i="1"/>
  <c r="AI329" i="1"/>
  <c r="AI330" i="1"/>
  <c r="AI331" i="1"/>
  <c r="AI332" i="1"/>
  <c r="AI334" i="1"/>
  <c r="AI335" i="1"/>
  <c r="AI339" i="1"/>
  <c r="AI341" i="1"/>
  <c r="AI343" i="1"/>
  <c r="AI345" i="1"/>
  <c r="AI354" i="1"/>
  <c r="AI356" i="1"/>
  <c r="AI357" i="1"/>
  <c r="AI358" i="1"/>
  <c r="AI359" i="1"/>
  <c r="AI362" i="1"/>
  <c r="AI368" i="1"/>
  <c r="AI369" i="1"/>
  <c r="AI375" i="1"/>
  <c r="AI380" i="1"/>
  <c r="AI382" i="1"/>
  <c r="AI388" i="1"/>
  <c r="AI393" i="1"/>
  <c r="AI398" i="1"/>
  <c r="AI400" i="1"/>
  <c r="AI403" i="1"/>
  <c r="AI418" i="1"/>
  <c r="C40" i="4"/>
  <c r="C88" i="4"/>
  <c r="C89" i="4"/>
  <c r="C269" i="4"/>
  <c r="C307" i="4"/>
  <c r="AE3" i="3"/>
  <c r="AH3" i="3"/>
  <c r="AE4" i="3"/>
  <c r="AG4" i="3"/>
  <c r="AH4" i="3" s="1"/>
  <c r="AE5" i="3"/>
  <c r="AG6" i="3"/>
  <c r="AH6" i="3" s="1"/>
  <c r="AE7" i="3"/>
  <c r="AE9" i="3"/>
  <c r="AE10" i="3"/>
  <c r="AG10" i="3"/>
  <c r="AE13" i="3"/>
  <c r="AE14" i="3"/>
  <c r="AG15" i="3"/>
  <c r="AH15" i="3" s="1"/>
  <c r="AE16" i="3"/>
  <c r="AG16" i="3"/>
  <c r="AE17" i="3"/>
  <c r="AE19" i="3"/>
  <c r="AG19" i="3"/>
  <c r="AH19" i="3" s="1"/>
  <c r="AE20" i="3"/>
  <c r="AG20" i="3"/>
  <c r="AE21" i="3"/>
  <c r="AE24" i="3"/>
  <c r="AE25" i="3"/>
  <c r="AA26" i="3"/>
  <c r="AE26" i="3"/>
  <c r="AG27" i="3"/>
  <c r="AE29" i="3"/>
  <c r="AE30" i="3"/>
  <c r="AE31" i="3"/>
  <c r="AG31" i="3" s="1"/>
  <c r="AH31" i="3" s="1"/>
  <c r="AG32" i="3"/>
  <c r="AA34" i="3"/>
  <c r="AE34" i="3" s="1"/>
  <c r="AE35" i="3"/>
  <c r="AE36" i="3"/>
  <c r="AE37" i="3"/>
  <c r="AE38" i="3"/>
  <c r="AG39" i="3"/>
  <c r="AH39" i="3" s="1"/>
  <c r="AE40" i="3"/>
  <c r="AG41" i="3"/>
  <c r="AG42" i="3" s="1"/>
  <c r="AE43" i="3"/>
  <c r="AE44" i="3"/>
  <c r="AE45" i="3"/>
  <c r="AG45" i="3" s="1"/>
  <c r="AE46" i="3"/>
  <c r="AG46" i="3"/>
  <c r="AH46" i="3" s="1"/>
  <c r="AE47" i="3"/>
  <c r="AG47" i="3" s="1"/>
  <c r="AH47" i="3" s="1"/>
  <c r="AE48" i="3"/>
  <c r="AG48" i="3" s="1"/>
  <c r="AH48" i="3" s="1"/>
  <c r="AE50" i="3"/>
  <c r="AE51" i="3"/>
  <c r="AG51" i="3" s="1"/>
  <c r="AH51" i="3" s="1"/>
  <c r="AE52" i="3"/>
  <c r="AG52" i="3" s="1"/>
  <c r="AH52" i="3" s="1"/>
  <c r="AE53" i="3"/>
  <c r="AG53" i="3" s="1"/>
  <c r="AH53" i="3" s="1"/>
  <c r="AE56" i="3"/>
  <c r="AE57" i="3"/>
  <c r="AG57" i="3"/>
  <c r="AH57" i="3" s="1"/>
  <c r="AE59" i="3"/>
  <c r="AG59" i="3" s="1"/>
  <c r="AH59" i="3" s="1"/>
  <c r="AE60" i="3"/>
  <c r="AG60" i="3" s="1"/>
  <c r="AH60" i="3" s="1"/>
  <c r="AG61" i="3"/>
  <c r="AE63" i="3"/>
  <c r="AG63" i="3" s="1"/>
  <c r="AE64" i="3"/>
  <c r="AE66" i="3"/>
  <c r="AG66" i="3" s="1"/>
  <c r="AH66" i="3" s="1"/>
  <c r="AE68" i="3"/>
  <c r="AG69" i="3"/>
  <c r="AE71" i="3"/>
  <c r="AG71" i="3" s="1"/>
  <c r="AE73" i="3"/>
  <c r="AG73" i="3"/>
  <c r="AE74" i="3"/>
  <c r="AG74" i="3"/>
  <c r="AH74" i="3" s="1"/>
  <c r="AE75" i="3"/>
  <c r="AG75" i="3" s="1"/>
  <c r="AH75" i="3" s="1"/>
  <c r="AE76" i="3"/>
  <c r="AG76" i="3"/>
  <c r="AH76" i="3" s="1"/>
  <c r="AE77" i="3"/>
  <c r="AG77" i="3"/>
  <c r="AH77" i="3" s="1"/>
  <c r="AE78" i="3"/>
  <c r="AG78" i="3" s="1"/>
  <c r="AH78" i="3" s="1"/>
  <c r="AE79" i="3"/>
  <c r="AG79" i="3"/>
  <c r="AH79" i="3" s="1"/>
  <c r="AE80" i="3"/>
  <c r="AG80" i="3"/>
  <c r="AH80" i="3" s="1"/>
  <c r="AE81" i="3"/>
  <c r="AG81" i="3" s="1"/>
  <c r="AH81" i="3" s="1"/>
  <c r="AE82" i="3"/>
  <c r="AG82" i="3"/>
  <c r="AH82" i="3" s="1"/>
  <c r="AE83" i="3"/>
  <c r="AG83" i="3"/>
  <c r="AH83" i="3" s="1"/>
  <c r="AE84" i="3"/>
  <c r="AG84" i="3" s="1"/>
  <c r="AH84" i="3" s="1"/>
  <c r="AE87" i="3"/>
  <c r="AG87" i="3"/>
  <c r="AH87" i="3" s="1"/>
  <c r="AE88" i="3"/>
  <c r="AE89" i="3"/>
  <c r="AG89" i="3" s="1"/>
  <c r="AH89" i="3" s="1"/>
  <c r="AE90" i="3"/>
  <c r="AG90" i="3"/>
  <c r="AH90" i="3" s="1"/>
  <c r="AG91" i="3"/>
  <c r="AE93" i="3"/>
  <c r="AG93" i="3" s="1"/>
  <c r="AE94" i="3"/>
  <c r="AE95" i="3"/>
  <c r="AE96" i="3"/>
  <c r="AE97" i="3"/>
  <c r="AG98" i="3"/>
  <c r="AH98" i="3" s="1"/>
  <c r="AE103" i="3"/>
  <c r="AG104" i="3"/>
  <c r="W105" i="3"/>
  <c r="V105" i="3" s="1"/>
  <c r="X105" i="3"/>
  <c r="AE105" i="3"/>
  <c r="AG106" i="3"/>
  <c r="AG107" i="3" s="1"/>
  <c r="AE108" i="3"/>
  <c r="AG108" i="3"/>
  <c r="AH108" i="3" s="1"/>
  <c r="AT108" i="3"/>
  <c r="AG109" i="3"/>
  <c r="AE110" i="3"/>
  <c r="AG110" i="3" s="1"/>
  <c r="AE111" i="3"/>
  <c r="AG111" i="3"/>
  <c r="AH111" i="3" s="1"/>
  <c r="AE112" i="3"/>
  <c r="AG112" i="3"/>
  <c r="AH112" i="3" s="1"/>
  <c r="AE113" i="3"/>
  <c r="AG113" i="3" s="1"/>
  <c r="AH113" i="3" s="1"/>
  <c r="AE114" i="3"/>
  <c r="AE116" i="3"/>
  <c r="AE117" i="3"/>
  <c r="AE118" i="3"/>
  <c r="AG118" i="3"/>
  <c r="AE119" i="3"/>
  <c r="AG119" i="3"/>
  <c r="AH119" i="3" s="1"/>
  <c r="AE120" i="3"/>
  <c r="AE121" i="3"/>
  <c r="AE122" i="3"/>
  <c r="AG122" i="3"/>
  <c r="AH122" i="3" s="1"/>
  <c r="AE123" i="3"/>
  <c r="AE124" i="3"/>
  <c r="AG124" i="3" s="1"/>
  <c r="AH124" i="3" s="1"/>
  <c r="AE125" i="3"/>
  <c r="AG125" i="3"/>
  <c r="AH125" i="3" s="1"/>
  <c r="AE126" i="3"/>
  <c r="AE127" i="3"/>
  <c r="AG127" i="3"/>
  <c r="AH127" i="3" s="1"/>
  <c r="AE128" i="3"/>
  <c r="AG128" i="3"/>
  <c r="AH128" i="3" s="1"/>
  <c r="AE129" i="3"/>
  <c r="AG129" i="3" s="1"/>
  <c r="AH129" i="3" s="1"/>
  <c r="AE131" i="3"/>
  <c r="AG131" i="3" s="1"/>
  <c r="AH131" i="3" s="1"/>
  <c r="AE133" i="3"/>
  <c r="AG133" i="3" s="1"/>
  <c r="AE135" i="3"/>
  <c r="AG135" i="3" s="1"/>
  <c r="X137" i="3"/>
  <c r="AE137" i="3" s="1"/>
  <c r="AG138" i="3"/>
  <c r="AH138" i="3" s="1"/>
  <c r="AE141" i="3"/>
  <c r="AG142" i="3"/>
  <c r="AE143" i="3"/>
  <c r="AG143" i="3" s="1"/>
  <c r="V146" i="3"/>
  <c r="W146" i="3"/>
  <c r="AE146" i="3"/>
  <c r="AG147" i="3"/>
  <c r="AH147" i="3" s="1"/>
  <c r="AG148" i="3"/>
  <c r="AE149" i="3"/>
  <c r="AG150" i="3"/>
  <c r="AG151" i="3" s="1"/>
  <c r="AE152" i="3"/>
  <c r="AG153" i="3"/>
  <c r="AG154" i="3"/>
  <c r="AH154" i="3" s="1"/>
  <c r="AE156" i="3"/>
  <c r="AG156" i="3"/>
  <c r="AT156" i="3"/>
  <c r="AE157" i="3"/>
  <c r="AG157" i="3"/>
  <c r="AH157" i="3" s="1"/>
  <c r="AE159" i="3"/>
  <c r="AG159" i="3" s="1"/>
  <c r="AE160" i="3"/>
  <c r="AG160" i="3" s="1"/>
  <c r="AH160" i="3" s="1"/>
  <c r="AE161" i="3"/>
  <c r="AG161" i="3" s="1"/>
  <c r="AH161" i="3" s="1"/>
  <c r="AE162" i="3"/>
  <c r="AG162" i="3" s="1"/>
  <c r="AH162" i="3" s="1"/>
  <c r="Q163" i="3"/>
  <c r="AE163" i="3" s="1"/>
  <c r="AG163" i="3" s="1"/>
  <c r="AH163" i="3" s="1"/>
  <c r="AE165" i="3"/>
  <c r="AG165" i="3"/>
  <c r="AH165" i="3" s="1"/>
  <c r="AE166" i="3"/>
  <c r="AG166" i="3" s="1"/>
  <c r="AH166" i="3" s="1"/>
  <c r="AE167" i="3"/>
  <c r="AG167" i="3" s="1"/>
  <c r="AH167" i="3" s="1"/>
  <c r="AE169" i="3"/>
  <c r="AG169" i="3" s="1"/>
  <c r="AE170" i="3"/>
  <c r="AG170" i="3"/>
  <c r="AH170" i="3" s="1"/>
  <c r="AE171" i="3"/>
  <c r="AG171" i="3"/>
  <c r="AH171" i="3" s="1"/>
  <c r="AE172" i="3"/>
  <c r="AG172" i="3" s="1"/>
  <c r="AH172" i="3" s="1"/>
  <c r="AE174" i="3"/>
  <c r="AE175" i="3"/>
  <c r="AG175" i="3"/>
  <c r="AH175" i="3" s="1"/>
  <c r="AE176" i="3"/>
  <c r="AG176" i="3"/>
  <c r="AH176" i="3" s="1"/>
  <c r="AE177" i="3"/>
  <c r="AG177" i="3"/>
  <c r="AH177" i="3" s="1"/>
  <c r="AE178" i="3"/>
  <c r="AG178" i="3"/>
  <c r="AH178" i="3" s="1"/>
  <c r="AE181" i="3"/>
  <c r="AE182" i="3"/>
  <c r="AG183" i="3"/>
  <c r="AH183" i="3" s="1"/>
  <c r="AG184" i="3"/>
  <c r="AE185" i="3"/>
  <c r="AE187" i="3"/>
  <c r="AG187" i="3"/>
  <c r="AH187" i="3" s="1"/>
  <c r="AE188" i="3"/>
  <c r="AG188" i="3"/>
  <c r="AH188" i="3" s="1"/>
  <c r="AE189" i="3"/>
  <c r="AG189" i="3"/>
  <c r="AH189" i="3" s="1"/>
  <c r="AE190" i="3"/>
  <c r="AG190" i="3"/>
  <c r="AH190" i="3" s="1"/>
  <c r="AG194" i="3"/>
  <c r="AH194" i="3" s="1"/>
  <c r="AG195" i="3"/>
  <c r="AH195" i="3" s="1"/>
  <c r="AG196" i="3"/>
  <c r="AH196" i="3" s="1"/>
  <c r="AG197" i="3"/>
  <c r="AH197" i="3" s="1"/>
  <c r="AG198" i="3"/>
  <c r="AH198" i="3" s="1"/>
  <c r="AE200" i="3"/>
  <c r="AG200" i="3" s="1"/>
  <c r="AT200" i="3"/>
  <c r="AE3" i="2"/>
  <c r="AG3" i="2"/>
  <c r="AH3" i="2" s="1"/>
  <c r="AT3" i="2"/>
  <c r="AE4" i="2"/>
  <c r="AG4" i="2"/>
  <c r="AH4" i="2" s="1"/>
  <c r="AE5" i="2"/>
  <c r="AG5" i="2"/>
  <c r="AH5" i="2" s="1"/>
  <c r="AG6" i="2"/>
  <c r="AH6" i="2" s="1"/>
  <c r="AE7" i="2"/>
  <c r="AG7" i="2" s="1"/>
  <c r="AH7" i="2" s="1"/>
  <c r="AE8" i="2"/>
  <c r="AG8" i="2" s="1"/>
  <c r="AH8" i="2" s="1"/>
  <c r="AE9" i="2"/>
  <c r="AG9" i="2" s="1"/>
  <c r="AH9" i="2" s="1"/>
  <c r="AE10" i="2"/>
  <c r="AG10" i="2" s="1"/>
  <c r="AH10" i="2" s="1"/>
  <c r="AE12" i="2"/>
  <c r="AG12" i="2" s="1"/>
  <c r="AE13" i="2"/>
  <c r="AG13" i="2" s="1"/>
  <c r="AH13" i="2" s="1"/>
  <c r="AE14" i="2"/>
  <c r="AG14" i="2"/>
  <c r="AH14" i="2" s="1"/>
  <c r="AE15" i="2"/>
  <c r="AG15" i="2" s="1"/>
  <c r="AH15" i="2" s="1"/>
  <c r="AE16" i="2"/>
  <c r="AG16" i="2" s="1"/>
  <c r="AH16" i="2" s="1"/>
  <c r="AE17" i="2"/>
  <c r="AG17" i="2"/>
  <c r="AH17" i="2" s="1"/>
  <c r="AE18" i="2"/>
  <c r="AG18" i="2" s="1"/>
  <c r="AH18" i="2" s="1"/>
  <c r="AE19" i="2"/>
  <c r="AE20" i="2"/>
  <c r="AG20" i="2" s="1"/>
  <c r="AH20" i="2" s="1"/>
  <c r="AE21" i="2"/>
  <c r="AG21" i="2" s="1"/>
  <c r="AH21" i="2" s="1"/>
  <c r="AE22" i="2"/>
  <c r="AG22" i="2" s="1"/>
  <c r="AH22" i="2" s="1"/>
  <c r="AE23" i="2"/>
  <c r="AG23" i="2" s="1"/>
  <c r="AH23" i="2" s="1"/>
  <c r="AE24" i="2"/>
  <c r="AG24" i="2" s="1"/>
  <c r="AH24" i="2" s="1"/>
  <c r="AE25" i="2"/>
  <c r="AG25" i="2"/>
  <c r="AH25" i="2" s="1"/>
  <c r="AE26" i="2"/>
  <c r="AE29" i="2"/>
  <c r="AG29" i="2" s="1"/>
  <c r="AH29" i="2" s="1"/>
  <c r="U30" i="2"/>
  <c r="AE30" i="2"/>
  <c r="AG30" i="2" s="1"/>
  <c r="AH30" i="2" s="1"/>
  <c r="AE31" i="2"/>
  <c r="AG31" i="2"/>
  <c r="AH31" i="2" s="1"/>
  <c r="AE32" i="2"/>
  <c r="AG32" i="2" s="1"/>
  <c r="AH32" i="2" s="1"/>
  <c r="AE33" i="2"/>
  <c r="AG33" i="2" s="1"/>
  <c r="AH33" i="2" s="1"/>
  <c r="AE35" i="2"/>
  <c r="AG35" i="2"/>
  <c r="AH35" i="2" s="1"/>
  <c r="AE36" i="2"/>
  <c r="AG36" i="2" s="1"/>
  <c r="AH36" i="2" s="1"/>
  <c r="AE37" i="2"/>
  <c r="AG37" i="2"/>
  <c r="AH37" i="2" s="1"/>
  <c r="AE38" i="2"/>
  <c r="AG38" i="2"/>
  <c r="AH38" i="2" s="1"/>
  <c r="AE40" i="2"/>
  <c r="AE41" i="2"/>
  <c r="AG41" i="2"/>
  <c r="AE42" i="2"/>
  <c r="AG42" i="2"/>
  <c r="AH42" i="2" s="1"/>
  <c r="AE43" i="2"/>
  <c r="AE45" i="2"/>
  <c r="AG45" i="2"/>
  <c r="AE46" i="2"/>
  <c r="AG46" i="2"/>
  <c r="AH46" i="2" s="1"/>
  <c r="AE47" i="2"/>
  <c r="AG47" i="2" s="1"/>
  <c r="AH47" i="2" s="1"/>
  <c r="AE50" i="2"/>
  <c r="AG50" i="2" s="1"/>
  <c r="AE52" i="2"/>
  <c r="AG52" i="2" s="1"/>
  <c r="AH52" i="2" s="1"/>
  <c r="AE54" i="2"/>
  <c r="X55" i="2"/>
  <c r="AE55" i="2"/>
  <c r="L56" i="2"/>
  <c r="AE56" i="2"/>
  <c r="AG57" i="2"/>
  <c r="AE58" i="2"/>
  <c r="AG58" i="2"/>
  <c r="AG61" i="2"/>
  <c r="AE63" i="2"/>
  <c r="AG63" i="2" s="1"/>
  <c r="AT63" i="2"/>
  <c r="AG64" i="2"/>
  <c r="AH64" i="2" s="1"/>
  <c r="AE65" i="2"/>
  <c r="AG65" i="2"/>
  <c r="AH65" i="2" s="1"/>
  <c r="AE67" i="2"/>
  <c r="AG67" i="2" s="1"/>
  <c r="AE68" i="2"/>
  <c r="AG68" i="2" s="1"/>
  <c r="AH68" i="2" s="1"/>
  <c r="AE69" i="2"/>
  <c r="AG69" i="2" s="1"/>
  <c r="AH69" i="2" s="1"/>
  <c r="AE72" i="2"/>
  <c r="AG72" i="2" s="1"/>
  <c r="AE73" i="2"/>
  <c r="AG73" i="2" s="1"/>
  <c r="AH73" i="2" s="1"/>
  <c r="AE75" i="2"/>
  <c r="AG75" i="2"/>
  <c r="AE76" i="2"/>
  <c r="AG76" i="2"/>
  <c r="AH76" i="2" s="1"/>
  <c r="AE79" i="2"/>
  <c r="AE80" i="2"/>
  <c r="AG80" i="2" s="1"/>
  <c r="AE81" i="2"/>
  <c r="AG81" i="2" s="1"/>
  <c r="AH81" i="2" s="1"/>
  <c r="AE82" i="2"/>
  <c r="AE84" i="2"/>
  <c r="AE85" i="2"/>
  <c r="AG85" i="2"/>
  <c r="AH85" i="2" s="1"/>
  <c r="AE87" i="2"/>
  <c r="AG87" i="2" s="1"/>
  <c r="AE88" i="2"/>
  <c r="AE89" i="2"/>
  <c r="AE91" i="2"/>
  <c r="AE92" i="2"/>
  <c r="AE93" i="2"/>
  <c r="AG94" i="2"/>
  <c r="AE98" i="2"/>
  <c r="AE99" i="2"/>
  <c r="AG99" i="2"/>
  <c r="AH99" i="2" s="1"/>
  <c r="AT99" i="2"/>
  <c r="AE100" i="2"/>
  <c r="AG100" i="2" s="1"/>
  <c r="AH100" i="2" s="1"/>
  <c r="AE101" i="2"/>
  <c r="AG101" i="2" s="1"/>
  <c r="AH101" i="2" s="1"/>
  <c r="AG102" i="2"/>
  <c r="AE103" i="2"/>
  <c r="AT103" i="2"/>
  <c r="AE104" i="2"/>
  <c r="AG105" i="2"/>
  <c r="AE106" i="2"/>
  <c r="AT106" i="2"/>
  <c r="AE107" i="2"/>
  <c r="AE108" i="2"/>
  <c r="AE109" i="2"/>
  <c r="AE110" i="2"/>
  <c r="AG110" i="2" s="1"/>
  <c r="AE111" i="2"/>
  <c r="AG111" i="2" s="1"/>
  <c r="AH111" i="2" s="1"/>
  <c r="AE114" i="2"/>
  <c r="AG114" i="2" s="1"/>
  <c r="AT114" i="2"/>
  <c r="AE115" i="2"/>
  <c r="AE117" i="2"/>
  <c r="AT117" i="2"/>
  <c r="AE118" i="2"/>
  <c r="AG119" i="2"/>
  <c r="AE120" i="2"/>
  <c r="AG121" i="2"/>
  <c r="AE122" i="2"/>
  <c r="AG122" i="2" s="1"/>
  <c r="AT122" i="2"/>
  <c r="AE123" i="2"/>
  <c r="AG123" i="2" s="1"/>
  <c r="AH123" i="2" s="1"/>
  <c r="AE126" i="2"/>
  <c r="AG126" i="2" s="1"/>
  <c r="AE127" i="2"/>
  <c r="AG127" i="2" s="1"/>
  <c r="AH127" i="2" s="1"/>
  <c r="AE128" i="2"/>
  <c r="AG128" i="2" s="1"/>
  <c r="AH128" i="2" s="1"/>
  <c r="AE129" i="2"/>
  <c r="AG129" i="2" s="1"/>
  <c r="AH129" i="2" s="1"/>
  <c r="AE130" i="2"/>
  <c r="AG130" i="2" s="1"/>
  <c r="AH130" i="2" s="1"/>
  <c r="AE131" i="2"/>
  <c r="AG131" i="2" s="1"/>
  <c r="AH131" i="2" s="1"/>
  <c r="AE132" i="2"/>
  <c r="AG132" i="2" s="1"/>
  <c r="AH132" i="2" s="1"/>
  <c r="AE133" i="2"/>
  <c r="AG133" i="2" s="1"/>
  <c r="AH133" i="2" s="1"/>
  <c r="AE135" i="2"/>
  <c r="AG135" i="2" s="1"/>
  <c r="AT135" i="2"/>
  <c r="AE136" i="2"/>
  <c r="AG136" i="2" s="1"/>
  <c r="AH136" i="2" s="1"/>
  <c r="AE137" i="2"/>
  <c r="AE138" i="2"/>
  <c r="AE140" i="2"/>
  <c r="AG140" i="2"/>
  <c r="AE141" i="2"/>
  <c r="AE142" i="2"/>
  <c r="AG142" i="2" s="1"/>
  <c r="AH142" i="2" s="1"/>
  <c r="AE143" i="2"/>
  <c r="AE144" i="2"/>
  <c r="AG144" i="2"/>
  <c r="AH144" i="2" s="1"/>
  <c r="AE145" i="2"/>
  <c r="AG145" i="2"/>
  <c r="AH145" i="2" s="1"/>
  <c r="AE148" i="2"/>
  <c r="AE149" i="2"/>
  <c r="AG149" i="2"/>
  <c r="P150" i="2"/>
  <c r="AE150" i="2"/>
  <c r="AG150" i="2" s="1"/>
  <c r="AE154" i="2"/>
  <c r="AG154" i="2" s="1"/>
  <c r="AE155" i="2"/>
  <c r="AG155" i="2" s="1"/>
  <c r="AH155" i="2" s="1"/>
  <c r="AE156" i="2"/>
  <c r="AE157" i="2"/>
  <c r="AG157" i="2"/>
  <c r="AH157" i="2" s="1"/>
  <c r="AE158" i="2"/>
  <c r="AG158" i="2" s="1"/>
  <c r="AH158" i="2" s="1"/>
  <c r="AE159" i="2"/>
  <c r="AE160" i="2"/>
  <c r="AG160" i="2" s="1"/>
  <c r="AH160" i="2" s="1"/>
  <c r="AE161" i="2"/>
  <c r="AG161" i="2" s="1"/>
  <c r="AH161" i="2" s="1"/>
  <c r="AE165" i="2"/>
  <c r="AG165" i="2"/>
  <c r="AH165" i="2" s="1"/>
  <c r="AT165" i="2"/>
  <c r="AE166" i="2"/>
  <c r="AG166" i="2" s="1"/>
  <c r="AE167" i="2"/>
  <c r="AG167" i="2" s="1"/>
  <c r="AH167" i="2" s="1"/>
  <c r="AE169" i="2"/>
  <c r="AG169" i="2" s="1"/>
  <c r="AE171" i="2"/>
  <c r="AG171" i="2" s="1"/>
  <c r="AE173" i="2"/>
  <c r="AT173" i="2"/>
  <c r="AE174" i="2"/>
  <c r="AG175" i="2"/>
  <c r="AG176" i="2"/>
  <c r="AH176" i="2" s="1"/>
  <c r="AG177" i="2"/>
  <c r="AE180" i="2"/>
  <c r="AG180" i="2"/>
  <c r="AE181" i="2"/>
  <c r="AG181" i="2"/>
  <c r="AH181" i="2" s="1"/>
  <c r="AE182" i="2"/>
  <c r="AG182" i="2" s="1"/>
  <c r="AH182" i="2" s="1"/>
  <c r="AE183" i="2"/>
  <c r="AG183" i="2"/>
  <c r="AH183" i="2" s="1"/>
  <c r="AE184" i="2"/>
  <c r="AG184" i="2"/>
  <c r="AH184" i="2" s="1"/>
  <c r="AE186" i="2"/>
  <c r="AG186" i="2" s="1"/>
  <c r="AE187" i="2"/>
  <c r="AE188" i="2"/>
  <c r="AG188" i="2" s="1"/>
  <c r="AE189" i="2"/>
  <c r="AE190" i="2"/>
  <c r="AG190" i="2" s="1"/>
  <c r="AG193" i="2"/>
  <c r="AH193" i="2" s="1"/>
  <c r="AE194" i="2"/>
  <c r="AG194" i="2"/>
  <c r="AH194" i="2" s="1"/>
  <c r="AE195" i="2"/>
  <c r="AG195" i="2"/>
  <c r="AH195" i="2" s="1"/>
  <c r="AE196" i="2"/>
  <c r="AG196" i="2" s="1"/>
  <c r="AH196" i="2" s="1"/>
  <c r="AE197" i="2"/>
  <c r="AE200" i="2"/>
  <c r="AG200" i="2" s="1"/>
  <c r="AE201" i="2"/>
  <c r="AG201" i="2" s="1"/>
  <c r="AH201" i="2" s="1"/>
  <c r="AE202" i="2"/>
  <c r="AG202" i="2" s="1"/>
  <c r="AH202" i="2" s="1"/>
  <c r="AE204" i="2"/>
  <c r="AE205" i="2"/>
  <c r="AG205" i="2" s="1"/>
  <c r="AE206" i="2"/>
  <c r="AG206" i="2" s="1"/>
  <c r="AH206" i="2" s="1"/>
  <c r="AE207" i="2"/>
  <c r="AG207" i="2" s="1"/>
  <c r="AH207" i="2" s="1"/>
  <c r="AE211" i="2"/>
  <c r="AG211" i="2"/>
  <c r="AH211" i="2" s="1"/>
  <c r="AT211" i="2"/>
  <c r="AE212" i="2"/>
  <c r="AG212" i="2" s="1"/>
  <c r="AH212" i="2" s="1"/>
  <c r="AE213" i="2"/>
  <c r="AG213" i="2" s="1"/>
  <c r="AH213" i="2" s="1"/>
  <c r="AE214" i="2"/>
  <c r="AG214" i="2" s="1"/>
  <c r="AH214" i="2" s="1"/>
  <c r="AE216" i="2"/>
  <c r="AG216" i="2"/>
  <c r="AE218" i="2"/>
  <c r="AJ218" i="2"/>
  <c r="AT218" i="2" s="1"/>
  <c r="AE219" i="2"/>
  <c r="AG219" i="2"/>
  <c r="AH219" i="2" s="1"/>
  <c r="AE220" i="2"/>
  <c r="AG221" i="2"/>
  <c r="AE222" i="2"/>
  <c r="AE223" i="2"/>
  <c r="AE224" i="2"/>
  <c r="AG224" i="2"/>
  <c r="AE225" i="2"/>
  <c r="AG225" i="2"/>
  <c r="AH225" i="2" s="1"/>
  <c r="AE227" i="2"/>
  <c r="AE228" i="2"/>
  <c r="AG228" i="2"/>
  <c r="AH228" i="2" s="1"/>
  <c r="AE229" i="2"/>
  <c r="P233" i="2"/>
  <c r="AE233" i="2"/>
  <c r="P234" i="2"/>
  <c r="AE234" i="2"/>
  <c r="AE235" i="2"/>
  <c r="P236" i="2"/>
  <c r="AE236" i="2" s="1"/>
  <c r="P237" i="2"/>
  <c r="AE237" i="2" s="1"/>
  <c r="AE238" i="2"/>
  <c r="AG238" i="2" s="1"/>
  <c r="AE239" i="2"/>
  <c r="AE240" i="2"/>
  <c r="AE241" i="2"/>
  <c r="AE242" i="2"/>
  <c r="AG242" i="2"/>
  <c r="AH242" i="2" s="1"/>
  <c r="P244" i="2"/>
  <c r="AE244" i="2" s="1"/>
  <c r="P246" i="2"/>
  <c r="AE246" i="2" s="1"/>
  <c r="AE247" i="2"/>
  <c r="AG247" i="2" s="1"/>
  <c r="AE249" i="2"/>
  <c r="AG249" i="2"/>
  <c r="AT249" i="2"/>
  <c r="AE250" i="2"/>
  <c r="AG250" i="2" s="1"/>
  <c r="AH250" i="2" s="1"/>
  <c r="AE252" i="2"/>
  <c r="AG252" i="2"/>
  <c r="AE253" i="2"/>
  <c r="AG253" i="2"/>
  <c r="AH253" i="2" s="1"/>
  <c r="AE254" i="2"/>
  <c r="AG254" i="2" s="1"/>
  <c r="AH254" i="2" s="1"/>
  <c r="P258" i="2"/>
  <c r="AE258" i="2"/>
  <c r="AG258" i="2" s="1"/>
  <c r="AE259" i="2"/>
  <c r="AG259" i="2"/>
  <c r="AH259" i="2" s="1"/>
  <c r="AE261" i="2"/>
  <c r="AE262" i="2"/>
  <c r="AG262" i="2" s="1"/>
  <c r="AE263" i="2"/>
  <c r="AG263" i="2"/>
  <c r="AH263" i="2" s="1"/>
  <c r="AE265" i="2"/>
  <c r="AG265" i="2" s="1"/>
  <c r="AE268" i="2"/>
  <c r="AG268" i="2" s="1"/>
  <c r="AE269" i="2"/>
  <c r="AG269" i="2" s="1"/>
  <c r="AH269" i="2" s="1"/>
  <c r="AJ269" i="2"/>
  <c r="AS269" i="2"/>
  <c r="AT269" i="2"/>
  <c r="AE270" i="2"/>
  <c r="AG270" i="2"/>
  <c r="AH270" i="2" s="1"/>
  <c r="AE271" i="2"/>
  <c r="AE272" i="2"/>
  <c r="AG272" i="2" s="1"/>
  <c r="AH272" i="2" s="1"/>
  <c r="AE273" i="2"/>
  <c r="AG273" i="2" s="1"/>
  <c r="AH273" i="2" s="1"/>
  <c r="AE274" i="2"/>
  <c r="AE275" i="2"/>
  <c r="AG275" i="2" s="1"/>
  <c r="AH275" i="2" s="1"/>
  <c r="AE276" i="2"/>
  <c r="AE277" i="2"/>
  <c r="AG277" i="2" s="1"/>
  <c r="AH277" i="2" s="1"/>
  <c r="AE278" i="2"/>
  <c r="AG278" i="2"/>
  <c r="AH278" i="2" s="1"/>
  <c r="AE279" i="2"/>
  <c r="AG279" i="2" s="1"/>
  <c r="AH279" i="2" s="1"/>
  <c r="AE280" i="2"/>
  <c r="AG280" i="2" s="1"/>
  <c r="AH280" i="2" s="1"/>
  <c r="AE281" i="2"/>
  <c r="AG281" i="2" s="1"/>
  <c r="AH281" i="2" s="1"/>
  <c r="AE282" i="2"/>
  <c r="AG282" i="2" s="1"/>
  <c r="AH282" i="2" s="1"/>
  <c r="AE283" i="2"/>
  <c r="AG283" i="2" s="1"/>
  <c r="AH283" i="2" s="1"/>
  <c r="AE284" i="2"/>
  <c r="AG284" i="2"/>
  <c r="AH284" i="2" s="1"/>
  <c r="AE285" i="2"/>
  <c r="AG285" i="2" s="1"/>
  <c r="AH285" i="2" s="1"/>
  <c r="AE286" i="2"/>
  <c r="AG286" i="2" s="1"/>
  <c r="AH286" i="2" s="1"/>
  <c r="AE287" i="2"/>
  <c r="AG287" i="2"/>
  <c r="AH287" i="2" s="1"/>
  <c r="AE289" i="2"/>
  <c r="AG289" i="2"/>
  <c r="AE290" i="2"/>
  <c r="AG290" i="2"/>
  <c r="AH290" i="2" s="1"/>
  <c r="AE291" i="2"/>
  <c r="AG291" i="2" s="1"/>
  <c r="AH291" i="2" s="1"/>
  <c r="AE293" i="2"/>
  <c r="AG293" i="2" s="1"/>
  <c r="AH293" i="2" s="1"/>
  <c r="AE294" i="2"/>
  <c r="AE296" i="2"/>
  <c r="AG296" i="2" s="1"/>
  <c r="AT296" i="2"/>
  <c r="AE297" i="2"/>
  <c r="AG297" i="2"/>
  <c r="AH297" i="2" s="1"/>
  <c r="AE298" i="2"/>
  <c r="AG298" i="2" s="1"/>
  <c r="AH298" i="2" s="1"/>
  <c r="AE300" i="2"/>
  <c r="AG300" i="2" s="1"/>
  <c r="AH300" i="2" s="1"/>
  <c r="AE301" i="2"/>
  <c r="AG301" i="2" s="1"/>
  <c r="AE302" i="2"/>
  <c r="AG302" i="2" s="1"/>
  <c r="AH302" i="2" s="1"/>
  <c r="AE303" i="2"/>
  <c r="AG303" i="2" s="1"/>
  <c r="AH303" i="2" s="1"/>
  <c r="AE304" i="2"/>
  <c r="AG304" i="2"/>
  <c r="AH304" i="2" s="1"/>
  <c r="AE305" i="2"/>
  <c r="AG305" i="2" s="1"/>
  <c r="AH305" i="2" s="1"/>
  <c r="AE306" i="2"/>
  <c r="AG306" i="2" s="1"/>
  <c r="AH306" i="2" s="1"/>
  <c r="AE308" i="2"/>
  <c r="AG308" i="2" s="1"/>
  <c r="AH308" i="2" s="1"/>
  <c r="AE309" i="2"/>
  <c r="AG309" i="2"/>
  <c r="AH309" i="2" s="1"/>
  <c r="AE310" i="2"/>
  <c r="AG310" i="2"/>
  <c r="AH310" i="2" s="1"/>
  <c r="AE311" i="2"/>
  <c r="AG311" i="2" s="1"/>
  <c r="AH311" i="2" s="1"/>
  <c r="AE312" i="2"/>
  <c r="AF3" i="1"/>
  <c r="AH3" i="1"/>
  <c r="AI3" i="1" s="1"/>
  <c r="AU3" i="1"/>
  <c r="AF4" i="1"/>
  <c r="V5" i="1"/>
  <c r="AF5" i="1"/>
  <c r="AH5" i="1"/>
  <c r="AI5" i="1" s="1"/>
  <c r="AF6" i="1"/>
  <c r="AH6" i="1"/>
  <c r="AI6" i="1" s="1"/>
  <c r="AF8" i="1"/>
  <c r="AH8" i="1" s="1"/>
  <c r="AI8" i="1" s="1"/>
  <c r="AK8" i="1"/>
  <c r="AT8" i="1"/>
  <c r="AU8" i="1"/>
  <c r="AH9" i="1"/>
  <c r="U10" i="1"/>
  <c r="AF10" i="1"/>
  <c r="AK10" i="1"/>
  <c r="AT10" i="1"/>
  <c r="AU10" i="1"/>
  <c r="U11" i="1"/>
  <c r="AF11" i="1"/>
  <c r="U12" i="1"/>
  <c r="Y12" i="1"/>
  <c r="AF12" i="1" s="1"/>
  <c r="AH12" i="1" s="1"/>
  <c r="AF13" i="1"/>
  <c r="AH13" i="1" s="1"/>
  <c r="AI13" i="1" s="1"/>
  <c r="U15" i="1"/>
  <c r="V15" i="1" s="1"/>
  <c r="AF15" i="1"/>
  <c r="AH15" i="1"/>
  <c r="AU15" i="1"/>
  <c r="AF16" i="1"/>
  <c r="AH16" i="1"/>
  <c r="AI16" i="1" s="1"/>
  <c r="AF17" i="1"/>
  <c r="U18" i="1"/>
  <c r="AF18" i="1"/>
  <c r="AF20" i="1"/>
  <c r="AH21" i="1"/>
  <c r="AF22" i="1"/>
  <c r="AH22" i="1"/>
  <c r="AI22" i="1" s="1"/>
  <c r="AU22" i="1"/>
  <c r="AF23" i="1"/>
  <c r="AH23" i="1" s="1"/>
  <c r="AI23" i="1" s="1"/>
  <c r="AF26" i="1"/>
  <c r="AH26" i="1"/>
  <c r="AI26" i="1" s="1"/>
  <c r="AU26" i="1"/>
  <c r="AF27" i="1"/>
  <c r="AF28" i="1"/>
  <c r="AH28" i="1" s="1"/>
  <c r="AI28" i="1" s="1"/>
  <c r="AF29" i="1"/>
  <c r="AH29" i="1" s="1"/>
  <c r="AI29" i="1" s="1"/>
  <c r="AF30" i="1"/>
  <c r="AH30" i="1" s="1"/>
  <c r="AI30" i="1" s="1"/>
  <c r="AF31" i="1"/>
  <c r="AH31" i="1" s="1"/>
  <c r="AI31" i="1" s="1"/>
  <c r="AF33" i="1"/>
  <c r="AH33" i="1" s="1"/>
  <c r="AI33" i="1" s="1"/>
  <c r="AU33" i="1"/>
  <c r="AF34" i="1"/>
  <c r="AH34" i="1" s="1"/>
  <c r="AI34" i="1" s="1"/>
  <c r="AF35" i="1"/>
  <c r="AH35" i="1"/>
  <c r="AI35" i="1" s="1"/>
  <c r="AF36" i="1"/>
  <c r="AH36" i="1" s="1"/>
  <c r="AI36" i="1" s="1"/>
  <c r="AF37" i="1"/>
  <c r="AH37" i="1" s="1"/>
  <c r="AI37" i="1" s="1"/>
  <c r="AF39" i="1"/>
  <c r="AH39" i="1" s="1"/>
  <c r="AI39" i="1" s="1"/>
  <c r="AF40" i="1"/>
  <c r="AH40" i="1"/>
  <c r="AI40" i="1" s="1"/>
  <c r="AF41" i="1"/>
  <c r="AH41" i="1"/>
  <c r="AI41" i="1" s="1"/>
  <c r="AF43" i="1"/>
  <c r="AH43" i="1" s="1"/>
  <c r="AU43" i="1"/>
  <c r="AF45" i="1"/>
  <c r="AH45" i="1" s="1"/>
  <c r="AU45" i="1"/>
  <c r="AF46" i="1"/>
  <c r="AH46" i="1"/>
  <c r="AI46" i="1" s="1"/>
  <c r="V48" i="1"/>
  <c r="X48" i="1" s="1"/>
  <c r="W48" i="1"/>
  <c r="Y48" i="1" s="1"/>
  <c r="AF48" i="1" s="1"/>
  <c r="AH48" i="1" s="1"/>
  <c r="AU48" i="1"/>
  <c r="AF49" i="1"/>
  <c r="AF50" i="1"/>
  <c r="AF51" i="1"/>
  <c r="AF53" i="1"/>
  <c r="AH53" i="1"/>
  <c r="AF54" i="1"/>
  <c r="AU54" i="1"/>
  <c r="AF56" i="1"/>
  <c r="AH56" i="1" s="1"/>
  <c r="AI56" i="1" s="1"/>
  <c r="AH57" i="1"/>
  <c r="AF58" i="1"/>
  <c r="AH59" i="1"/>
  <c r="C23" i="4" s="1"/>
  <c r="AF60" i="1"/>
  <c r="AH61" i="1"/>
  <c r="AF63" i="1"/>
  <c r="AH63" i="1"/>
  <c r="AU63" i="1"/>
  <c r="AF64" i="1"/>
  <c r="AF65" i="1"/>
  <c r="AF66" i="1"/>
  <c r="AH66" i="1"/>
  <c r="AI66" i="1" s="1"/>
  <c r="AF67" i="1"/>
  <c r="AH67" i="1" s="1"/>
  <c r="AI67" i="1" s="1"/>
  <c r="AF68" i="1"/>
  <c r="AH68" i="1"/>
  <c r="AI68" i="1" s="1"/>
  <c r="AF70" i="1"/>
  <c r="AH70" i="1" s="1"/>
  <c r="AU70" i="1"/>
  <c r="AF71" i="1"/>
  <c r="AF72" i="1"/>
  <c r="AH72" i="1" s="1"/>
  <c r="AI72" i="1" s="1"/>
  <c r="AF75" i="1"/>
  <c r="AH75" i="1" s="1"/>
  <c r="AU75" i="1"/>
  <c r="AF76" i="1"/>
  <c r="AH76" i="1"/>
  <c r="AI76" i="1" s="1"/>
  <c r="AF77" i="1"/>
  <c r="AF78" i="1"/>
  <c r="AF80" i="1"/>
  <c r="AH80" i="1" s="1"/>
  <c r="AI80" i="1" s="1"/>
  <c r="AH81" i="1"/>
  <c r="AF82" i="1"/>
  <c r="AU82" i="1"/>
  <c r="AF83" i="1"/>
  <c r="AH84" i="1"/>
  <c r="AF86" i="1"/>
  <c r="AH86" i="1"/>
  <c r="AF88" i="1"/>
  <c r="AH88" i="1"/>
  <c r="AI88" i="1" s="1"/>
  <c r="AF89" i="1"/>
  <c r="AH89" i="1"/>
  <c r="AI89" i="1" s="1"/>
  <c r="U93" i="1"/>
  <c r="AF93" i="1"/>
  <c r="AU93" i="1"/>
  <c r="X94" i="1"/>
  <c r="AF94" i="1" s="1"/>
  <c r="AH95" i="1"/>
  <c r="AF96" i="1"/>
  <c r="AF97" i="1"/>
  <c r="AH97" i="1"/>
  <c r="AI97" i="1" s="1"/>
  <c r="AF98" i="1"/>
  <c r="AH98" i="1" s="1"/>
  <c r="AI98" i="1" s="1"/>
  <c r="AF99" i="1"/>
  <c r="AF101" i="1"/>
  <c r="AH101" i="1"/>
  <c r="AI101" i="1" s="1"/>
  <c r="AH102" i="1"/>
  <c r="M103" i="1"/>
  <c r="AF103" i="1"/>
  <c r="M104" i="1"/>
  <c r="X104" i="1"/>
  <c r="AF104" i="1"/>
  <c r="AF105" i="1"/>
  <c r="AF106" i="1"/>
  <c r="AH106" i="1" s="1"/>
  <c r="AI106" i="1" s="1"/>
  <c r="AH107" i="1"/>
  <c r="AI107" i="1" s="1"/>
  <c r="AF108" i="1"/>
  <c r="AH108" i="1"/>
  <c r="AI108" i="1" s="1"/>
  <c r="AH109" i="1"/>
  <c r="V110" i="1"/>
  <c r="AF110" i="1" s="1"/>
  <c r="AH111" i="1"/>
  <c r="AI111" i="1" s="1"/>
  <c r="V112" i="1"/>
  <c r="AF112" i="1"/>
  <c r="AH113" i="1"/>
  <c r="AF114" i="1"/>
  <c r="AH114" i="1" s="1"/>
  <c r="AI114" i="1" s="1"/>
  <c r="AF115" i="1"/>
  <c r="AH115" i="1" s="1"/>
  <c r="AI115" i="1" s="1"/>
  <c r="AF118" i="1"/>
  <c r="AH118" i="1" s="1"/>
  <c r="AU118" i="1"/>
  <c r="AF119" i="1"/>
  <c r="AH119" i="1"/>
  <c r="AI119" i="1" s="1"/>
  <c r="AF120" i="1"/>
  <c r="AF121" i="1"/>
  <c r="AH121" i="1" s="1"/>
  <c r="AI121" i="1" s="1"/>
  <c r="AF122" i="1"/>
  <c r="AF124" i="1"/>
  <c r="AH124" i="1"/>
  <c r="AI124" i="1" s="1"/>
  <c r="AF125" i="1"/>
  <c r="AH125" i="1" s="1"/>
  <c r="AI125" i="1" s="1"/>
  <c r="X126" i="1"/>
  <c r="AF126" i="1"/>
  <c r="AH126" i="1"/>
  <c r="AI126" i="1" s="1"/>
  <c r="AF127" i="1"/>
  <c r="AH127" i="1" s="1"/>
  <c r="AI127" i="1" s="1"/>
  <c r="X128" i="1"/>
  <c r="AF128" i="1"/>
  <c r="AH128" i="1" s="1"/>
  <c r="AI128" i="1" s="1"/>
  <c r="M131" i="1"/>
  <c r="X131" i="1"/>
  <c r="AF131" i="1"/>
  <c r="AH131" i="1" s="1"/>
  <c r="AU131" i="1"/>
  <c r="M132" i="1"/>
  <c r="X132" i="1"/>
  <c r="AF132" i="1" s="1"/>
  <c r="AH132" i="1"/>
  <c r="AI132" i="1" s="1"/>
  <c r="X134" i="1"/>
  <c r="AF134" i="1"/>
  <c r="AH134" i="1" s="1"/>
  <c r="M136" i="1"/>
  <c r="Q136" i="1"/>
  <c r="R136" i="1"/>
  <c r="W136" i="1"/>
  <c r="X136" i="1" s="1"/>
  <c r="AF139" i="1"/>
  <c r="AH139" i="1" s="1"/>
  <c r="AI139" i="1" s="1"/>
  <c r="AU139" i="1"/>
  <c r="AF140" i="1"/>
  <c r="AH140" i="1" s="1"/>
  <c r="M141" i="1"/>
  <c r="AF141" i="1"/>
  <c r="AH141" i="1" s="1"/>
  <c r="AI141" i="1" s="1"/>
  <c r="AF142" i="1"/>
  <c r="AH142" i="1"/>
  <c r="AI142" i="1" s="1"/>
  <c r="M143" i="1"/>
  <c r="AH143" i="1" s="1"/>
  <c r="AI143" i="1" s="1"/>
  <c r="AF143" i="1"/>
  <c r="M144" i="1"/>
  <c r="AF144" i="1"/>
  <c r="M146" i="1"/>
  <c r="AH146" i="1" s="1"/>
  <c r="AF146" i="1"/>
  <c r="M147" i="1"/>
  <c r="AF147" i="1"/>
  <c r="AH147" i="1"/>
  <c r="AI147" i="1" s="1"/>
  <c r="AF148" i="1"/>
  <c r="AH148" i="1" s="1"/>
  <c r="AI148" i="1" s="1"/>
  <c r="M149" i="1"/>
  <c r="AF149" i="1"/>
  <c r="AH149" i="1" s="1"/>
  <c r="AI149" i="1" s="1"/>
  <c r="M150" i="1"/>
  <c r="AF150" i="1"/>
  <c r="AH150" i="1"/>
  <c r="AI150" i="1" s="1"/>
  <c r="M151" i="1"/>
  <c r="AF151" i="1"/>
  <c r="AH151" i="1" s="1"/>
  <c r="AI151" i="1" s="1"/>
  <c r="Q154" i="1"/>
  <c r="AF154" i="1"/>
  <c r="AH154" i="1" s="1"/>
  <c r="AU154" i="1"/>
  <c r="AF155" i="1"/>
  <c r="AH155" i="1"/>
  <c r="AI155" i="1" s="1"/>
  <c r="AF156" i="1"/>
  <c r="AH156" i="1"/>
  <c r="AI156" i="1" s="1"/>
  <c r="AH157" i="1"/>
  <c r="AI157" i="1" s="1"/>
  <c r="AF160" i="1"/>
  <c r="AH160" i="1"/>
  <c r="AU160" i="1"/>
  <c r="AF161" i="1"/>
  <c r="AH161" i="1" s="1"/>
  <c r="AI161" i="1" s="1"/>
  <c r="AF162" i="1"/>
  <c r="AH162" i="1" s="1"/>
  <c r="AI162" i="1" s="1"/>
  <c r="M163" i="1"/>
  <c r="AF163" i="1"/>
  <c r="AH163" i="1" s="1"/>
  <c r="AI163" i="1" s="1"/>
  <c r="M165" i="1"/>
  <c r="AF165" i="1"/>
  <c r="AH165" i="1"/>
  <c r="AI165" i="1" s="1"/>
  <c r="AF168" i="1"/>
  <c r="AH168" i="1"/>
  <c r="AI168" i="1" s="1"/>
  <c r="AU168" i="1"/>
  <c r="M169" i="1"/>
  <c r="AF169" i="1"/>
  <c r="AH169" i="1" s="1"/>
  <c r="AI169" i="1" s="1"/>
  <c r="AF170" i="1"/>
  <c r="AF171" i="1"/>
  <c r="AH171" i="1"/>
  <c r="AI171" i="1" s="1"/>
  <c r="M173" i="1"/>
  <c r="AF173" i="1"/>
  <c r="AH173" i="1" s="1"/>
  <c r="AI173" i="1" s="1"/>
  <c r="AF174" i="1"/>
  <c r="AH174" i="1"/>
  <c r="AI174" i="1" s="1"/>
  <c r="M175" i="1"/>
  <c r="AF175" i="1"/>
  <c r="AF176" i="1"/>
  <c r="AH176" i="1"/>
  <c r="AI176" i="1" s="1"/>
  <c r="AF179" i="1"/>
  <c r="AU179" i="1"/>
  <c r="M180" i="1"/>
  <c r="X180" i="1"/>
  <c r="AF180" i="1" s="1"/>
  <c r="AH181" i="1"/>
  <c r="M182" i="1"/>
  <c r="AF182" i="1"/>
  <c r="AF183" i="1"/>
  <c r="M185" i="1"/>
  <c r="AF185" i="1"/>
  <c r="AH185" i="1" s="1"/>
  <c r="AI185" i="1" s="1"/>
  <c r="M186" i="1"/>
  <c r="AF186" i="1"/>
  <c r="AH186" i="1"/>
  <c r="AI186" i="1" s="1"/>
  <c r="AH187" i="1"/>
  <c r="AF188" i="1"/>
  <c r="AH188" i="1" s="1"/>
  <c r="AF190" i="1"/>
  <c r="AH190" i="1"/>
  <c r="AF191" i="1"/>
  <c r="AF192" i="1"/>
  <c r="AH192" i="1" s="1"/>
  <c r="AI192" i="1" s="1"/>
  <c r="AF195" i="1"/>
  <c r="AU195" i="1"/>
  <c r="AF196" i="1"/>
  <c r="AH196" i="1" s="1"/>
  <c r="AI196" i="1" s="1"/>
  <c r="AF197" i="1"/>
  <c r="AH197" i="1"/>
  <c r="AI197" i="1" s="1"/>
  <c r="AF198" i="1"/>
  <c r="AH198" i="1" s="1"/>
  <c r="AI198" i="1" s="1"/>
  <c r="AU201" i="1"/>
  <c r="AF202" i="1"/>
  <c r="AH203" i="1"/>
  <c r="AF204" i="1"/>
  <c r="AH204" i="1" s="1"/>
  <c r="AF205" i="1"/>
  <c r="Q209" i="1"/>
  <c r="AF209" i="1"/>
  <c r="AH209" i="1" s="1"/>
  <c r="AI209" i="1" s="1"/>
  <c r="AU209" i="1"/>
  <c r="R211" i="1"/>
  <c r="AF211" i="1" s="1"/>
  <c r="AH212" i="1"/>
  <c r="AF213" i="1"/>
  <c r="AF216" i="1"/>
  <c r="AH216" i="1"/>
  <c r="AU216" i="1"/>
  <c r="Q218" i="1"/>
  <c r="R218" i="1"/>
  <c r="AF218" i="1" s="1"/>
  <c r="AH218" i="1" s="1"/>
  <c r="R220" i="1"/>
  <c r="AF220" i="1" s="1"/>
  <c r="AH221" i="1"/>
  <c r="AF222" i="1"/>
  <c r="AH222" i="1" s="1"/>
  <c r="R223" i="1"/>
  <c r="AF223" i="1" s="1"/>
  <c r="AF226" i="1"/>
  <c r="AU226" i="1"/>
  <c r="AH227" i="1"/>
  <c r="AF229" i="1"/>
  <c r="AU229" i="1"/>
  <c r="AH230" i="1"/>
  <c r="AH237" i="1" s="1"/>
  <c r="AF231" i="1"/>
  <c r="AH232" i="1"/>
  <c r="AI232" i="1" s="1"/>
  <c r="AF233" i="1"/>
  <c r="AH234" i="1"/>
  <c r="AI234" i="1" s="1"/>
  <c r="AF235" i="1"/>
  <c r="AH236" i="1"/>
  <c r="AF239" i="1"/>
  <c r="AH239" i="1" s="1"/>
  <c r="AU239" i="1"/>
  <c r="AH242" i="1"/>
  <c r="AI242" i="1" s="1"/>
  <c r="AU242" i="1"/>
  <c r="AH243" i="1"/>
  <c r="AH246" i="1"/>
  <c r="AI246" i="1" s="1"/>
  <c r="AU246" i="1"/>
  <c r="AI248" i="1"/>
  <c r="AU248" i="1"/>
  <c r="AF251" i="1"/>
  <c r="AH251" i="1" s="1"/>
  <c r="AI251" i="1" s="1"/>
  <c r="AU251" i="1"/>
  <c r="AF252" i="1"/>
  <c r="AH252" i="1"/>
  <c r="R255" i="1"/>
  <c r="AF255" i="1" s="1"/>
  <c r="AH255" i="1" s="1"/>
  <c r="AU255" i="1"/>
  <c r="AF257" i="1"/>
  <c r="AH257" i="1" s="1"/>
  <c r="AU257" i="1"/>
  <c r="AF258" i="1"/>
  <c r="X261" i="1"/>
  <c r="AF261" i="1" s="1"/>
  <c r="AH261" i="1"/>
  <c r="AH262" i="1" s="1"/>
  <c r="X263" i="1"/>
  <c r="AF263" i="1"/>
  <c r="AU263" i="1"/>
  <c r="AH264" i="1"/>
  <c r="AF265" i="1"/>
  <c r="AU265" i="1"/>
  <c r="AF266" i="1"/>
  <c r="AH266" i="1" s="1"/>
  <c r="AI266" i="1" s="1"/>
  <c r="AF269" i="1"/>
  <c r="AH269" i="1" s="1"/>
  <c r="AU269" i="1"/>
  <c r="AF270" i="1"/>
  <c r="AF274" i="1"/>
  <c r="AU274" i="1"/>
  <c r="AF275" i="1"/>
  <c r="AF276" i="1"/>
  <c r="AH277" i="1"/>
  <c r="AF278" i="1"/>
  <c r="AH278" i="1" s="1"/>
  <c r="AI278" i="1" s="1"/>
  <c r="AU278" i="1"/>
  <c r="AF279" i="1"/>
  <c r="AH280" i="1"/>
  <c r="S281" i="1"/>
  <c r="AF281" i="1"/>
  <c r="AU281" i="1"/>
  <c r="S282" i="1"/>
  <c r="AF282" i="1"/>
  <c r="AH283" i="1"/>
  <c r="AF284" i="1"/>
  <c r="AU284" i="1"/>
  <c r="AH285" i="1"/>
  <c r="AF286" i="1"/>
  <c r="AH286" i="1"/>
  <c r="AI286" i="1" s="1"/>
  <c r="AF287" i="1"/>
  <c r="AH287" i="1"/>
  <c r="AI287" i="1" s="1"/>
  <c r="AU287" i="1"/>
  <c r="AF288" i="1"/>
  <c r="AH288" i="1"/>
  <c r="AI288" i="1" s="1"/>
  <c r="AF290" i="1"/>
  <c r="AH290" i="1"/>
  <c r="AI290" i="1" s="1"/>
  <c r="AU290" i="1"/>
  <c r="AF291" i="1"/>
  <c r="AH292" i="1"/>
  <c r="AI292" i="1"/>
  <c r="S293" i="1"/>
  <c r="AF293" i="1"/>
  <c r="AH293" i="1"/>
  <c r="AI293" i="1" s="1"/>
  <c r="AU293" i="1"/>
  <c r="S294" i="1"/>
  <c r="AF294" i="1"/>
  <c r="AF296" i="1"/>
  <c r="AU296" i="1"/>
  <c r="AF297" i="1"/>
  <c r="AF298" i="1"/>
  <c r="AH299" i="1"/>
  <c r="AI299" i="1" s="1"/>
  <c r="AF300" i="1"/>
  <c r="AF301" i="1"/>
  <c r="AH301" i="1" s="1"/>
  <c r="AI301" i="1" s="1"/>
  <c r="AU301" i="1"/>
  <c r="AF302" i="1"/>
  <c r="AF303" i="1"/>
  <c r="AF305" i="1"/>
  <c r="AH305" i="1"/>
  <c r="AI305" i="1" s="1"/>
  <c r="AU305" i="1"/>
  <c r="AH306" i="1"/>
  <c r="AF310" i="1"/>
  <c r="AU310" i="1"/>
  <c r="AF311" i="1"/>
  <c r="AH311" i="1"/>
  <c r="AF314" i="1"/>
  <c r="AH314" i="1"/>
  <c r="AI314" i="1" s="1"/>
  <c r="AU314" i="1"/>
  <c r="AF315" i="1"/>
  <c r="AH315" i="1"/>
  <c r="AI315" i="1" s="1"/>
  <c r="AF316" i="1"/>
  <c r="AF317" i="1"/>
  <c r="AF318" i="1"/>
  <c r="AF319" i="1"/>
  <c r="AH319" i="1"/>
  <c r="AI319" i="1" s="1"/>
  <c r="AF320" i="1"/>
  <c r="AH320" i="1" s="1"/>
  <c r="AI320" i="1" s="1"/>
  <c r="M322" i="1"/>
  <c r="AF322" i="1"/>
  <c r="AH322" i="1"/>
  <c r="AI322" i="1" s="1"/>
  <c r="AF323" i="1"/>
  <c r="AF324" i="1"/>
  <c r="AH324" i="1"/>
  <c r="AI324" i="1" s="1"/>
  <c r="V328" i="1"/>
  <c r="AF328" i="1" s="1"/>
  <c r="AU328" i="1"/>
  <c r="AF329" i="1"/>
  <c r="AF330" i="1"/>
  <c r="AF331" i="1"/>
  <c r="AF332" i="1"/>
  <c r="AF333" i="1"/>
  <c r="AH333" i="1"/>
  <c r="AI333" i="1" s="1"/>
  <c r="AF334" i="1"/>
  <c r="AF335" i="1"/>
  <c r="AH336" i="1"/>
  <c r="AH337" i="1"/>
  <c r="AF339" i="1"/>
  <c r="AU339" i="1"/>
  <c r="AF340" i="1"/>
  <c r="AH340" i="1"/>
  <c r="AI340" i="1" s="1"/>
  <c r="AF341" i="1"/>
  <c r="AF343" i="1"/>
  <c r="AF344" i="1"/>
  <c r="AH344" i="1" s="1"/>
  <c r="AF345" i="1"/>
  <c r="AF347" i="1"/>
  <c r="AH347" i="1"/>
  <c r="AI347" i="1" s="1"/>
  <c r="AF348" i="1"/>
  <c r="AH348" i="1" s="1"/>
  <c r="AI348" i="1" s="1"/>
  <c r="AF349" i="1"/>
  <c r="AH349" i="1"/>
  <c r="AI349" i="1" s="1"/>
  <c r="AF352" i="1"/>
  <c r="AH352" i="1" s="1"/>
  <c r="AU352" i="1"/>
  <c r="AF353" i="1"/>
  <c r="AH353" i="1" s="1"/>
  <c r="AI353" i="1" s="1"/>
  <c r="AF354" i="1"/>
  <c r="AF356" i="1"/>
  <c r="AF357" i="1"/>
  <c r="AF358" i="1"/>
  <c r="AF359" i="1"/>
  <c r="AH360" i="1"/>
  <c r="AF361" i="1"/>
  <c r="AH361" i="1" s="1"/>
  <c r="AF366" i="1"/>
  <c r="AH366" i="1"/>
  <c r="AI366" i="1" s="1"/>
  <c r="AU366" i="1"/>
  <c r="AF367" i="1"/>
  <c r="AH367" i="1"/>
  <c r="AI367" i="1" s="1"/>
  <c r="AF368" i="1"/>
  <c r="AF369" i="1"/>
  <c r="AF370" i="1"/>
  <c r="AH370" i="1" s="1"/>
  <c r="AI370" i="1" s="1"/>
  <c r="AF371" i="1"/>
  <c r="AH371" i="1"/>
  <c r="AI371" i="1" s="1"/>
  <c r="AF372" i="1"/>
  <c r="AH372" i="1"/>
  <c r="AI372" i="1" s="1"/>
  <c r="AF375" i="1"/>
  <c r="AU375" i="1"/>
  <c r="AF376" i="1"/>
  <c r="AH376" i="1"/>
  <c r="AI376" i="1" s="1"/>
  <c r="AF377" i="1"/>
  <c r="AH377" i="1" s="1"/>
  <c r="AF380" i="1"/>
  <c r="AF381" i="1"/>
  <c r="AH381" i="1"/>
  <c r="AI381" i="1" s="1"/>
  <c r="AF382" i="1"/>
  <c r="AF383" i="1"/>
  <c r="AH383" i="1"/>
  <c r="AI383" i="1" s="1"/>
  <c r="AF384" i="1"/>
  <c r="AH384" i="1"/>
  <c r="AI384" i="1" s="1"/>
  <c r="AF388" i="1"/>
  <c r="AU388" i="1"/>
  <c r="AH389" i="1"/>
  <c r="AI389" i="1" s="1"/>
  <c r="AF390" i="1"/>
  <c r="AH390" i="1" s="1"/>
  <c r="AF393" i="1"/>
  <c r="AU393" i="1"/>
  <c r="AH394" i="1"/>
  <c r="AF395" i="1"/>
  <c r="AH395" i="1"/>
  <c r="AI395" i="1" s="1"/>
  <c r="AF396" i="1"/>
  <c r="AH396" i="1" s="1"/>
  <c r="AI396" i="1" s="1"/>
  <c r="AF398" i="1"/>
  <c r="AH399" i="1"/>
  <c r="Y400" i="1"/>
  <c r="AF400" i="1"/>
  <c r="AH401" i="1"/>
  <c r="U403" i="1"/>
  <c r="AF403" i="1" s="1"/>
  <c r="AU403" i="1"/>
  <c r="AH404" i="1"/>
  <c r="AF407" i="1"/>
  <c r="AH407" i="1" s="1"/>
  <c r="AF408" i="1"/>
  <c r="AH408" i="1"/>
  <c r="AI408" i="1" s="1"/>
  <c r="AF409" i="1"/>
  <c r="AH409" i="1"/>
  <c r="AI409" i="1" s="1"/>
  <c r="AF410" i="1"/>
  <c r="AH410" i="1" s="1"/>
  <c r="AI410" i="1" s="1"/>
  <c r="AF411" i="1"/>
  <c r="AH411" i="1"/>
  <c r="AI411" i="1" s="1"/>
  <c r="AF412" i="1"/>
  <c r="AH412" i="1"/>
  <c r="AI412" i="1" s="1"/>
  <c r="AF415" i="1"/>
  <c r="AH415" i="1"/>
  <c r="AI415" i="1" s="1"/>
  <c r="AF416" i="1"/>
  <c r="AH416" i="1"/>
  <c r="AI416" i="1" s="1"/>
  <c r="AF417" i="1"/>
  <c r="AH417" i="1" s="1"/>
  <c r="AF418" i="1"/>
  <c r="C117" i="4"/>
  <c r="AI12" i="1" l="1"/>
  <c r="AH14" i="1"/>
  <c r="AI390" i="1"/>
  <c r="AH391" i="1"/>
  <c r="AI377" i="1"/>
  <c r="AH378" i="1"/>
  <c r="AI417" i="1"/>
  <c r="AH419" i="1"/>
  <c r="AI222" i="1"/>
  <c r="AH224" i="1"/>
  <c r="AI218" i="1"/>
  <c r="AH219" i="1"/>
  <c r="AI204" i="1"/>
  <c r="AH206" i="1"/>
  <c r="AI140" i="1"/>
  <c r="AH145" i="1"/>
  <c r="AI70" i="1"/>
  <c r="AH73" i="1"/>
  <c r="AI45" i="1"/>
  <c r="AH47" i="1"/>
  <c r="AI361" i="1"/>
  <c r="AH363" i="1"/>
  <c r="AH301" i="2"/>
  <c r="AG307" i="2"/>
  <c r="AI352" i="1"/>
  <c r="AH355" i="1"/>
  <c r="AI48" i="1"/>
  <c r="AH52" i="1"/>
  <c r="AI146" i="1"/>
  <c r="AH152" i="1"/>
  <c r="AI407" i="1"/>
  <c r="AH413" i="1"/>
  <c r="AI344" i="1"/>
  <c r="AH346" i="1"/>
  <c r="AI131" i="1"/>
  <c r="AH133" i="1"/>
  <c r="C86" i="4"/>
  <c r="J8" i="5" s="1"/>
  <c r="AI237" i="1"/>
  <c r="AI306" i="1"/>
  <c r="C121" i="4"/>
  <c r="AI187" i="1"/>
  <c r="C66" i="4"/>
  <c r="AI63" i="1"/>
  <c r="AH69" i="1"/>
  <c r="C9" i="4"/>
  <c r="AI9" i="1"/>
  <c r="AH252" i="2"/>
  <c r="AG255" i="2"/>
  <c r="AH200" i="2"/>
  <c r="AG203" i="2"/>
  <c r="AH169" i="2"/>
  <c r="AG170" i="2"/>
  <c r="AH67" i="2"/>
  <c r="AG70" i="2"/>
  <c r="AH110" i="3"/>
  <c r="AG115" i="3"/>
  <c r="AH10" i="3"/>
  <c r="AG11" i="3"/>
  <c r="AI212" i="1"/>
  <c r="C77" i="4"/>
  <c r="AH214" i="1"/>
  <c r="AF136" i="1"/>
  <c r="AH136" i="1" s="1"/>
  <c r="AI86" i="1"/>
  <c r="AH87" i="1"/>
  <c r="C30" i="4"/>
  <c r="AI81" i="1"/>
  <c r="AG198" i="2"/>
  <c r="AH186" i="2"/>
  <c r="AG187" i="2"/>
  <c r="AH175" i="2"/>
  <c r="C217" i="4"/>
  <c r="AH126" i="2"/>
  <c r="AG134" i="2"/>
  <c r="AH119" i="2"/>
  <c r="C198" i="4"/>
  <c r="L5" i="6" s="1"/>
  <c r="AH114" i="2"/>
  <c r="AG116" i="2"/>
  <c r="AH102" i="2"/>
  <c r="C193" i="4"/>
  <c r="AG113" i="2"/>
  <c r="AH58" i="2"/>
  <c r="AG59" i="2"/>
  <c r="AH41" i="2"/>
  <c r="AG44" i="2"/>
  <c r="AH169" i="3"/>
  <c r="AG173" i="3"/>
  <c r="AH151" i="3"/>
  <c r="C308" i="4"/>
  <c r="O7" i="7" s="1"/>
  <c r="AH135" i="3"/>
  <c r="AG136" i="3"/>
  <c r="AH16" i="3"/>
  <c r="AG18" i="3"/>
  <c r="AI399" i="1"/>
  <c r="C153" i="4"/>
  <c r="AI264" i="1"/>
  <c r="C106" i="4"/>
  <c r="AH182" i="1"/>
  <c r="AH175" i="1"/>
  <c r="AI175" i="1" s="1"/>
  <c r="AH172" i="1"/>
  <c r="AI113" i="1"/>
  <c r="C43" i="4"/>
  <c r="AH90" i="1"/>
  <c r="AI75" i="1"/>
  <c r="AH79" i="1"/>
  <c r="AI61" i="1"/>
  <c r="C24" i="4"/>
  <c r="AI43" i="1"/>
  <c r="AH44" i="1"/>
  <c r="AI21" i="1"/>
  <c r="C12" i="4"/>
  <c r="AH262" i="2"/>
  <c r="AG264" i="2"/>
  <c r="AH238" i="2"/>
  <c r="AG243" i="2"/>
  <c r="AH205" i="2"/>
  <c r="AG208" i="2"/>
  <c r="AH166" i="2"/>
  <c r="AG168" i="2"/>
  <c r="AH94" i="2"/>
  <c r="C190" i="4"/>
  <c r="AH87" i="2"/>
  <c r="AG90" i="2"/>
  <c r="AH80" i="2"/>
  <c r="AG83" i="2"/>
  <c r="AH45" i="2"/>
  <c r="AG48" i="2"/>
  <c r="AH200" i="3"/>
  <c r="AG201" i="3"/>
  <c r="AH133" i="3"/>
  <c r="AG134" i="3"/>
  <c r="AH71" i="3"/>
  <c r="C281" i="4"/>
  <c r="C13" i="7" s="1"/>
  <c r="AH42" i="3"/>
  <c r="C268" i="4"/>
  <c r="C9" i="7" s="1"/>
  <c r="AH20" i="3"/>
  <c r="AG22" i="3"/>
  <c r="AI404" i="1"/>
  <c r="C156" i="4"/>
  <c r="C155" i="4"/>
  <c r="X7" i="5" s="1"/>
  <c r="AH312" i="1"/>
  <c r="AI311" i="1"/>
  <c r="AH289" i="1"/>
  <c r="AI57" i="1"/>
  <c r="C22" i="4"/>
  <c r="AH258" i="2"/>
  <c r="AG260" i="2"/>
  <c r="AI221" i="1"/>
  <c r="C82" i="4"/>
  <c r="AI203" i="1"/>
  <c r="C72" i="4"/>
  <c r="AH325" i="1"/>
  <c r="AI277" i="1"/>
  <c r="C112" i="4"/>
  <c r="AI236" i="1"/>
  <c r="C90" i="4"/>
  <c r="AI230" i="1"/>
  <c r="C87" i="4"/>
  <c r="AI216" i="1"/>
  <c r="AH217" i="1"/>
  <c r="AH207" i="1"/>
  <c r="AI190" i="1"/>
  <c r="AH193" i="1"/>
  <c r="AI160" i="1"/>
  <c r="AH164" i="1"/>
  <c r="AI118" i="1"/>
  <c r="AH123" i="1"/>
  <c r="AH100" i="1"/>
  <c r="AI84" i="1"/>
  <c r="C31" i="4"/>
  <c r="AH42" i="1"/>
  <c r="AH38" i="1"/>
  <c r="AH24" i="1"/>
  <c r="AH296" i="2"/>
  <c r="AG299" i="2"/>
  <c r="AH221" i="2"/>
  <c r="C234" i="4"/>
  <c r="AH216" i="2"/>
  <c r="AG217" i="2"/>
  <c r="AH190" i="2"/>
  <c r="AG191" i="2"/>
  <c r="AH180" i="2"/>
  <c r="AG185" i="2"/>
  <c r="AH154" i="2"/>
  <c r="AG162" i="2"/>
  <c r="AH110" i="2"/>
  <c r="AG112" i="2"/>
  <c r="AH72" i="2"/>
  <c r="AG74" i="2"/>
  <c r="AH142" i="3"/>
  <c r="C304" i="4"/>
  <c r="AH61" i="3"/>
  <c r="C276" i="4"/>
  <c r="AI102" i="1"/>
  <c r="C39" i="4"/>
  <c r="AH247" i="2"/>
  <c r="AG248" i="2"/>
  <c r="AH12" i="2"/>
  <c r="AG27" i="2"/>
  <c r="AI336" i="1"/>
  <c r="C130" i="4"/>
  <c r="C41" i="4"/>
  <c r="AI109" i="1"/>
  <c r="AH385" i="1"/>
  <c r="AH373" i="1"/>
  <c r="AI360" i="1"/>
  <c r="C138" i="4"/>
  <c r="AH321" i="1"/>
  <c r="AH210" i="1"/>
  <c r="AH199" i="1"/>
  <c r="AI181" i="1"/>
  <c r="C64" i="4"/>
  <c r="AI134" i="1"/>
  <c r="AH135" i="1"/>
  <c r="AH129" i="1"/>
  <c r="AI53" i="1"/>
  <c r="AH55" i="1"/>
  <c r="AI15" i="1"/>
  <c r="AH19" i="1"/>
  <c r="AG295" i="2"/>
  <c r="AH289" i="2"/>
  <c r="AG292" i="2"/>
  <c r="AH268" i="2"/>
  <c r="AG288" i="2"/>
  <c r="AH249" i="2"/>
  <c r="AG251" i="2"/>
  <c r="AG230" i="2"/>
  <c r="AH122" i="2"/>
  <c r="AG124" i="2"/>
  <c r="AH50" i="2"/>
  <c r="AG51" i="2"/>
  <c r="AH159" i="3"/>
  <c r="AG164" i="3"/>
  <c r="AH32" i="3"/>
  <c r="AG33" i="3"/>
  <c r="AI337" i="1"/>
  <c r="C129" i="4"/>
  <c r="U7" i="5" s="1"/>
  <c r="AI227" i="1"/>
  <c r="C85" i="4"/>
  <c r="AH228" i="1"/>
  <c r="AI154" i="1"/>
  <c r="AH158" i="1"/>
  <c r="AH75" i="2"/>
  <c r="AG77" i="2"/>
  <c r="AI394" i="1"/>
  <c r="C151" i="4"/>
  <c r="AH397" i="1"/>
  <c r="AH402" i="1" s="1"/>
  <c r="C119" i="4"/>
  <c r="AH405" i="1"/>
  <c r="AI405" i="1" s="1"/>
  <c r="AI401" i="1"/>
  <c r="C154" i="4"/>
  <c r="AH350" i="1"/>
  <c r="AH342" i="1"/>
  <c r="AH338" i="1"/>
  <c r="AI338" i="1" s="1"/>
  <c r="AH304" i="1"/>
  <c r="AH295" i="1"/>
  <c r="AI283" i="1"/>
  <c r="C114" i="4"/>
  <c r="C113" i="4"/>
  <c r="AI280" i="1"/>
  <c r="AI188" i="1"/>
  <c r="AH189" i="1"/>
  <c r="AH166" i="1"/>
  <c r="AH116" i="1"/>
  <c r="AH32" i="1"/>
  <c r="AH7" i="1"/>
  <c r="AG313" i="2"/>
  <c r="AH265" i="2"/>
  <c r="AG266" i="2"/>
  <c r="AH224" i="2"/>
  <c r="AG226" i="2"/>
  <c r="AH188" i="2"/>
  <c r="AG189" i="2"/>
  <c r="AH171" i="2"/>
  <c r="AG172" i="2"/>
  <c r="AH150" i="2"/>
  <c r="AG151" i="2"/>
  <c r="AH140" i="2"/>
  <c r="AG146" i="2"/>
  <c r="AH135" i="2"/>
  <c r="AG139" i="2"/>
  <c r="AH63" i="2"/>
  <c r="AG66" i="2"/>
  <c r="AG34" i="2"/>
  <c r="AH107" i="3"/>
  <c r="C291" i="4"/>
  <c r="AH91" i="3"/>
  <c r="C286" i="4"/>
  <c r="AG92" i="3"/>
  <c r="AG67" i="3"/>
  <c r="AH45" i="3"/>
  <c r="AG49" i="3"/>
  <c r="AI285" i="1"/>
  <c r="C115" i="4"/>
  <c r="AI95" i="1"/>
  <c r="C37" i="4"/>
  <c r="AG11" i="2"/>
  <c r="AG179" i="3"/>
  <c r="AG168" i="3"/>
  <c r="AG54" i="3"/>
  <c r="AH54" i="3" s="1"/>
  <c r="AG215" i="2"/>
  <c r="AH105" i="2"/>
  <c r="C194" i="4"/>
  <c r="H5" i="6" s="1"/>
  <c r="AH57" i="2"/>
  <c r="C177" i="4"/>
  <c r="AG53" i="2"/>
  <c r="AH184" i="3"/>
  <c r="C319" i="4"/>
  <c r="S6" i="7" s="1"/>
  <c r="AH104" i="3"/>
  <c r="C292" i="4"/>
  <c r="AG86" i="2"/>
  <c r="AG39" i="2"/>
  <c r="AG132" i="3"/>
  <c r="AG58" i="3"/>
  <c r="AH177" i="2"/>
  <c r="C218" i="4"/>
  <c r="AH121" i="2"/>
  <c r="C199" i="4"/>
  <c r="L6" i="6" s="1"/>
  <c r="AH61" i="2"/>
  <c r="C179" i="4"/>
  <c r="AH156" i="3"/>
  <c r="AG158" i="3"/>
  <c r="AH150" i="3"/>
  <c r="C309" i="4"/>
  <c r="AH118" i="3"/>
  <c r="AG130" i="3"/>
  <c r="AH106" i="3"/>
  <c r="C293" i="4"/>
  <c r="AH93" i="3"/>
  <c r="AG99" i="3"/>
  <c r="AH63" i="3"/>
  <c r="AG65" i="3"/>
  <c r="AH41" i="3"/>
  <c r="C270" i="4"/>
  <c r="AH149" i="2"/>
  <c r="C207" i="4"/>
  <c r="AH143" i="3"/>
  <c r="AG144" i="3"/>
  <c r="AH109" i="3"/>
  <c r="C295" i="4"/>
  <c r="AG85" i="3"/>
  <c r="AH27" i="3"/>
  <c r="AG28" i="3"/>
  <c r="AI59" i="1"/>
  <c r="AG191" i="3"/>
  <c r="C320" i="4"/>
  <c r="AH148" i="3"/>
  <c r="C306" i="4"/>
  <c r="O6" i="7" s="1"/>
  <c r="AH69" i="3"/>
  <c r="C280" i="4"/>
  <c r="C310" i="4"/>
  <c r="O8" i="7" s="1"/>
  <c r="AH73" i="3"/>
  <c r="AH153" i="3"/>
  <c r="C311" i="4"/>
  <c r="AG23" i="3"/>
  <c r="AG8" i="3"/>
  <c r="C301" i="4"/>
  <c r="C263" i="4"/>
  <c r="S9" i="4"/>
  <c r="AG199" i="3"/>
  <c r="AI269" i="1"/>
  <c r="AH271" i="1"/>
  <c r="AH267" i="1"/>
  <c r="AI262" i="1"/>
  <c r="C105" i="4"/>
  <c r="AH268" i="1"/>
  <c r="AI261" i="1"/>
  <c r="AI257" i="1"/>
  <c r="AH259" i="1"/>
  <c r="AI255" i="1"/>
  <c r="AH256" i="1"/>
  <c r="AH253" i="1"/>
  <c r="AI253" i="1" s="1"/>
  <c r="C100" i="4"/>
  <c r="AI252" i="1"/>
  <c r="AH249" i="1"/>
  <c r="AH247" i="1"/>
  <c r="AI247" i="1" s="1"/>
  <c r="AI243" i="1"/>
  <c r="AH244" i="1"/>
  <c r="AH245" i="1" s="1"/>
  <c r="AI245" i="1" s="1"/>
  <c r="AH240" i="1"/>
  <c r="AI239" i="1"/>
  <c r="AI402" i="1" l="1"/>
  <c r="C150" i="4"/>
  <c r="X6" i="5" s="1"/>
  <c r="AH65" i="3"/>
  <c r="AG70" i="3"/>
  <c r="C278" i="4"/>
  <c r="AH189" i="2"/>
  <c r="C223" i="4"/>
  <c r="C241" i="4"/>
  <c r="AH251" i="2"/>
  <c r="C50" i="4"/>
  <c r="AI135" i="1"/>
  <c r="AH162" i="2"/>
  <c r="C210" i="4"/>
  <c r="AG163" i="2"/>
  <c r="AH163" i="2" s="1"/>
  <c r="AI123" i="1"/>
  <c r="C46" i="4"/>
  <c r="AH130" i="1"/>
  <c r="C197" i="4"/>
  <c r="AG125" i="2"/>
  <c r="AH125" i="2" s="1"/>
  <c r="AH116" i="2"/>
  <c r="AH307" i="2"/>
  <c r="C253" i="4"/>
  <c r="AI73" i="1"/>
  <c r="C27" i="4"/>
  <c r="AI378" i="1"/>
  <c r="C144" i="4"/>
  <c r="AH379" i="1"/>
  <c r="AG202" i="3"/>
  <c r="AH202" i="3" s="1"/>
  <c r="AH132" i="3"/>
  <c r="C298" i="4"/>
  <c r="AH215" i="2"/>
  <c r="C232" i="4"/>
  <c r="AG231" i="2"/>
  <c r="AH92" i="3"/>
  <c r="C285" i="4"/>
  <c r="G6" i="7" s="1"/>
  <c r="AH34" i="2"/>
  <c r="C170" i="4"/>
  <c r="AG49" i="2"/>
  <c r="AI7" i="1"/>
  <c r="C8" i="4"/>
  <c r="AH25" i="1"/>
  <c r="C120" i="4"/>
  <c r="AI304" i="1"/>
  <c r="AH51" i="2"/>
  <c r="C175" i="4"/>
  <c r="AG62" i="2"/>
  <c r="AI19" i="1"/>
  <c r="C11" i="4"/>
  <c r="AI38" i="1"/>
  <c r="C16" i="4"/>
  <c r="C80" i="4"/>
  <c r="AI217" i="1"/>
  <c r="AH225" i="1"/>
  <c r="AI289" i="1"/>
  <c r="C116" i="4"/>
  <c r="AH22" i="3"/>
  <c r="C265" i="4"/>
  <c r="AH134" i="3"/>
  <c r="C299" i="4"/>
  <c r="AH83" i="2"/>
  <c r="C187" i="4"/>
  <c r="AG95" i="2"/>
  <c r="AH168" i="2"/>
  <c r="C214" i="4"/>
  <c r="AH264" i="2"/>
  <c r="C246" i="4"/>
  <c r="AH59" i="2"/>
  <c r="C178" i="4"/>
  <c r="C33" i="4"/>
  <c r="AI87" i="1"/>
  <c r="AH91" i="1"/>
  <c r="AH11" i="3"/>
  <c r="C261" i="4"/>
  <c r="AH170" i="2"/>
  <c r="C215" i="4"/>
  <c r="C134" i="4"/>
  <c r="AI346" i="1"/>
  <c r="AH130" i="3"/>
  <c r="C297" i="4"/>
  <c r="AH77" i="2"/>
  <c r="C185" i="4"/>
  <c r="C127" i="4"/>
  <c r="AI321" i="1"/>
  <c r="AH326" i="1"/>
  <c r="AH217" i="2"/>
  <c r="C233" i="4"/>
  <c r="C71" i="4"/>
  <c r="G14" i="5" s="1"/>
  <c r="AI207" i="1"/>
  <c r="C54" i="4"/>
  <c r="AI152" i="1"/>
  <c r="AI219" i="1"/>
  <c r="C81" i="4"/>
  <c r="AG86" i="3"/>
  <c r="AH85" i="3"/>
  <c r="C284" i="4"/>
  <c r="AH99" i="3"/>
  <c r="AG100" i="3"/>
  <c r="C288" i="4"/>
  <c r="AH39" i="2"/>
  <c r="C171" i="4"/>
  <c r="AH53" i="2"/>
  <c r="C176" i="4"/>
  <c r="AH66" i="2"/>
  <c r="C181" i="4"/>
  <c r="AG71" i="2"/>
  <c r="AH151" i="2"/>
  <c r="C208" i="4"/>
  <c r="AG152" i="2"/>
  <c r="AH226" i="2"/>
  <c r="C235" i="4"/>
  <c r="AI32" i="1"/>
  <c r="C15" i="4"/>
  <c r="AH62" i="1"/>
  <c r="AI158" i="1"/>
  <c r="C56" i="4"/>
  <c r="AH159" i="1"/>
  <c r="AH288" i="2"/>
  <c r="C249" i="4"/>
  <c r="AG314" i="2"/>
  <c r="AH74" i="2"/>
  <c r="C184" i="4"/>
  <c r="AG78" i="2"/>
  <c r="C221" i="4"/>
  <c r="AH185" i="2"/>
  <c r="AG192" i="2"/>
  <c r="AI42" i="1"/>
  <c r="C17" i="4"/>
  <c r="AI164" i="1"/>
  <c r="C58" i="4"/>
  <c r="AH167" i="1"/>
  <c r="AI172" i="1"/>
  <c r="C61" i="4"/>
  <c r="AH187" i="2"/>
  <c r="C222" i="4"/>
  <c r="AI52" i="1"/>
  <c r="C20" i="4"/>
  <c r="AI363" i="1"/>
  <c r="C139" i="4"/>
  <c r="C53" i="4"/>
  <c r="AI145" i="1"/>
  <c r="AH153" i="1"/>
  <c r="C83" i="4"/>
  <c r="AI224" i="1"/>
  <c r="AI391" i="1"/>
  <c r="C149" i="4"/>
  <c r="AH392" i="1"/>
  <c r="AH23" i="3"/>
  <c r="C262" i="4"/>
  <c r="C6" i="7" s="1"/>
  <c r="AH144" i="3"/>
  <c r="C305" i="4"/>
  <c r="AH58" i="3"/>
  <c r="C275" i="4"/>
  <c r="AG62" i="3"/>
  <c r="AH313" i="2"/>
  <c r="C254" i="4"/>
  <c r="AG145" i="3"/>
  <c r="AH124" i="2"/>
  <c r="C200" i="4"/>
  <c r="L7" i="6" s="1"/>
  <c r="AH260" i="2"/>
  <c r="C245" i="4"/>
  <c r="AG267" i="2"/>
  <c r="AI312" i="1"/>
  <c r="C125" i="4"/>
  <c r="AH313" i="1"/>
  <c r="AH201" i="3"/>
  <c r="C325" i="4"/>
  <c r="AH90" i="2"/>
  <c r="C189" i="4"/>
  <c r="AI79" i="1"/>
  <c r="C29" i="4"/>
  <c r="AH85" i="1"/>
  <c r="AH18" i="3"/>
  <c r="C264" i="4"/>
  <c r="AH113" i="2"/>
  <c r="AI136" i="1"/>
  <c r="AH137" i="1"/>
  <c r="AH115" i="3"/>
  <c r="C296" i="4"/>
  <c r="AH203" i="2"/>
  <c r="C228" i="4"/>
  <c r="AG209" i="2"/>
  <c r="AI69" i="1"/>
  <c r="C26" i="4"/>
  <c r="AH74" i="1"/>
  <c r="AH28" i="3"/>
  <c r="C266" i="4"/>
  <c r="C7" i="7" s="1"/>
  <c r="AH67" i="3"/>
  <c r="C279" i="4"/>
  <c r="AI295" i="1"/>
  <c r="C118" i="4"/>
  <c r="AH295" i="2"/>
  <c r="C251" i="4"/>
  <c r="AI24" i="1"/>
  <c r="C13" i="4"/>
  <c r="AH168" i="3"/>
  <c r="C316" i="4"/>
  <c r="AI342" i="1"/>
  <c r="C133" i="4"/>
  <c r="AH351" i="1"/>
  <c r="AI55" i="1"/>
  <c r="C21" i="4"/>
  <c r="AH27" i="2"/>
  <c r="C168" i="4"/>
  <c r="AH307" i="1"/>
  <c r="C317" i="4"/>
  <c r="AH173" i="3"/>
  <c r="AH191" i="3"/>
  <c r="C321" i="4"/>
  <c r="S7" i="7" s="1"/>
  <c r="AG192" i="3"/>
  <c r="AH192" i="3" s="1"/>
  <c r="AG139" i="3"/>
  <c r="AH158" i="3"/>
  <c r="C314" i="4"/>
  <c r="AG180" i="3"/>
  <c r="AH179" i="3"/>
  <c r="C318" i="4"/>
  <c r="AH49" i="3"/>
  <c r="AG55" i="3"/>
  <c r="C272" i="4"/>
  <c r="AH139" i="2"/>
  <c r="C204" i="4"/>
  <c r="AH172" i="2"/>
  <c r="C216" i="4"/>
  <c r="AG178" i="2"/>
  <c r="AH266" i="2"/>
  <c r="C247" i="4"/>
  <c r="AI166" i="1"/>
  <c r="C59" i="4"/>
  <c r="AI350" i="1"/>
  <c r="C135" i="4"/>
  <c r="AI228" i="1"/>
  <c r="C84" i="4"/>
  <c r="J7" i="5" s="1"/>
  <c r="AH292" i="2"/>
  <c r="C250" i="4"/>
  <c r="AI199" i="1"/>
  <c r="C70" i="4"/>
  <c r="AH200" i="1"/>
  <c r="AI385" i="1"/>
  <c r="C146" i="4"/>
  <c r="AH386" i="1"/>
  <c r="AH112" i="2"/>
  <c r="C195" i="4"/>
  <c r="H6" i="6" s="1"/>
  <c r="AH191" i="2"/>
  <c r="C224" i="4"/>
  <c r="AH299" i="2"/>
  <c r="C252" i="4"/>
  <c r="AI193" i="1"/>
  <c r="C68" i="4"/>
  <c r="AI325" i="1"/>
  <c r="C128" i="4"/>
  <c r="AI182" i="1"/>
  <c r="AH184" i="1"/>
  <c r="H4" i="6"/>
  <c r="C192" i="4"/>
  <c r="C203" i="4"/>
  <c r="AH134" i="2"/>
  <c r="AG147" i="2"/>
  <c r="AH198" i="2"/>
  <c r="C226" i="4"/>
  <c r="AG199" i="2"/>
  <c r="AI214" i="1"/>
  <c r="C78" i="4"/>
  <c r="AI413" i="1"/>
  <c r="C159" i="4"/>
  <c r="AH421" i="1"/>
  <c r="AI421" i="1" s="1"/>
  <c r="AH414" i="1"/>
  <c r="AI355" i="1"/>
  <c r="C137" i="4"/>
  <c r="AH364" i="1"/>
  <c r="AI47" i="1"/>
  <c r="C19" i="4"/>
  <c r="AI206" i="1"/>
  <c r="C73" i="4"/>
  <c r="C161" i="4"/>
  <c r="AI419" i="1"/>
  <c r="AH420" i="1"/>
  <c r="AI14" i="1"/>
  <c r="C10" i="4"/>
  <c r="AH146" i="2"/>
  <c r="C205" i="4"/>
  <c r="AI189" i="1"/>
  <c r="C67" i="4"/>
  <c r="AH86" i="2"/>
  <c r="C188" i="4"/>
  <c r="AI116" i="1"/>
  <c r="C42" i="4"/>
  <c r="C44" i="4"/>
  <c r="AI397" i="1"/>
  <c r="C152" i="4"/>
  <c r="AH33" i="3"/>
  <c r="C267" i="4"/>
  <c r="C8" i="7" s="1"/>
  <c r="AI373" i="1"/>
  <c r="C142" i="4"/>
  <c r="AH374" i="1"/>
  <c r="AH208" i="2"/>
  <c r="C229" i="4"/>
  <c r="AH8" i="3"/>
  <c r="AG12" i="3"/>
  <c r="C260" i="4"/>
  <c r="AH11" i="2"/>
  <c r="C167" i="4"/>
  <c r="AG28" i="2"/>
  <c r="K5" i="7"/>
  <c r="AH177" i="1"/>
  <c r="AH164" i="3"/>
  <c r="C315" i="4"/>
  <c r="AH230" i="2"/>
  <c r="C236" i="4"/>
  <c r="C47" i="4"/>
  <c r="AI129" i="1"/>
  <c r="AI210" i="1"/>
  <c r="C76" i="4"/>
  <c r="AH215" i="1"/>
  <c r="AH248" i="2"/>
  <c r="C240" i="4"/>
  <c r="AI100" i="1"/>
  <c r="C38" i="4"/>
  <c r="AH117" i="1"/>
  <c r="AH48" i="2"/>
  <c r="C173" i="4"/>
  <c r="AH243" i="2"/>
  <c r="C239" i="4"/>
  <c r="AG256" i="2"/>
  <c r="AI44" i="1"/>
  <c r="C18" i="4"/>
  <c r="AI90" i="1"/>
  <c r="C34" i="4"/>
  <c r="AH136" i="3"/>
  <c r="C300" i="4"/>
  <c r="AH44" i="2"/>
  <c r="C172" i="4"/>
  <c r="AH70" i="2"/>
  <c r="C182" i="4"/>
  <c r="AH255" i="2"/>
  <c r="C242" i="4"/>
  <c r="AI133" i="1"/>
  <c r="C49" i="4"/>
  <c r="AH138" i="1"/>
  <c r="C324" i="4"/>
  <c r="AH199" i="3"/>
  <c r="C323" i="4"/>
  <c r="C322" i="4" s="1"/>
  <c r="AG203" i="3"/>
  <c r="AH203" i="3" s="1"/>
  <c r="W5" i="7"/>
  <c r="AH254" i="1"/>
  <c r="AI271" i="1"/>
  <c r="C109" i="4"/>
  <c r="AH272" i="1"/>
  <c r="C107" i="4"/>
  <c r="AI267" i="1"/>
  <c r="AI268" i="1"/>
  <c r="C104" i="4"/>
  <c r="M10" i="5" s="1"/>
  <c r="AI259" i="1"/>
  <c r="C103" i="4"/>
  <c r="C102" i="4"/>
  <c r="AH260" i="1"/>
  <c r="AI256" i="1"/>
  <c r="C99" i="4"/>
  <c r="M8" i="5" s="1"/>
  <c r="AI254" i="1"/>
  <c r="AI249" i="1"/>
  <c r="C98" i="4"/>
  <c r="C97" i="4"/>
  <c r="AH250" i="1"/>
  <c r="AI244" i="1"/>
  <c r="C94" i="4"/>
  <c r="M6" i="5" s="1"/>
  <c r="C95" i="4"/>
  <c r="AI240" i="1"/>
  <c r="C93" i="4"/>
  <c r="AH241" i="1"/>
  <c r="AH147" i="2" l="1"/>
  <c r="AG153" i="2"/>
  <c r="C202" i="4"/>
  <c r="AI74" i="1"/>
  <c r="C25" i="4"/>
  <c r="C7" i="5" s="1"/>
  <c r="L4" i="6"/>
  <c r="C196" i="4"/>
  <c r="L3" i="6" s="1"/>
  <c r="AH12" i="3"/>
  <c r="C259" i="4"/>
  <c r="AG72" i="3"/>
  <c r="AH180" i="3"/>
  <c r="C313" i="4"/>
  <c r="AG193" i="3"/>
  <c r="AH193" i="3" s="1"/>
  <c r="AG186" i="3"/>
  <c r="AH186" i="3" s="1"/>
  <c r="AH192" i="2"/>
  <c r="AG210" i="2"/>
  <c r="AH210" i="2" s="1"/>
  <c r="C220" i="4"/>
  <c r="C248" i="4"/>
  <c r="AN5" i="6" s="1"/>
  <c r="AH314" i="2"/>
  <c r="AI62" i="1"/>
  <c r="C14" i="4"/>
  <c r="C6" i="5" s="1"/>
  <c r="AI91" i="1"/>
  <c r="C32" i="4"/>
  <c r="C9" i="5" s="1"/>
  <c r="AI225" i="1"/>
  <c r="C79" i="4"/>
  <c r="J6" i="5" s="1"/>
  <c r="AI25" i="1"/>
  <c r="C7" i="4"/>
  <c r="AH92" i="1"/>
  <c r="AI92" i="1" s="1"/>
  <c r="AI130" i="1"/>
  <c r="C45" i="4"/>
  <c r="G6" i="5" s="1"/>
  <c r="AI177" i="1"/>
  <c r="C62" i="4"/>
  <c r="AI364" i="1"/>
  <c r="C136" i="4"/>
  <c r="U11" i="5" s="1"/>
  <c r="AH267" i="2"/>
  <c r="C244" i="4"/>
  <c r="AG315" i="2"/>
  <c r="AH315" i="2" s="1"/>
  <c r="C206" i="4"/>
  <c r="P5" i="6" s="1"/>
  <c r="AH152" i="2"/>
  <c r="AI326" i="1"/>
  <c r="C126" i="4"/>
  <c r="U6" i="5" s="1"/>
  <c r="AI138" i="1"/>
  <c r="C48" i="4"/>
  <c r="G7" i="5" s="1"/>
  <c r="C69" i="4"/>
  <c r="G13" i="5" s="1"/>
  <c r="AI200" i="1"/>
  <c r="AI137" i="1"/>
  <c r="C51" i="4"/>
  <c r="AI85" i="1"/>
  <c r="C28" i="4"/>
  <c r="C8" i="5" s="1"/>
  <c r="C274" i="4"/>
  <c r="C11" i="7" s="1"/>
  <c r="AH62" i="3"/>
  <c r="AI153" i="1"/>
  <c r="C52" i="4"/>
  <c r="G8" i="5" s="1"/>
  <c r="AI167" i="1"/>
  <c r="C57" i="4"/>
  <c r="G10" i="5" s="1"/>
  <c r="AH62" i="2"/>
  <c r="C174" i="4"/>
  <c r="D6" i="6" s="1"/>
  <c r="AH70" i="3"/>
  <c r="C277" i="4"/>
  <c r="C12" i="7" s="1"/>
  <c r="AI215" i="1"/>
  <c r="C75" i="4"/>
  <c r="AH238" i="1"/>
  <c r="AI238" i="1" s="1"/>
  <c r="AH28" i="2"/>
  <c r="AG96" i="2"/>
  <c r="C166" i="4"/>
  <c r="AI414" i="1"/>
  <c r="C158" i="4"/>
  <c r="AH199" i="2"/>
  <c r="C225" i="4"/>
  <c r="AB5" i="6" s="1"/>
  <c r="H3" i="6"/>
  <c r="AH178" i="2"/>
  <c r="C213" i="4"/>
  <c r="AG179" i="2"/>
  <c r="AH55" i="3"/>
  <c r="C271" i="4"/>
  <c r="C10" i="7" s="1"/>
  <c r="C132" i="4"/>
  <c r="AI351" i="1"/>
  <c r="AH365" i="1"/>
  <c r="AI365" i="1" s="1"/>
  <c r="AH209" i="2"/>
  <c r="C227" i="4"/>
  <c r="AB6" i="6" s="1"/>
  <c r="AI313" i="1"/>
  <c r="C124" i="4"/>
  <c r="AH327" i="1"/>
  <c r="AI392" i="1"/>
  <c r="C148" i="4"/>
  <c r="AH406" i="1"/>
  <c r="AI406" i="1" s="1"/>
  <c r="AH71" i="2"/>
  <c r="C180" i="4"/>
  <c r="D7" i="6" s="1"/>
  <c r="C283" i="4"/>
  <c r="AG101" i="3"/>
  <c r="AH101" i="3" s="1"/>
  <c r="AH86" i="3"/>
  <c r="AH231" i="2"/>
  <c r="C231" i="4"/>
  <c r="AG232" i="2"/>
  <c r="AH232" i="2" s="1"/>
  <c r="AI379" i="1"/>
  <c r="C143" i="4"/>
  <c r="U14" i="5" s="1"/>
  <c r="C36" i="4"/>
  <c r="AI117" i="1"/>
  <c r="C111" i="4"/>
  <c r="Q5" i="5" s="1"/>
  <c r="AI307" i="1"/>
  <c r="AH308" i="1"/>
  <c r="AH78" i="2"/>
  <c r="C183" i="4"/>
  <c r="D8" i="6" s="1"/>
  <c r="AI159" i="1"/>
  <c r="C55" i="4"/>
  <c r="G9" i="5" s="1"/>
  <c r="AH95" i="2"/>
  <c r="C186" i="4"/>
  <c r="D9" i="6" s="1"/>
  <c r="C169" i="4"/>
  <c r="D5" i="6" s="1"/>
  <c r="AH49" i="2"/>
  <c r="AH139" i="3"/>
  <c r="C294" i="4"/>
  <c r="AG140" i="3"/>
  <c r="AH256" i="2"/>
  <c r="AG257" i="2"/>
  <c r="AH257" i="2" s="1"/>
  <c r="C238" i="4"/>
  <c r="AI374" i="1"/>
  <c r="C141" i="4"/>
  <c r="AH387" i="1"/>
  <c r="AI387" i="1" s="1"/>
  <c r="AI420" i="1"/>
  <c r="C160" i="4"/>
  <c r="AB6" i="5" s="1"/>
  <c r="AI184" i="1"/>
  <c r="C65" i="4"/>
  <c r="AH194" i="1"/>
  <c r="AI386" i="1"/>
  <c r="C145" i="4"/>
  <c r="U15" i="5" s="1"/>
  <c r="AH145" i="3"/>
  <c r="C303" i="4"/>
  <c r="AG155" i="3"/>
  <c r="AH155" i="3" s="1"/>
  <c r="AH178" i="1"/>
  <c r="AH100" i="3"/>
  <c r="C287" i="4"/>
  <c r="G7" i="7" s="1"/>
  <c r="T4" i="6"/>
  <c r="C209" i="4"/>
  <c r="T3" i="6" s="1"/>
  <c r="W4" i="7"/>
  <c r="C108" i="4"/>
  <c r="M11" i="5" s="1"/>
  <c r="AI272" i="1"/>
  <c r="AI260" i="1"/>
  <c r="C101" i="4"/>
  <c r="M9" i="5" s="1"/>
  <c r="AI250" i="1"/>
  <c r="C96" i="4"/>
  <c r="M7" i="5" s="1"/>
  <c r="AH273" i="1"/>
  <c r="AI241" i="1"/>
  <c r="C92" i="4"/>
  <c r="AJ4" i="6" l="1"/>
  <c r="C237" i="4"/>
  <c r="AJ3" i="6" s="1"/>
  <c r="G5" i="7"/>
  <c r="C282" i="4"/>
  <c r="G4" i="7" s="1"/>
  <c r="AN4" i="6"/>
  <c r="C243" i="4"/>
  <c r="AN3" i="6" s="1"/>
  <c r="AI178" i="1"/>
  <c r="C60" i="4"/>
  <c r="G11" i="5" s="1"/>
  <c r="AI194" i="1"/>
  <c r="C63" i="4"/>
  <c r="G12" i="5" s="1"/>
  <c r="C140" i="4"/>
  <c r="U12" i="5" s="1"/>
  <c r="U13" i="5"/>
  <c r="K6" i="7"/>
  <c r="C290" i="4"/>
  <c r="U5" i="5"/>
  <c r="C123" i="4"/>
  <c r="C131" i="4"/>
  <c r="U9" i="5" s="1"/>
  <c r="U10" i="5"/>
  <c r="C191" i="4"/>
  <c r="D4" i="6"/>
  <c r="C165" i="4"/>
  <c r="AB4" i="6"/>
  <c r="C219" i="4"/>
  <c r="AB3" i="6" s="1"/>
  <c r="AI308" i="1"/>
  <c r="C110" i="4"/>
  <c r="Q4" i="5" s="1"/>
  <c r="C212" i="4"/>
  <c r="X4" i="6"/>
  <c r="J5" i="5"/>
  <c r="C74" i="4"/>
  <c r="J4" i="5" s="1"/>
  <c r="AH140" i="3"/>
  <c r="AG204" i="3"/>
  <c r="AH204" i="3" s="1"/>
  <c r="AI327" i="1"/>
  <c r="AH422" i="1"/>
  <c r="AI422" i="1" s="1"/>
  <c r="S5" i="7"/>
  <c r="C312" i="4"/>
  <c r="S4" i="7" s="1"/>
  <c r="AH208" i="1"/>
  <c r="AI208" i="1" s="1"/>
  <c r="C230" i="4"/>
  <c r="AF3" i="6" s="1"/>
  <c r="AF4" i="6"/>
  <c r="AH96" i="2"/>
  <c r="AG97" i="2"/>
  <c r="AH72" i="3"/>
  <c r="AG102" i="3"/>
  <c r="C6" i="4"/>
  <c r="C4" i="5" s="1"/>
  <c r="C5" i="5"/>
  <c r="C5" i="7"/>
  <c r="C258" i="4"/>
  <c r="P4" i="6"/>
  <c r="C201" i="4"/>
  <c r="P3" i="6" s="1"/>
  <c r="G5" i="5"/>
  <c r="X5" i="5"/>
  <c r="C147" i="4"/>
  <c r="X4" i="5" s="1"/>
  <c r="AH179" i="2"/>
  <c r="AG316" i="2"/>
  <c r="AH316" i="2" s="1"/>
  <c r="AH153" i="2"/>
  <c r="AG164" i="2"/>
  <c r="AH164" i="2" s="1"/>
  <c r="O5" i="7"/>
  <c r="C302" i="4"/>
  <c r="O4" i="7" s="1"/>
  <c r="C157" i="4"/>
  <c r="AB4" i="5" s="1"/>
  <c r="AB5" i="5"/>
  <c r="C91" i="4"/>
  <c r="M5" i="5"/>
  <c r="AI273" i="1"/>
  <c r="C211" i="4" l="1"/>
  <c r="X3" i="6"/>
  <c r="C35" i="4"/>
  <c r="G4" i="5" s="1"/>
  <c r="AH309" i="1"/>
  <c r="C257" i="4"/>
  <c r="C4" i="7"/>
  <c r="U4" i="5"/>
  <c r="C122" i="4"/>
  <c r="K4" i="7"/>
  <c r="C289" i="4"/>
  <c r="C256" i="4" s="1"/>
  <c r="N13" i="4" s="1"/>
  <c r="AH102" i="3"/>
  <c r="AG205" i="3"/>
  <c r="AH205" i="3" s="1"/>
  <c r="AH97" i="2"/>
  <c r="AG317" i="2"/>
  <c r="AH317" i="2" s="1"/>
  <c r="D3" i="6"/>
  <c r="C164" i="4"/>
  <c r="C163" i="4" s="1"/>
  <c r="N12" i="4" s="1"/>
  <c r="AI309" i="1"/>
  <c r="AH423" i="1"/>
  <c r="AI423" i="1" s="1"/>
  <c r="M4" i="5"/>
  <c r="C5" i="4"/>
  <c r="C4" i="4" s="1"/>
  <c r="C3" i="4" l="1"/>
  <c r="N11" i="4"/>
  <c r="N14" i="4" s="1"/>
  <c r="V9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luz marlene andrade hong</author>
    <author>maria bernarda perez carmona</author>
  </authors>
  <commentList>
    <comment ref="X23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luz marlene andrade hong:</t>
        </r>
        <r>
          <rPr>
            <sz val="9"/>
            <color indexed="81"/>
            <rFont val="Tahoma"/>
            <family val="2"/>
          </rPr>
          <t xml:space="preserve">
SE CAMBIA DE 9 A 0, DADO A QUE SE SOSTIENE EL REPORTE DEL PRIMER TRIMESTRE</t>
        </r>
      </text>
    </comment>
    <comment ref="X39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luz marlene andrade hong:</t>
        </r>
        <r>
          <rPr>
            <sz val="9"/>
            <color indexed="81"/>
            <rFont val="Tahoma"/>
            <family val="2"/>
          </rPr>
          <t xml:space="preserve">
SE CAMBIA EL REPORTE DE 17 A 0, PORQUE SE ASUME QUE SE ESTAN SOSTENIENDO LAS 17 REPORTADAS EN EL TRIMESTRE ANTERIOR</t>
        </r>
      </text>
    </comment>
    <comment ref="X4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luz marlene andrade hong:</t>
        </r>
        <r>
          <rPr>
            <sz val="9"/>
            <color indexed="81"/>
            <rFont val="Tahoma"/>
            <family val="2"/>
          </rPr>
          <t xml:space="preserve">
SE CAMBIA DE 27 A 0 , DADO A QUE SE SOSTIENE EL REPORTE DEL TRIMESTRE ANTERIOR</t>
        </r>
      </text>
    </comment>
    <comment ref="X49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luz marlene andrade hong:</t>
        </r>
        <r>
          <rPr>
            <sz val="9"/>
            <color indexed="81"/>
            <rFont val="Tahoma"/>
            <family val="2"/>
          </rPr>
          <t xml:space="preserve">
SE CAMBIA EL REPORTE DE 32 A 0,  DADO QUE SE ASUME EL REPORTE DEL TRIMESTRE ANTERIOR</t>
        </r>
      </text>
    </comment>
    <comment ref="X50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luz marlene andrade hong:</t>
        </r>
        <r>
          <rPr>
            <sz val="9"/>
            <color indexed="81"/>
            <rFont val="Tahoma"/>
            <family val="2"/>
          </rPr>
          <t xml:space="preserve">
SE CAMBIA DE 32 A 0, DADO A QUE SE SOSTIENE EL REPORTE ANTERIOR</t>
        </r>
      </text>
    </comment>
    <comment ref="X83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luz marlene andrade hong:</t>
        </r>
        <r>
          <rPr>
            <sz val="9"/>
            <color indexed="81"/>
            <rFont val="Tahoma"/>
            <family val="2"/>
          </rPr>
          <t xml:space="preserve">
SE CAMBIA REPORTE DE 858 A 0, DADO A QUE SE SOSTIENE REPORTE ANTERIOR</t>
        </r>
      </text>
    </comment>
    <comment ref="J361" authorId="1" shapeId="0" xr:uid="{00000000-0006-0000-0000-000007000000}">
      <text>
        <r>
          <rPr>
            <b/>
            <sz val="9"/>
            <color indexed="81"/>
            <rFont val="Tahoma"/>
            <family val="2"/>
          </rPr>
          <t>maria bernarda perez carmona:</t>
        </r>
        <r>
          <rPr>
            <sz val="9"/>
            <color indexed="81"/>
            <rFont val="Tahoma"/>
            <family val="2"/>
          </rPr>
          <t xml:space="preserve">
Aquí falta incluir la Construcción de CDV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YESID</author>
  </authors>
  <commentList>
    <comment ref="AE1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YAMIL GOMEZ R: Esta acsilla cambia nombre según la fceha de corte del seguimiento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ACER</author>
    <author>Luz Marina</author>
  </authors>
  <commentList>
    <comment ref="J6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ACER:</t>
        </r>
        <r>
          <rPr>
            <sz val="9"/>
            <color indexed="81"/>
            <rFont val="Tahoma"/>
            <family val="2"/>
          </rPr>
          <t xml:space="preserve">
En el plan de acción dice que va en el 6,25%</t>
        </r>
      </text>
    </comment>
    <comment ref="K98" authorId="1" shapeId="0" xr:uid="{00000000-0006-0000-0200-000002000000}">
      <text>
        <r>
          <rPr>
            <b/>
            <sz val="9"/>
            <color indexed="81"/>
            <rFont val="Tahoma"/>
            <family val="2"/>
          </rPr>
          <t>Luz Marina:</t>
        </r>
        <r>
          <rPr>
            <sz val="9"/>
            <color indexed="81"/>
            <rFont val="Tahoma"/>
            <family val="2"/>
          </rPr>
          <t xml:space="preserve">
ESTA  META  ESTA REPETIDA, LA CORRECTA ES LA FILA 103</t>
        </r>
      </text>
    </comment>
  </commentList>
</comments>
</file>

<file path=xl/sharedStrings.xml><?xml version="1.0" encoding="utf-8"?>
<sst xmlns="http://schemas.openxmlformats.org/spreadsheetml/2006/main" count="2934" uniqueCount="2207">
  <si>
    <t>OBJETIVO ESTRATEGICO</t>
  </si>
  <si>
    <t>EJE ESTRATEGICO</t>
  </si>
  <si>
    <t>LINEA ESTRATEGICA</t>
  </si>
  <si>
    <t>PROGRAMA</t>
  </si>
  <si>
    <t>SUBPROGRAMA</t>
  </si>
  <si>
    <t>META DE RESULTADO</t>
  </si>
  <si>
    <t>META PRODUCTO</t>
  </si>
  <si>
    <t>ACUMULADO META RESULTADO PLAN</t>
  </si>
  <si>
    <t>RESPONSABLE (NOMBRE DE GERENTE DE META)</t>
  </si>
  <si>
    <t>RECURSOS ASIGNADOS</t>
  </si>
  <si>
    <t>ADICION PRESUPUESTAL</t>
  </si>
  <si>
    <t>RECURSOS PROPIOS</t>
  </si>
  <si>
    <t>SGP</t>
  </si>
  <si>
    <t>COFINACIACION NACION</t>
  </si>
  <si>
    <t>COFINACIACION DEPARTAMENTO</t>
  </si>
  <si>
    <t>SGR</t>
  </si>
  <si>
    <t>CREDITOS</t>
  </si>
  <si>
    <t>OTROS</t>
  </si>
  <si>
    <t>TOTAL EJECUTADO</t>
  </si>
  <si>
    <t>PORCENTAJE DE EJECUCION PRESUPUESTO</t>
  </si>
  <si>
    <t>INDICADOR META RESULTADO</t>
  </si>
  <si>
    <t>INDICADOR META PRODUCTO</t>
  </si>
  <si>
    <t>AVANCE PARCIAL META RESULTADO</t>
  </si>
  <si>
    <t>ACUMULADO META PRODUCTO  PLAN</t>
  </si>
  <si>
    <t>ESTADO DEL INDICADOR SEGÚN CRITERIOS DNP</t>
  </si>
  <si>
    <t>LÍNEA ESTRATÉGICA EDUCACIÓN PARA LA GENTE DEL SIGLO XXI</t>
  </si>
  <si>
    <t>SUPERAR LA DESIGUALDAD</t>
  </si>
  <si>
    <t xml:space="preserve">PLAN DE DESARROLLO PRIMERO LA GENTE </t>
  </si>
  <si>
    <t>COBERTURA E INFRAESTRUCTURA EDUCATIVA</t>
  </si>
  <si>
    <t xml:space="preserve">Aumentar a 74% la tasa de cobertura neta en preescolar (sin extraedad) </t>
  </si>
  <si>
    <t xml:space="preserve">Tasa de cobertura neta en preescolar (sin extraedad) </t>
  </si>
  <si>
    <t>LINEA BASE META PRODUCTO</t>
  </si>
  <si>
    <t>Impulso al desarrollo de la
Primera Infancia</t>
  </si>
  <si>
    <t>VALOR META RESULTADO (2019)</t>
  </si>
  <si>
    <t>LINEA BASE META RESULTADO (2015)</t>
  </si>
  <si>
    <t>VALOR META PRODUCTO  (2019)</t>
  </si>
  <si>
    <t xml:space="preserve">Sistema de Inspección y Vigilancia de Hogares Infantiles  y CDI Fortalecido y Ejercido en el componente educativo.        </t>
  </si>
  <si>
    <t>80 Hogares Infantiles  y CDI intervenidos en el componente educativo.</t>
  </si>
  <si>
    <t xml:space="preserve">14500 Estudiantes Matriculados en Preescolar  (Transición) </t>
  </si>
  <si>
    <t xml:space="preserve">100 Aulas Escolares nuevas construidas  para Preescolar </t>
  </si>
  <si>
    <t>Sistema de Inspección y Vigilancia de Hogares Infantiles  y CDI Fortalecido y Ejercido en el componente educativo.</t>
  </si>
  <si>
    <t>No de Hogares Infantiles  y CDI intervenidos en el componente educativo</t>
  </si>
  <si>
    <t xml:space="preserve">Número de Estudiantes Matriculados en Preescolar  (Transición) </t>
  </si>
  <si>
    <t xml:space="preserve">Aulas Escolares nuevas construidas  para Preescolar </t>
  </si>
  <si>
    <t xml:space="preserve">Aumentar a 59% la tasa de cobertura neta en educación media global </t>
  </si>
  <si>
    <t>Primero la escuela</t>
  </si>
  <si>
    <t xml:space="preserve">21700 estudiantes de educación media dentro del sistema educativo oficial </t>
  </si>
  <si>
    <t xml:space="preserve">No de estudiantes de educación media dentro del sistema educativo oficial </t>
  </si>
  <si>
    <t xml:space="preserve">Disminuir a 3,7% la tasa de deserción </t>
  </si>
  <si>
    <t>Nadie se va</t>
  </si>
  <si>
    <t xml:space="preserve">Tasa de cobertura neta en educación media global </t>
  </si>
  <si>
    <t xml:space="preserve">Tasa de deserción </t>
  </si>
  <si>
    <t xml:space="preserve">77000 Estudiantes atendidos con el PAE </t>
  </si>
  <si>
    <t xml:space="preserve">4000 Estudiantes transportados anualmente a sus sedes de IEO para garantizarles educación.  </t>
  </si>
  <si>
    <t>5000 estudiantes atendidos con modelos flexibles.</t>
  </si>
  <si>
    <t>Un Sistema de Información para la prevención de la deserción implementado.</t>
  </si>
  <si>
    <t xml:space="preserve">Número de Estudiantes atendidos con el PAE </t>
  </si>
  <si>
    <t>Número de Estudiantes transportados anualmente a sus sedes de IEO para garantizarles educación.</t>
  </si>
  <si>
    <t xml:space="preserve">Número de estudiantes atendidos con modelos flexibles. </t>
  </si>
  <si>
    <t>Sistema de Información para la prevención de la deserción implementado</t>
  </si>
  <si>
    <t>Inclusión educativa</t>
  </si>
  <si>
    <t>4200 Estudiantes con necesidades educativas especiales Atendidos por el sistema educativo oficial</t>
  </si>
  <si>
    <t xml:space="preserve">5 equipos interdisciplinarios para apoyo a las IEO en la atención de Estudiantes con NEE </t>
  </si>
  <si>
    <t>800 docentes cualificados en atención de estudiantes con  NEE.</t>
  </si>
  <si>
    <t>12000 estudiantes victimas dentro del sistema educativo</t>
  </si>
  <si>
    <t>No. Estudiantes con necesidades educativas especiales Atendidos por el sistema educativo oficial</t>
  </si>
  <si>
    <t xml:space="preserve">No de equipos interdisciplinarios para apoyo a las IEO en la atención de Estudiantes con NEE </t>
  </si>
  <si>
    <t>Número de docentes cualificados en atención de estudiantes con  NEE</t>
  </si>
  <si>
    <t>Numero de estudiantes victimas dentro del sistema educativo</t>
  </si>
  <si>
    <t xml:space="preserve">Disminuir a 1,5% la tasa de analfabetismo </t>
  </si>
  <si>
    <t xml:space="preserve">Tasa de analfabetismo </t>
  </si>
  <si>
    <t>Educación para jóvenes y adultos</t>
  </si>
  <si>
    <t>No de jóvenes y
adultos atendidos en
ciclo Lectivo
educativo 1 (CLEI
Nivel 1)</t>
  </si>
  <si>
    <t>800 jóvenes y adultos atendidos en ciclo Lectivo educativo I (CLEI Nivel 1)</t>
  </si>
  <si>
    <t xml:space="preserve"> Aumentar a 59% la tasa de cobertura neta en educación media global </t>
  </si>
  <si>
    <t>Plan de Infraestructura
Educativa Distrttal</t>
  </si>
  <si>
    <t>Un Plan de Infraestructura Educativa formulado</t>
  </si>
  <si>
    <t>432  Aulas Nuevas al servicio de la educación en jornada única</t>
  </si>
  <si>
    <t xml:space="preserve">Plan de Infraestructura Educativa formulado </t>
  </si>
  <si>
    <t xml:space="preserve">No de  Aulas Nuevas al servicio de la educación en jornada única </t>
  </si>
  <si>
    <t>LA CALIDAD DIGNIFICA</t>
  </si>
  <si>
    <t xml:space="preserve">Elevar a 6,2 el Indice Sintetico de Calidad Educativa-ISCE, en La Media </t>
  </si>
  <si>
    <t xml:space="preserve">Indice Sintetico de Calidad Educativa-ISCE, en La Media </t>
  </si>
  <si>
    <t>Saber más, Saber mejor</t>
  </si>
  <si>
    <t xml:space="preserve">35 Establecimientos Educativos  Oficiales con  Índice Sintético de Calidad Educativa-ISCE en la Media, con nivel al menos igual al ISCE promedio Nacional. </t>
  </si>
  <si>
    <t xml:space="preserve">25 Establecimientos Educativos Oficiales con grado 11° con desempeños alineados en la clasificacion A+ , A  y B </t>
  </si>
  <si>
    <t xml:space="preserve">No de Establecimientos Educativos  Oficiales con  Índice Sintético de Calidad Educativa-ISCE en la Media, con nivel al menos igual al ISCE promedio Nacional. </t>
  </si>
  <si>
    <t>Número de Establecimientos Educativos Oficiales con grado 11° con desempeños alineados en la clasificacion A+ , A  y B</t>
  </si>
  <si>
    <t xml:space="preserve">Elevar a 5,7 el Indice Sintetico de Calidad Educativa-ISCE, en Basica Primaria (FUENTE: M.E.N. corte 2015) Informe Colombia Aprende 2016 </t>
  </si>
  <si>
    <t xml:space="preserve">Indice Sintetico de Calidad Educativa-ISCE, en Basica Primaria (FUENTE: M.E.N. corte 2015) Informe Colombia Aprende 2016 </t>
  </si>
  <si>
    <t xml:space="preserve">Elevar a 5,7 el Indice Sintetico de Calidad Educativa-ISCE, en Basica Secundaria  </t>
  </si>
  <si>
    <t xml:space="preserve">Indice Sintetico de Calidad Educativa-ISCE, en Basica Secundaria  </t>
  </si>
  <si>
    <t>Mejorar  Componente Desempeño (ISCE) Básica primaria  a 2,64</t>
  </si>
  <si>
    <t>Componente Desempeño (ISCE) Básica primaria  mejorado</t>
  </si>
  <si>
    <t>Mejorar componente Desempeño (ISCE) Básica secundaria a 2,57</t>
  </si>
  <si>
    <t>Componente Desempeño (ISCE) Básica secundaria mejorado</t>
  </si>
  <si>
    <t xml:space="preserve"> Elevar a 6,2 el Indice Sintetico de Calidad Educativa-ISCE, en La Media </t>
  </si>
  <si>
    <t>Mejorar Componente Desempeño (ISCE) Media a 2,71</t>
  </si>
  <si>
    <t>Componente Desempeño (ISCE) Media mejorado</t>
  </si>
  <si>
    <t xml:space="preserve">104 IEO con semilleros de investigacion implementados </t>
  </si>
  <si>
    <t xml:space="preserve">No de IEO con semilleros de investigacion implementados </t>
  </si>
  <si>
    <t xml:space="preserve"> Elevar a 5,7 el Indice Sintetico de Calidad Educativa-ISCE, en Basica Primaria (FUENTE: M.E.N. corte 2015) Informe Colombia Aprende 2016 </t>
  </si>
  <si>
    <t>Indice Sintetico de Calidad Educativa-ISCE, en Basica Primaria</t>
  </si>
  <si>
    <t>1700 docentes formados en evaluación por competencias.</t>
  </si>
  <si>
    <t xml:space="preserve">800 docentes formados  en metodología de Investigación para el mejoramiento de la calidad educativa. </t>
  </si>
  <si>
    <t xml:space="preserve">No de docentes formados en evaluación por competencias. </t>
  </si>
  <si>
    <t>No de docentes formados  en metodología de Investigación para el mejoramiento de la calidad educativa.</t>
  </si>
  <si>
    <t xml:space="preserve"> Indice Sintetico de Calidad Educativa</t>
  </si>
  <si>
    <t>250 docentes y directivos docentes formados  en especializaciones y/o maestrías.</t>
  </si>
  <si>
    <t xml:space="preserve">No de docentes y directivos docentes formados  en especializaciones y/o maestrías.   </t>
  </si>
  <si>
    <t xml:space="preserve">380 directivos docentes cualificados en gestión escolar. </t>
  </si>
  <si>
    <t xml:space="preserve">No de directivos docentes cualificados en gestión escolar. </t>
  </si>
  <si>
    <t xml:space="preserve">720 Docentes y directivos docentes con experiencias educativas innovadoras para el mejoramiento de la calidad educativa.  </t>
  </si>
  <si>
    <t>No  de Docentes y directivos docentes con experiencias educativas innovadoras para el mejoramiento de la calidad educativa.</t>
  </si>
  <si>
    <t>Mejores Docentes y
Directivos Docentes</t>
  </si>
  <si>
    <t>Actualización de
Currículos Escolares</t>
  </si>
  <si>
    <t xml:space="preserve">60 instituciones educativas con currículos ajustados a la política vigente e implementados.  </t>
  </si>
  <si>
    <t>No  de instituciones educativas con currículos ajustados a la política vigente e implementados.</t>
  </si>
  <si>
    <t xml:space="preserve">60 Establecimientos Educativos Oficiales  con bajo indice en los indicadores de Calidad y Eficiencia Interna,fortalecidos en la gestión escolar integral. </t>
  </si>
  <si>
    <t xml:space="preserve">No de Establecimientos Educativos Oficiales  con bajo indice en los indicadores de Calidad y Eficiencia Interna,fortalecidos en la gestión escolar integral. </t>
  </si>
  <si>
    <t>90 IEO con Proyectos Educativos Institucionales resignificados.</t>
  </si>
  <si>
    <t>No de IEO con Proyectos Educativos Institucionales resignificados.</t>
  </si>
  <si>
    <t xml:space="preserve">Indice Sintetico de Calidad Educativa-ISCE, en Basica Primaria </t>
  </si>
  <si>
    <t xml:space="preserve">Disminuir a 40% la brecha porcentual  entre área rural y urbana de IEO  en la clasificación "D" en prueba Saber 11°  </t>
  </si>
  <si>
    <t xml:space="preserve">Brecha porcentual  entre área rural y urbana de IEO  en la clasificación "D" en prueba Saber 11°  </t>
  </si>
  <si>
    <t xml:space="preserve">40% de estudiantes de I.E.O. con jornada extendida bilingüe con nivel mínimo  "B1" en las  pruebas saber 11°, según el MCERL </t>
  </si>
  <si>
    <t xml:space="preserve">% de estudiantes de I.E.O. con jornada extendida bilingüe con nivel mínimo  "B1" en las  pruebas saber 11°, según el MCERL </t>
  </si>
  <si>
    <t>N.D</t>
  </si>
  <si>
    <t xml:space="preserve">26 IEO  etnoeducativas con PEI ajustados y actualizados. </t>
  </si>
  <si>
    <t xml:space="preserve">No de IEO  etnoeducativas con PEI ajustados y actualizados. </t>
  </si>
  <si>
    <t xml:space="preserve">52  IEO que desarrollan la Cátedra de Estudios Afrocolombianos. </t>
  </si>
  <si>
    <t xml:space="preserve">No de IEO que desarrollan la Cátedra de Estudios Afrocolombianos. </t>
  </si>
  <si>
    <t>Fortalecimiento de la etnoeducación</t>
  </si>
  <si>
    <t>Escuelas bilingües</t>
  </si>
  <si>
    <t>9 niños por Terminal.</t>
  </si>
  <si>
    <t xml:space="preserve">No de niños por Terminal. </t>
  </si>
  <si>
    <t>4064 Docentes y directivos docentes formados en uso y apropiación de TIC.</t>
  </si>
  <si>
    <t xml:space="preserve">Numero de Docentes y directivos docentes formados en uso y apropiación de TIC. </t>
  </si>
  <si>
    <t>300 Docentes que aplican las TIC en proceso Enseñanza y Aprendizaje.</t>
  </si>
  <si>
    <t xml:space="preserve">Numero de Docentes que aplican las TIC en proceso Enseñanza y Aprendizaje.  </t>
  </si>
  <si>
    <t xml:space="preserve">3000 usuarios que interactuan con la Plataforma Academica Colombia Evaluadora. </t>
  </si>
  <si>
    <t xml:space="preserve">Numero de usuarios que interactuan con la Plataforma Academica Colombia Evaluadora. </t>
  </si>
  <si>
    <t>Incorporación de la tecnología en el proceso de enseñanza aprendizajes</t>
  </si>
  <si>
    <t xml:space="preserve"> Indice Sintetico de Calidad Educativa-ISCE, en Basica Secundaria</t>
  </si>
  <si>
    <t xml:space="preserve">Indice Sintetico de Calidad Educativa-ISCE, en Basica Secundaria </t>
  </si>
  <si>
    <t>La escuela como eje integrador de los procesos formativos</t>
  </si>
  <si>
    <t xml:space="preserve">Un Nodo social humanístico implementado.  </t>
  </si>
  <si>
    <t>Nodo social humanístico implementado.</t>
  </si>
  <si>
    <t>15 Instituciones Educativas Oficiales beneficiadas con el  Nodo social humanístico implementado.</t>
  </si>
  <si>
    <t xml:space="preserve">Número de Instituciones Educativas Oficiales beneficiadas con el  Nodo social humanístico implementado.   </t>
  </si>
  <si>
    <t xml:space="preserve">No. De IEO con Programas de emprendimiento y empresarismo desarrollados. </t>
  </si>
  <si>
    <t xml:space="preserve">60 Proyectos Ambientales Educativos-PRAES ajustados en IEO. </t>
  </si>
  <si>
    <t xml:space="preserve">Proyectos Ambientales Educativos-PRAES ajustados en IEO. </t>
  </si>
  <si>
    <t xml:space="preserve">60  IEO con el Programa Escuela para Padres Fortalecido. </t>
  </si>
  <si>
    <t xml:space="preserve">No. De IEO con el Programa Escuela para Padres Fortalecido. </t>
  </si>
  <si>
    <t>Educar para la competitividad y la confianza social</t>
  </si>
  <si>
    <t>Escuelas verdes: La conciencia ecológica desde las escuelas</t>
  </si>
  <si>
    <t>Ciudad- escuela: Compromiso de todos</t>
  </si>
  <si>
    <t xml:space="preserve">Alcanzar el 70% de satisfacción de los usuarios del sector Educativo oficial del Distrito de Cartagena.  </t>
  </si>
  <si>
    <t>% de satisfacción de los usuarios del sector Educativo oficial del Distrito de Cartagena</t>
  </si>
  <si>
    <t xml:space="preserve">Diseño y desarrollo del modelo de medición del nivel de satisfacción de los usuarios del servicio educativo oficial del DC. </t>
  </si>
  <si>
    <t xml:space="preserve">Diseño e implementación de la nueva Estrategia Institucional de la SED. </t>
  </si>
  <si>
    <t xml:space="preserve">80% de Oportunidad en la respuesta a usuarios. </t>
  </si>
  <si>
    <t xml:space="preserve">Oportunidad en la respuesta a usuarios. </t>
  </si>
  <si>
    <t xml:space="preserve">Capacitación de 300 funcionarios administrativos en carrera administrativa. </t>
  </si>
  <si>
    <t xml:space="preserve">Capacitación de funcionarios administrativos en carrera administrativa. </t>
  </si>
  <si>
    <t xml:space="preserve">Actualización de SGC de la SED (ISO 9001:2008 a 9001:2015). </t>
  </si>
  <si>
    <t xml:space="preserve">24 metas de Indicadores SGC cumplidos. </t>
  </si>
  <si>
    <t xml:space="preserve">No de las metas de Indicadores SGC cumplidos. </t>
  </si>
  <si>
    <t>Fortalecimiento de la gestión y construcción de sinergias por la educación</t>
  </si>
  <si>
    <t xml:space="preserve">Aumentar el nivel de Eficacia del SGC al 80%. </t>
  </si>
  <si>
    <t xml:space="preserve">Nivel de Eficacia del SGC. </t>
  </si>
  <si>
    <t xml:space="preserve">Modelo de gestión de procesos estandarizados conforme a la Norma ISO 9001:2015. </t>
  </si>
  <si>
    <t xml:space="preserve">30 IEO con procesos estandarizados implementados.  </t>
  </si>
  <si>
    <t xml:space="preserve">IEO con procesos estandarizados implementados.  </t>
  </si>
  <si>
    <t xml:space="preserve">Actualización de SGC de en 8 IEO certificadas (ISO 9001:2008 a 9001:2015). </t>
  </si>
  <si>
    <t xml:space="preserve">Actualización de SGC de IEO certificadas (ISO 9001:2008 a 9001:2015). </t>
  </si>
  <si>
    <t>Estandarización de procesos en instituciones educativas oficiales</t>
  </si>
  <si>
    <t>Fortalecimiento de la gestión del sistema educativo distrital de Cartagena</t>
  </si>
  <si>
    <t>Educación Superior Jóvenes formados con calidad</t>
  </si>
  <si>
    <t xml:space="preserve">Alcanzar que el 15% de estudiantes egresados del sistema educativo oficial, sean estudiantes  universitarios  financiados por el Distrito. </t>
  </si>
  <si>
    <t xml:space="preserve">% de estudiantes  universitarios, egresados del sistema educativo oficial financiados por el Distrito. </t>
  </si>
  <si>
    <t>Fortalecimiento de la educación  media técnica y su articulación con la educación superior</t>
  </si>
  <si>
    <t>7 Nodos Educativos de Media Técnica ampliados.</t>
  </si>
  <si>
    <t xml:space="preserve">Número de Nodos Educativos de Media Técnica ampliados. </t>
  </si>
  <si>
    <t xml:space="preserve">13  Instituciones Educativas Oficiales con Educacion Media Tecnica con ambientes y materiales de aprendizajes fortalecidas. </t>
  </si>
  <si>
    <t xml:space="preserve">No de Instituciones Educativas Oficiales con Educacion Media Tecnica con ambientes y materiales de aprendizajes fortalecidas. </t>
  </si>
  <si>
    <t xml:space="preserve">15  Instituciones Educativas con Educacion Media Tecnica articuladas a la Educacion Superior. </t>
  </si>
  <si>
    <t xml:space="preserve">N° de Instituciones Educativas con Educacion Media Tecnica articuladas a la Educacion Superior. </t>
  </si>
  <si>
    <t>No de Programas en la Institucion Tecnologica Colegio Mayor de Bolivar con registro calificado.</t>
  </si>
  <si>
    <t>Fortalecimiento del colegio mayor de bolívar</t>
  </si>
  <si>
    <t xml:space="preserve">12503 egresados del sistema educativo oficial becados en estudios superiores. </t>
  </si>
  <si>
    <t xml:space="preserve">Número de egresados del sistema educativo oficial becados en estudios superiores. </t>
  </si>
  <si>
    <t>Becas a la excelencia</t>
  </si>
  <si>
    <t xml:space="preserve">80 beneficiarios del  proyecto Ser Pilo Va Cartagena. </t>
  </si>
  <si>
    <t xml:space="preserve">No de beneficiarios del  proyecto Ser Pilo Va Cartagena. </t>
  </si>
  <si>
    <t xml:space="preserve">84  IFTDH con acompañamiento técnico. </t>
  </si>
  <si>
    <t>N° de IFTDH con acompañamiento técnico.</t>
  </si>
  <si>
    <t>Educar para un nuevo país</t>
  </si>
  <si>
    <t xml:space="preserve">Lograr  que el 80% de IEO desarrollen actividades para la construcción de paz. </t>
  </si>
  <si>
    <t xml:space="preserve">% de IEO desarrollen actividades para la construcción de paz. </t>
  </si>
  <si>
    <t>De jóvenes en riesgo a jóvenes con futuro</t>
  </si>
  <si>
    <t>500 Jóvenes en riesgo beneficiados con programas de educación para el trabajo y desarrollo humano.</t>
  </si>
  <si>
    <t>No de Jóvenes en riesgo beneficiados con programas de educación para el trabajo y desarrollo humano.</t>
  </si>
  <si>
    <t>Implementación de la catedra Cartagena en paz</t>
  </si>
  <si>
    <t>1500 Docentes formados en justicia, reconciliación y tolerancia.</t>
  </si>
  <si>
    <t xml:space="preserve">Docentes formados en justicia, reconciliación y tolerancia.  </t>
  </si>
  <si>
    <t xml:space="preserve">104  IEO con  la Cátedra Cartagena en Paz implementada. </t>
  </si>
  <si>
    <t>No de IEO con  la Cátedra Cartagena en Paz implementada.</t>
  </si>
  <si>
    <t>LINEA ESTRATEGICA POR UNA CARTAGENA CON EQUIDAD EN SALUD</t>
  </si>
  <si>
    <t>Fortalecimiento de la autoridad sanitaria para la gestión en salud</t>
  </si>
  <si>
    <t>Aumentar la cobertura de afiliación al Régimen Subsidiado en Salud en el área urbano del Distrito de Cartagena de Indias para alcanzar lo universalización  100%</t>
  </si>
  <si>
    <t>Cobertura de afiliación al Régimen Subsidiado en Salud en el área urbano del Distrito de Cartagena de Indias</t>
  </si>
  <si>
    <t>Aumentar lo cobertura de afiliación al Régimen Subsidiado en Salud en el área rural del Distrito de Cartagena de Indios para alcanzar lo universalización (100%).</t>
  </si>
  <si>
    <t>Cobertura de afiliación al Régimen Subsidiado en Salud en el área rural del Distrito de Cartagena de Indios</t>
  </si>
  <si>
    <t>Garantizar y mantener la continuidad de la afiliación de 503.921 personas que vienen afiliados del 2015.</t>
  </si>
  <si>
    <t>Afiliar a 14.000 nuevas personas clasificados en los niveles 1 y 2 del SISBEN, validados y certificados por el DNP</t>
  </si>
  <si>
    <t>Aseguramiento</t>
  </si>
  <si>
    <t>Número de personas afiliadas que se les debe garantizar la continuidad de la afiliación.</t>
  </si>
  <si>
    <t>Número de personas con nueva afiliación.</t>
  </si>
  <si>
    <t>Oportunidad en la atención por consulta externa medica de mediana y alta complejidad</t>
  </si>
  <si>
    <t>Realizar anualmente la auditoria de calidad en lo prestación a 25 IPS con servicios de urgencia habilitados de mediana y alta complejidad.</t>
  </si>
  <si>
    <t>Número IPS de mediana y alta complejidad con auditoria de calidad</t>
  </si>
  <si>
    <t>Realizar la auditoria de calidad en la prestación a 43 IPS con servicios de urgencia habilitados de baja complejidad</t>
  </si>
  <si>
    <t>Número IPS de baja complejidad  con auditoria de calidad</t>
  </si>
  <si>
    <t>Mantener lo oportunidad en lo atención por consulta externa de baja complejidad en 2 Días</t>
  </si>
  <si>
    <t>Prestación y desarrollo de los servicios de salud</t>
  </si>
  <si>
    <t>Lograr que 15 EPS y 3IPS Públicas anualmente reporten oportunamente sus indicadores de calidad según lo establecido en la circular 030 de 2006 y 056 de 2009</t>
  </si>
  <si>
    <t>Número EPS e IPS reportando oportunamente indicadores de calidad</t>
  </si>
  <si>
    <t>Lograr que mínimo 142 servicios de salud habilitados conformen la red integrada de salud del Distrito de Cartagena para atender Población Pobre No Asegurado.</t>
  </si>
  <si>
    <t>Número de servicios de salud habilitados que conforman la red de servicios.</t>
  </si>
  <si>
    <t>Oportunidad en la atención por consulta externa medica de mediana y alta complejidad (DIAS)</t>
  </si>
  <si>
    <t>Oportunidad en la atención por consulta externa de baja complejidad (dias)</t>
  </si>
  <si>
    <t>Lograr que el 65% de la población se encuentren satisfecho con la calidad de los servicios de atención en salud</t>
  </si>
  <si>
    <t>Porcentaje de usuarios satisfechos con la calidad de la atención en salud recibida</t>
  </si>
  <si>
    <t>Desarrollo institucional</t>
  </si>
  <si>
    <t>Realizar anualmente dos encuestas de satisfacción de usuarios frente o la calidad de los servicios de atención en salud recibido</t>
  </si>
  <si>
    <t>Número de encuestas de satisfacción realizadas</t>
  </si>
  <si>
    <t>Aumentar o 60% de los prestadores de servicios de salud que mantengan de forma permanente los condiciones de habilitación, controlen el riesgo asociado a la prestación de los servicios de salud, brinden seguridad a sus usuarios y mejoren continuamente la calidad en lo atención en salud.</t>
  </si>
  <si>
    <t>Porcentaje de IPS visitadas manteniendo de tormo permanente las condiciones de habilitación, controlando el riesgo asociado a la prestación de los servicios de salud, brindando seguridad a sus usuarios y mejorando continuamente la calidad en la atención en salud.</t>
  </si>
  <si>
    <t xml:space="preserve">Promoción vigilancia y control del sistema obligatorio de garantía de la calidad de la atención en salud- SOGC </t>
  </si>
  <si>
    <t>Realizar vigilancia y control anual mente a 266 prestadores de servicios de salud</t>
  </si>
  <si>
    <t>Número de prestadores visitados.</t>
  </si>
  <si>
    <t>Número de prestadores autoevaluados</t>
  </si>
  <si>
    <t>Verificar anualmente las condiciones de habilitación a 25 Instituciones Prestadoras de Servicios de Salud que prestan servicios críticos</t>
  </si>
  <si>
    <t>Número de Instituciones que prestan servicios críticos verificados</t>
  </si>
  <si>
    <t>Capacitar anualmente 50 personas de 25 Instituciones Prestadoras de Servicios de Salud que prestan servicios críticos (Urgencias, servicios hospitalarios, quirúrgicos y de alta complejidad</t>
  </si>
  <si>
    <t>Número de personas capacitadas, de Instituciones que prestan servicios críticos</t>
  </si>
  <si>
    <t>Lograr que el 90% de establecimientos farmacéuticos alcancen concepto favorable al cumplimiento de las condiciones sanitarias establecidas en la normatividad</t>
  </si>
  <si>
    <t>Porcentaje de establecimientos intervenidos con concepto favorable al cumplimiento de las condiciones sanitarios establecidas en la normatividad vigente</t>
  </si>
  <si>
    <t>Vigilancia y control de medicamentos</t>
  </si>
  <si>
    <t>Vigilar y controlar anualmente con enfoque de riesgo o 200 establecimientos farmacéuticos</t>
  </si>
  <si>
    <t>Número de establecimientos vigilados y controlados</t>
  </si>
  <si>
    <t>Mantener el 100% de cobertura en generación de estadísticas vitales por medio de la WEB.</t>
  </si>
  <si>
    <t>Porcentaje de Instituciones generando estadísticas vitales por medio de lo web.</t>
  </si>
  <si>
    <t>Intervenir oportunamente el 100% de los eventos de interés en salud pública notificados según lineamientos nacionales</t>
  </si>
  <si>
    <t>Porcentaje de eventos de interés en salud pública notificados e intervenidos</t>
  </si>
  <si>
    <t>Sistema de información y aplicaciones</t>
  </si>
  <si>
    <t>Vigilancia en salud publica</t>
  </si>
  <si>
    <t>Mantener que las 44 instituciones generen estadísticas vitales, por medio de la WEB.</t>
  </si>
  <si>
    <t>Número de instituciones generando estadísticas vitales.</t>
  </si>
  <si>
    <t>Intervenir a 164 UPGD en desarrollo de capacidades en lineamientos nacionales de Notificación Obligatoria Inmediata y rutinaria</t>
  </si>
  <si>
    <t>Número de UPGD intervenidas en lineamientos nacionales de los Eventos de Interés en  salud  pública</t>
  </si>
  <si>
    <t>Lograr que el 100% de las aseguradoras del Distrito de Cartagena tengan implementado modelo de atención en salud basado en la estrategia de Atención Primaria en salud</t>
  </si>
  <si>
    <t>% de aseguradoras implementando modelo de atención en salud basado en la estrategia de Cartagena Atención Primaria en Salud implementado en el Distrito de Cartagena</t>
  </si>
  <si>
    <t>Lograr que el 100% de las aseguradoras del Distrito de Cartagena tengan la programación de actividades preventivas en salud (acciones de protección específica y detección temprana).</t>
  </si>
  <si>
    <t>% de EAPB con programación de actividades preventivas en salud (acciones de protección específica y detección temprana).</t>
  </si>
  <si>
    <t>Gestión del plan de salud publica</t>
  </si>
  <si>
    <t>Implementar la Estrategia Atención Primaria en Salud en 20 EAPB del Distrito de Cartagena</t>
  </si>
  <si>
    <t xml:space="preserve">No. de EAPB capacidades desarrolladas en Atención Primaria en Salud
</t>
  </si>
  <si>
    <t>Lograr que 20 EAPB del Distrito de Cartagena tengan lo programación de las actividades preventivas en salud, (acciones de protección específica y detección temprana)</t>
  </si>
  <si>
    <t>No. De EAPB con capacidades desarrolladas en el diseño, programación y ejecución de las actividades preventivas en salud (acciones de protección específica y detección temprana)</t>
  </si>
  <si>
    <t>Lograr aumentar al 100% de EPS e IPS públicas, implementen la atención diferencial con poblaciones vulnerables</t>
  </si>
  <si>
    <t>Porcentaje de EPS e IPS públicas que implementaron la atención diferencial con poblaciones vulnerables</t>
  </si>
  <si>
    <t>Transversal gestión diferencial de poblaciones vulnerables</t>
  </si>
  <si>
    <t>Garantía de los deberes y derechos de los grupos poblacionales vulnerables y fortalecimiento de la participación social</t>
  </si>
  <si>
    <t>Aumentar la gestión de respuesta al 100% de los no conformidades relacionados con lo atención en salud al DADIS expresadas por los usuarios del SGSSS</t>
  </si>
  <si>
    <t>Porcentaje de no conformidades notificadas relacionadas con lo atención en salud gestionadas</t>
  </si>
  <si>
    <t>Capacitar como agentes de cambio a 800 funcionarios de atención al usuario (actores) del Sistema General de Seguridad Social en Salud, en Deberes y Derechos, atención preferencial con enfoque diferencial y Políticas de los grupos poblacionales Vulnerables</t>
  </si>
  <si>
    <t>Número de funcionarios actores del SGSSS capacitados</t>
  </si>
  <si>
    <t>Realizar asistencia técnica a 160 entidades del Sistema General de Seguridad Social en Salud, (EPS, IPS, Centros Días, ESE) en función en la  implementación y verificación de planes  de capacitaciones en Deberes y Derechos en salud de  usuarios y Procesos y protocolos de atención prioritaria y diferencial o Grupos de Poblaciones Vulnerables</t>
  </si>
  <si>
    <t>Número de entidades del SGSSS (EPS, IPS,Centros Días, ESE) con planes de capacitaciones en Deberes y Derechos en salud, verificación de la Implementación de Procesos y protocolos de atención prioritaria y diferencial o Grupos Poblacionales Vulnerables</t>
  </si>
  <si>
    <t>Capacitar en promoción social y reconocimiento de sus Deberes y Derechos en salud a 25.000 personas del Distrito de Cartagena.</t>
  </si>
  <si>
    <t>Número de personas capacitadas en promoción social, deberes y derechos en salud.</t>
  </si>
  <si>
    <t>Conformar y/o renovar cien (100) Asociaciones de Usuarios en salud en EPS e IPS en el Distrito de Cartagena</t>
  </si>
  <si>
    <t>Asociaciones de usuarios en salud de EPS e IPS conformadas y/o renovadas</t>
  </si>
  <si>
    <t>Responder a todas las peticiones, quejas y reclamos relacionados con la atención en salud notificadas al DADIS</t>
  </si>
  <si>
    <t>Número de peticiones, quejas y reclamos atendidas</t>
  </si>
  <si>
    <t>Disminuir la tasa de mortalidad infantil o menos de 10,8 por mil nacidos vivos</t>
  </si>
  <si>
    <t>Desarrollar capacidades en estrategias de salud infantil a 40 instituciones prestadoras de salud.</t>
  </si>
  <si>
    <t>N° de IPS con capacidades desarrolladas en estrategias de salud infantil</t>
  </si>
  <si>
    <t>Fortalecer 40 redes comunitarias poro lo salud y bienestar de lo infancia en el distrito de Cartagena</t>
  </si>
  <si>
    <t>N° redes poro lo salud y bienestar de la infancia en el distrito de Cartagena fortalecidas</t>
  </si>
  <si>
    <t>Lograr que anualmente 17000 niños menores de un año tengan control de crecimiento y desarrollo</t>
  </si>
  <si>
    <t>Niños menores de un año con control de crecimiento y desarrollo.</t>
  </si>
  <si>
    <t>Realizar anualmente monitoreo y evaluación de lo atención en salud con calidad y humanización en 40 instituciones de salud con servicios de atención materno -infantil</t>
  </si>
  <si>
    <t>IPS con servicios de atención infantil monitoreadas y evaluadas para la atención en salud con calidad y humanización</t>
  </si>
  <si>
    <t>Mantener la afiliación anual al SGSSS de mínimo 12.341 niños menores de un año.</t>
  </si>
  <si>
    <t>Niños menores de un año afiliados al SGSS</t>
  </si>
  <si>
    <t>Promoción y prevención de la salud en la infancia</t>
  </si>
  <si>
    <t>Tasa de Mortalidad  Infantil (Casos por 1.000 Nacidos Vivos)</t>
  </si>
  <si>
    <t>Salud ambiental</t>
  </si>
  <si>
    <t>Mantener el índice de Riesgo de Calidad del Agua (IRCA) igual o interior al 5%</t>
  </si>
  <si>
    <t>Índice de Riesgo de Calidad del Agua para consumo humano</t>
  </si>
  <si>
    <t>&lt; O = 5%</t>
  </si>
  <si>
    <t>&lt;5%</t>
  </si>
  <si>
    <t>Mantener índice Riesgo por Abastecimiento de Agua (IRABA) igual o inferior al 25%</t>
  </si>
  <si>
    <t>Índice de Riesgo por Abastecimiento de Agua Municipal</t>
  </si>
  <si>
    <t>25.1-40.0%</t>
  </si>
  <si>
    <t>&lt;25%</t>
  </si>
  <si>
    <t>Tomar y analizar anualmente 500 Muestras de agua Potable.</t>
  </si>
  <si>
    <t>Número de muestras de agua para consumo humano tomadas y analizadas</t>
  </si>
  <si>
    <t>Tomar y analizar anualmente al menos 74 Muestras de agua anualmente en Corregimientos y Veredas(Carrotanques y Bongos)</t>
  </si>
  <si>
    <t>SD</t>
  </si>
  <si>
    <t>Vigilancia y control del agua para consumo humano</t>
  </si>
  <si>
    <t>Lograr que el 80% de Establecimientos de Interés Sanitarios abiertos al público alcancen concepto sanitario favorable</t>
  </si>
  <si>
    <t>Cobertura de establecimientos abiertos al público de Interés Sanitarios Vigilados y Controlados</t>
  </si>
  <si>
    <t>Mantener la Mortalidad por rabia humana en Cero (0)</t>
  </si>
  <si>
    <t>Tasa de mortalidad por rabia humana</t>
  </si>
  <si>
    <t>Vigilancia y control de zoonosis</t>
  </si>
  <si>
    <t>Seguridad sanitaria del ambiente</t>
  </si>
  <si>
    <t>Visitar e Inspeccionar 8000 Establecimientos abiertos al público de interés sanitario durante el año</t>
  </si>
  <si>
    <t>Número de Establecimiento s de interés sanitarios abiertos al público visitados e inspeccionados</t>
  </si>
  <si>
    <t>Aplicar 143.850 Dosis contra rabia Animal anualmente</t>
  </si>
  <si>
    <t>Numero de Dosis de Vacuna contra rabia animal aplicadas</t>
  </si>
  <si>
    <t>Aumentar lo supervivencia de los menores de 18 años con leucemia pediátrica por encima del  41%</t>
  </si>
  <si>
    <t>Porcentaje de supervivencia por cáncer infantil</t>
  </si>
  <si>
    <t xml:space="preserve"> &gt;41%</t>
  </si>
  <si>
    <t>Realizar desarrollo de capacidades a los profesionales de la salud de 44 IPS Y 20 EAPB del distrito de Cartagena en el componente de diagnóstico temprano de las leucemias y linfomas pediátricos</t>
  </si>
  <si>
    <t>Desarrollar capacidades a 400 personas miembros de redes multiplicadoras en detección temprana de cáncer infantil</t>
  </si>
  <si>
    <t>Realizar seguimiento a las 20 EAPB para el cumplimiento de lo ley de cáncer infantil en los menores de 18 años diagnosticados con cáncer infantil</t>
  </si>
  <si>
    <t>Número de IPS y EAPB con asesoría y acompañamiento</t>
  </si>
  <si>
    <t>Número de personas entrenadas paro red de multiplicadores</t>
  </si>
  <si>
    <t>Número de historias clínicas de niños diagnosticados con cáncer infantil con acciones de seguimiento</t>
  </si>
  <si>
    <t>Número de EAPB intervenidas con acciones de seguimiento en cumplimiento de ley de cáncer infantil</t>
  </si>
  <si>
    <t>Porcentaje de progreso de enfermedad renal crónico</t>
  </si>
  <si>
    <t>Lograr que el 65%de las personas se mantengan sin enfermedad renal crónico o en estadio 1 y 2 o pesar de tener enfermedades precursoras (Hipertensión y diabetes</t>
  </si>
  <si>
    <t>Realizar desarrollo de capacidades en ECNT al recurso humano de 61_ IPS y 20 EAPB del distrito de Cartagena sobre la detección temprana de alteraciones de la población adolescente, adulto joven y del adulto mayor y la implementación de guías de práctica en cuanto al componente preventivo de las patologías crónicas.</t>
  </si>
  <si>
    <t>Numero de IPS Y EAPB con asesoría y acompañamiento en ECNT</t>
  </si>
  <si>
    <t>Realizar anualmente seguimiento al cumplimiento de las normas técnicas de los programas de ECN Ta 20 EAPB y 20 IPS</t>
  </si>
  <si>
    <t>Número de IPS Y EAPB con acciones de seguimiento de los programes ECNT</t>
  </si>
  <si>
    <t>Mantener el logro del índice de caries dentales (COP) menor a 2.3 en menores de doce (12) años</t>
  </si>
  <si>
    <t>índice de caries dental COP</t>
  </si>
  <si>
    <t>2.3</t>
  </si>
  <si>
    <t>&lt; 2.3</t>
  </si>
  <si>
    <t>Realizar desarrollo de capacidades al recurso humano de 80 IPS y 20 EPS del Distrito de Cartagena sobre salud Oral</t>
  </si>
  <si>
    <t>Numero de IPS Y EPS con desarrollo de capacidades sobre salud oral</t>
  </si>
  <si>
    <t>Prevención y control de las alteraciones de la salud oral, visual y auditiva</t>
  </si>
  <si>
    <t>Garantizar lo atención al 100% de los defectos refractivos en niños entre 2 y 8 años identificados</t>
  </si>
  <si>
    <t>Realizar desarrollo de capacidades al recurso humano de 80 IPS y 20 EPS del Distrito de Cartagena sobre salud visual</t>
  </si>
  <si>
    <t>Numero de IPS Y EPS con desarrollo de capacidades sobre salud visual</t>
  </si>
  <si>
    <t>Realizar seguimiento a 1670 niños y niñas entre 2 y 8 años identificados con defectos refractivos</t>
  </si>
  <si>
    <t>Número de niños identificados con acciones de seguimiento</t>
  </si>
  <si>
    <t>Garantizar la atención al 100% de los niños de alto riesgo de 0 o 12 años  identificados con hipoacusia</t>
  </si>
  <si>
    <t>% de los defectos refractivos en niños entre 2 y 8 años identificados y tratados</t>
  </si>
  <si>
    <t>S.D</t>
  </si>
  <si>
    <t>Porcentaje de niños del Distrito de Cartagena de primera infancia identificados con hipoacusia y frotados</t>
  </si>
  <si>
    <t>Realizar desarrollo de capacidades al recurso humano de 80 IPS y 20 EPS del Distrito de Cartagena sobre salud auditiva</t>
  </si>
  <si>
    <t>Porcentaje de IPSYEPS con desarrollo de capacidades sobre salud auditiva</t>
  </si>
  <si>
    <t>Realizar seguimiento al cumplimiento del protocolo de atención en salud auditiva a 80 prestadores de salud</t>
  </si>
  <si>
    <t>Numero de IPS con seguimiento al cumplimiento de la normo técnica salud auditiva</t>
  </si>
  <si>
    <t>Realizar seguimiento a 335 niños entre 0 y 12 años identificados con problemas de hipoacusia</t>
  </si>
  <si>
    <t>Número de niños identificados con hipoacusia con acciones de seguimiento realizadas</t>
  </si>
  <si>
    <t>Mantener la Tasa de mortalidad por suicidio por debajo de 3.8 por 100.000 habitantes</t>
  </si>
  <si>
    <t>Vida saludable y condiciones no transmisibles</t>
  </si>
  <si>
    <t>Convivencia social y mental</t>
  </si>
  <si>
    <t>Salud metal</t>
  </si>
  <si>
    <t>3,8 por 100.000 habitantes</t>
  </si>
  <si>
    <t>&lt; 3,8 por 100.000 habitantes</t>
  </si>
  <si>
    <t>Realizar seguimiento a todos los casos por intentos de suicidios notificados al Sistema de Vigilancia Epidemiológica del DADIS</t>
  </si>
  <si>
    <t>Número de personas con intentos de suicidios con seguimiento y atención en salud mental.</t>
  </si>
  <si>
    <t>Desarrollar capacidades en promoción de la salud mental en 94 entidades (72 Instituciones Prestadoras de Servicios de Salud 22 Empresas Administradoras de Planes de Beneficios)</t>
  </si>
  <si>
    <t>Número de entidades con capacidades desarrolladas en promoción de la salud mental</t>
  </si>
  <si>
    <t>Vigilar que el 100% de las instituciones de atención a lo drogadicción habilitados apliquen protocolos de tratamiento de consumo de sustancias psicoactivas o los casos notificados</t>
  </si>
  <si>
    <t>Porcentaje de instituciones de atención o la drogadicción vigilados</t>
  </si>
  <si>
    <t>Tasa de mortalidad por suicidio</t>
  </si>
  <si>
    <t>Formular e implementar el Plan distrital de reducción de consumo de SPA conforme a los lineamientos definidos por el MSPS</t>
  </si>
  <si>
    <t>Plan formulado e implementado.</t>
  </si>
  <si>
    <t>Vigilar anualmente la aplicación de protocolos y tratamientos al consumo de sustancias psicoactivas en cinco (5) centros de atención a la drogadicción habilitados en el Distrito</t>
  </si>
  <si>
    <t>Número de centros de atención o lo drogadicción habilitados en el Distrito</t>
  </si>
  <si>
    <t>Nutrición e inocuidad de alimentos</t>
  </si>
  <si>
    <t>Incrementar a 3 meses la duración medio de la lactancia materna en menores de 6 meses</t>
  </si>
  <si>
    <t>Duración de la lactancia materna exclusiva en menores de 6 meses (media en meses)</t>
  </si>
  <si>
    <t>2.4</t>
  </si>
  <si>
    <t>Desarrollar los capacidades para la implementación de la estrategia lAMI en 4 instituciones prestadoras de servicios de salud</t>
  </si>
  <si>
    <t>Instituciones prestadoras de salud intervenidas</t>
  </si>
  <si>
    <t>Mantener por debajo de 5.4 % la desnutrición global (bajo peso para la edad) en menores de 5 años</t>
  </si>
  <si>
    <t>Prevalencia de desnutrición global (bajo peso para la edad) en menores de 5 años</t>
  </si>
  <si>
    <t>5.4%</t>
  </si>
  <si>
    <t>&lt;5,4%</t>
  </si>
  <si>
    <t>Desarrollo de capacidades en guías alimentarias a padres de familia y cuidadores de niños y niños en 80 CDI y hogares infantiles.</t>
  </si>
  <si>
    <t>Número de CDI y Hogares Infantiles beneficiados con guías alimentarias</t>
  </si>
  <si>
    <t>Desarrollo de capacidades en guías alimentarios o estudiantes, docentes y padres de familias de 48 Instituciones educativas del Distrito.</t>
  </si>
  <si>
    <t>Número de lEO beneficiado en guías alimentarias</t>
  </si>
  <si>
    <t>Mantener en menos de 8.23% la proporción de bajo peso al nacer</t>
  </si>
  <si>
    <t>Porcentaje de nacidos vivos con bajo peso al nacer</t>
  </si>
  <si>
    <t>8.23%</t>
  </si>
  <si>
    <t>&lt; 8,23</t>
  </si>
  <si>
    <t>Vigilar   el estado nutricional de  18.000 mujeres   gestantes</t>
  </si>
  <si>
    <t>Vigilar el estado nutricional de las mujeres gestantes</t>
  </si>
  <si>
    <t xml:space="preserve">Lograr que el 80% de los establecimientos de alimentos y bebidas alcohólicas alcancen concepto favorable al cumplimiento de los condiciones sanitarias establecidas en la </t>
  </si>
  <si>
    <t>Porcentaje de establecimientos vigilados y controlados con enfoque de riesgo</t>
  </si>
  <si>
    <t>Vigilancia y control de alimentos</t>
  </si>
  <si>
    <t>Nutrición</t>
  </si>
  <si>
    <t>Vigilar y controlar anualmente con enfoque de riesgo a mínimo 3.300establecimientos de alimentos y transportadores según lo establecido en el Plan Decenal de Salud Pública</t>
  </si>
  <si>
    <t>Sexualidad, derechos sexuales y reproductivos</t>
  </si>
  <si>
    <t>Salud sexual y reproductiva</t>
  </si>
  <si>
    <t>Disminuir al 2% la trasmisión materno infantil del VIH, sobre el número de niños expuestos</t>
  </si>
  <si>
    <t>% de trasmisión materno infantil del VIH</t>
  </si>
  <si>
    <t>fortalecer las capacidades de las 22 EAPBy 78IPS a través de un plan de mejoramiento en la estrategia de promoción de los derechos sexuales y reproductivos</t>
  </si>
  <si>
    <t>Número de entidades con planes de mejoramiento desarrollados en la estrategia de promoción de los derechos sexuales y
reproductivos</t>
  </si>
  <si>
    <t>Realizar seguimiento al cumplimiento que a 18.000 mujeres gestantes se les practique la prueba de VIH</t>
  </si>
  <si>
    <t>Número de mujeres gestantes a las que se les practicó prueba de VIH</t>
  </si>
  <si>
    <t>Mantener la incidencia de infección del VIH en menos de 1%</t>
  </si>
  <si>
    <t>Tasa de incidencia del VIH en personas de 15 o 49 años</t>
  </si>
  <si>
    <t>&lt;1%</t>
  </si>
  <si>
    <t>30 instituciones educativas intervenidas con programas de promoción de los derechos sexuales y reproductivos enfocados a una sexualidad autónomo, sana y responsable</t>
  </si>
  <si>
    <t>Número de instituciones educativas intervenidas con programas de promoción de los derechos sexuales y reproductivos</t>
  </si>
  <si>
    <t>Disminuir la proporción de adolescentes embarazadas al 19%</t>
  </si>
  <si>
    <t>Proporción de embarazos en adolescentes</t>
  </si>
  <si>
    <t>Formular e implementar de una estrategia intersectorial para la prevención del embarazo en adolescentes.</t>
  </si>
  <si>
    <t>Estrategia de prevención de Embarazo en adolescentes formulada y ejecutada en formo intersectorial.</t>
  </si>
  <si>
    <t>Disminuir la mortalidad materna a 31,2 X 100.000 nacidos vivos</t>
  </si>
  <si>
    <t>Razón de Mortalidad Materna (Casos por 100.000 nacidos vivos)</t>
  </si>
  <si>
    <t>Fortalecer las capacidades de las 20 EPS y 78 IPS a través de un plan de mejoramiento en la estrategia de promoción de los derechos sexuales y reproductivos</t>
  </si>
  <si>
    <t>Número de entidades con capacidades desarrolladas en estrategia de Maternidad Segura</t>
  </si>
  <si>
    <t>Desarrollar capacidades en la estrategia Maternidad segura a 150 médicos</t>
  </si>
  <si>
    <t>Número de profesionales de la salud con capacidades desarrolladas en estrategia de Maternidad segura</t>
  </si>
  <si>
    <t>Realizar seguimiento anual al cumplimiento de la realización de 4 o más controles prenatales a mínimo 18.000 mujeres del Distrito de Cartagena</t>
  </si>
  <si>
    <t>Mujeres con 4 o más controles prenatales</t>
  </si>
  <si>
    <t>Realizar seguimiento a todos los casos de morbilidad materna extrema notificados</t>
  </si>
  <si>
    <t>Número de casos de morbilidad materna extrema con acciones de seguimiento</t>
  </si>
  <si>
    <t>Prevención de la mortalidad materna y perinatal</t>
  </si>
  <si>
    <t>Vida saludable y enfermedades transmisibles</t>
  </si>
  <si>
    <t>Mantener la meta de eliminación de la lepra como enfermedad en salud publica en menos de 1 caso X 10.000 habitante</t>
  </si>
  <si>
    <t>PREVALENCIA DE LEPRA (CASOS X 10.000 )</t>
  </si>
  <si>
    <t xml:space="preserve">Menos de 1 caso </t>
  </si>
  <si>
    <t>Prevención y control de lepra</t>
  </si>
  <si>
    <t>REALIZAR ANUALMENTE ESTUDIO A CONTACTOS Y CONVIVIENTES DE 53 CASOS PAUSIBACILARES INSCRITOS EN EL PROGRAMA DE LEPRA</t>
  </si>
  <si>
    <t>Número de estudios realizados a contactos.</t>
  </si>
  <si>
    <t>REALIZAR ANUALMENTE ESTUDIO A CONTACTOS Y CONVIVIENTES DE 127 CASOS MULTIBACILARES INSCRITOS EN EL PROGRAMA DE LEPRA</t>
  </si>
  <si>
    <t xml:space="preserve">NUMERO ESTUDIO  DE  CONTACTOS REALIZADOS </t>
  </si>
  <si>
    <t>Disminuirla tasa de mortalidad por tuberculosis a 1,96 x 100.000</t>
  </si>
  <si>
    <t>TASA DE MORTALIDAD POR
TUBERCULOSIS</t>
  </si>
  <si>
    <t xml:space="preserve"> 1,96 x 100.000</t>
  </si>
  <si>
    <t xml:space="preserve">2,8 CASOS X 100.000 </t>
  </si>
  <si>
    <t>Prevención y control de tuberculosis</t>
  </si>
  <si>
    <t>Desarrollar anualmente capacidades en la estrategia de Tuberculosis a 122 entidades de salud (22 EAPB y 100 IPS)</t>
  </si>
  <si>
    <t>NUMERO DE ENTIDADES DE SALUD CON CAPACIDADES DESARROLLADAS</t>
  </si>
  <si>
    <t>Realizar anualmente estudio a contactos de 250 casos inscritos en el programa de tuberculosis-</t>
  </si>
  <si>
    <t>NUMERO DE ESTUDIO  de CONTACTOS
REALIZADOS</t>
  </si>
  <si>
    <t>Prevención y control de enfermedades inmunoprevenibles</t>
  </si>
  <si>
    <t>Lograr Coberturas de vacunación del 95% en niños y niños menores de un año</t>
  </si>
  <si>
    <t>Coberturas de vacunación en niños y niñas menores de un año</t>
  </si>
  <si>
    <t>96.6%</t>
  </si>
  <si>
    <t>Lograr Coberturas de vacunación del 95% en niños y niñas  de un año</t>
  </si>
  <si>
    <t>Coberturas de vacunación en niños y niñas de un año.</t>
  </si>
  <si>
    <t>98.7%</t>
  </si>
  <si>
    <t>Vacunar anualmente a 18400 niños y niñas de 0 o 11 meses, 29 días con todos los biológicos del esquema</t>
  </si>
  <si>
    <t>Número de niños y niñas de 0 a 11 meses, 29 dios vacunados con todos los biológicos del esquema</t>
  </si>
  <si>
    <t>Vacunar anualmente a 18608 niños y niñas de un año con todos los biológicos del esquema</t>
  </si>
  <si>
    <t>Número de niños y niñas de un año vacunados con todos los biológicos del esquema</t>
  </si>
  <si>
    <t>DISMINUIR LA LETALIDAD POR DENGUE A MENOS DEL 2% EN EL DISTRITO</t>
  </si>
  <si>
    <t>Letalidad por Dengue</t>
  </si>
  <si>
    <t>Vigilancia y control de enfermedades trasmitidas por vectores</t>
  </si>
  <si>
    <t>Revisar y Evaluar todos los casos de dengue Grave Notificado durante el Cuatrienio</t>
  </si>
  <si>
    <t>Número de Casos de Dengue Grave Revisados y Evaluados</t>
  </si>
  <si>
    <t>DISMINUIR LA TASA DE MORTALIDAD POR IRA ENMENORESDE 5 AÑOS a 15X100.000</t>
  </si>
  <si>
    <t>Tasa de Mortalidad por Infección Respiratoria Aguda (Casos de menores de 5 años por 100.000 de ese rango de edad)</t>
  </si>
  <si>
    <t>Prevención, manejo y control de la infección respiratoria aguda</t>
  </si>
  <si>
    <t>Fortalecer capacidades en prevención y manejo la Infección respiratoria Aguda en menores 5 años a 600 agentes de cambio (líderes voluntarios AIEPI- EPS).</t>
  </si>
  <si>
    <t>Número de agentes de cambio (voluntarios AIEPI- EPS) y cuidadores con capacidades adecuadas para prevenir y manejar la IRA en menores 5 años.</t>
  </si>
  <si>
    <t>Fortalecer capacidades en la prevención y atención de la Infección Respiratorios en 4000 madres y cuidadores residentes en la localidad dos y área rural.</t>
  </si>
  <si>
    <t>Número de madres o cuidadores con capacidades adecuadas para prevenir y manejar la IRA en menores 5 años.</t>
  </si>
  <si>
    <t>Realizar Inspección, vigilancia y control a 10 salas Enfermedad Respiratoria Aguda</t>
  </si>
  <si>
    <t>Número de salas ERA con acciones de inspección, vigilancia y control</t>
  </si>
  <si>
    <t>Salud publica en emergencia y desastres</t>
  </si>
  <si>
    <t>Reducir a niveles menores a 1 por cada 100.000 habitantes la mortalidad por urgencias, emergencias y desastres.</t>
  </si>
  <si>
    <t>Tasa de mortalidad por urgencias, emergencias y desastres</t>
  </si>
  <si>
    <t>1,7 por 100.000 habitantes</t>
  </si>
  <si>
    <t>&lt; 1 por cada 100.000</t>
  </si>
  <si>
    <t>Socializar el Plan Distrital de Gestión de Riesgo de Desastres a los sectores Salud, Comunidad y entes transectoriales.</t>
  </si>
  <si>
    <t>Número de sectores socializados</t>
  </si>
  <si>
    <t>Lograr que 33 Instituciones con servicios de urgencias apliquen el reglamento sanitario internacional</t>
  </si>
  <si>
    <t>instituciones con servicios de urgencias aplicando el reglamento sanitario internacional.</t>
  </si>
  <si>
    <t>Construcción y dotación de un Centro Regulador de Urgencias de Cartagena y Bolívar.</t>
  </si>
  <si>
    <t>Centro Regulador de Urgencias de Cartagena y Bolívar construido y dotado.</t>
  </si>
  <si>
    <t>Lograr que 33 Instituciones con servicios de urgencias respondan oportunamente ante las emergencias y desastres que enfrenten.</t>
  </si>
  <si>
    <t>Número de instituciones con oportunidad en la respuesta</t>
  </si>
  <si>
    <t>Gestión integral y respuesta en salud ante emergencias y desastres</t>
  </si>
  <si>
    <t>Salud y ámbito laboral</t>
  </si>
  <si>
    <t>25% de la población del sector informal de la economía con acciones de promoción de la salud y prevención de riesgos laborales</t>
  </si>
  <si>
    <t>Porcentaje de población en economía informal con acciones de promoción de la salud y prevención de riesgos laborales</t>
  </si>
  <si>
    <t>Realizar en las tres Localidades del Distrito caracterización demográfica e identificación de riesgos laborales asociados a las actividades desarrolladas en el ámbito informal de la economía con enfoque diferencial</t>
  </si>
  <si>
    <t>Número de localidades con Caracterización demográfica e identificación de riesgos laborales realizadas</t>
  </si>
  <si>
    <t>Realizar 15 acciones en promoción de la salud y prevención de riesgos laborales</t>
  </si>
  <si>
    <t>Número de acciones realizadas en promoción de la salud y prevención de riesgos laborales</t>
  </si>
  <si>
    <t>Seguridad y salud en el trabajo</t>
  </si>
  <si>
    <t>Disminuir a 6% la tasa de accidentalidad en el trabajo en el Distrito</t>
  </si>
  <si>
    <t>Tasa de Accidentalidad en el trabajo</t>
  </si>
  <si>
    <t>6,9% (Afiliados)</t>
  </si>
  <si>
    <t>Situaciones prevalentes de origen laboral</t>
  </si>
  <si>
    <t>Realizar acciones de promoción y prevención de situaciones prevalentes de origen laboral a 480 empresas del Distrito de Cartagena</t>
  </si>
  <si>
    <t>Número de empresas con acciones de promoción y prevención d situaciones prevalentes de origen laboral</t>
  </si>
  <si>
    <t>Realizar anualmente coordinación intersectorial con 9 ARL del Distrito de Cartagena</t>
  </si>
  <si>
    <t>Número de ARL con  coordinación.</t>
  </si>
  <si>
    <t>LINEA ESTRATÉGICA CARTAGENA ESCENARIO NATURAL PARA EL ARTE LA CULTURA YEL PATRIMONIO</t>
  </si>
  <si>
    <t>Patrimonio, identidad y memoria</t>
  </si>
  <si>
    <t>Impactar al 30% de la población del Distrito de Cartagena de contextos poblacionales</t>
  </si>
  <si>
    <t>% personas impactadas por actividades culturales trabajadas desde un enfoque poblacional para fortalecer la interculturalidad</t>
  </si>
  <si>
    <t>Aumentar a 40 el número de Acciones de protección y salvaguarda del patrimonio cultural a la población a impactar</t>
  </si>
  <si>
    <t>Número de Acciones de protección y salvaguarda del patrimonio cultural</t>
  </si>
  <si>
    <t>Impactar a 319.500 personas en actividades culturales trabajadas desde un enfoque poblacional y diferencial pora fortalecer la interculturalidad</t>
  </si>
  <si>
    <t>Personas impactadas por actividades culturales trabajadas desde un enfoque poblacional y diferencial para fortalecer la interculturalidad</t>
  </si>
  <si>
    <t>Realizar 6 procesos de patrimonio cultural que buscan preservar la memoria comunicados y difundidos a la población a impactar.</t>
  </si>
  <si>
    <t>N° de procesos de patrimonio cultural que buscan preservar la memoria comunicados y difundidos</t>
  </si>
  <si>
    <t>Contextos poblacionales: Diversidad e interculturalidad</t>
  </si>
  <si>
    <t>Cartagena investiga y divulga su patrimonio cultural</t>
  </si>
  <si>
    <t>Fomento al arte y cultura para la vida</t>
  </si>
  <si>
    <t>Procesos de formación artística y de circulación para la profeslonalización de los artistas y agentes culturales</t>
  </si>
  <si>
    <t>Aumentar en un 100% los procesos de formación artística y de circulación para la profesionalización de los artistas y agentes culturales.</t>
  </si>
  <si>
    <t>N° de programaciones realizadas para que cartageneros y cartageneras vinculen la lectura y escritura a su vida cotidiana</t>
  </si>
  <si>
    <t>Artistas o colectivos artísticos fortalecidos en procesos de formación y creación</t>
  </si>
  <si>
    <t>N° de actividades de agenda cultural</t>
  </si>
  <si>
    <t>Mantenimiento básico anual / adecuación de escenarios culturales</t>
  </si>
  <si>
    <t>60  programaciones realizadas para que cartageneros y cartageneras vinculen la lectura y escritura a su vida cotidiana</t>
  </si>
  <si>
    <t>500 Artistas o colectivos artísticos fortalecidos en procesos de formación y creación</t>
  </si>
  <si>
    <t>Aumentar a 400 de actividades de agenda cultural</t>
  </si>
  <si>
    <t>Incrementar a 18   escenarios culturales</t>
  </si>
  <si>
    <t xml:space="preserve"> 60 Mantenimiento básico anual / adecuación de escenarios culturales</t>
  </si>
  <si>
    <t>Leer para crecer</t>
  </si>
  <si>
    <t>Creación,
Artística
Formación y
fortalecimiento a
artistas</t>
  </si>
  <si>
    <t>Cartagena,
escenario de arte</t>
  </si>
  <si>
    <t>Escenarios para
las artes</t>
  </si>
  <si>
    <t xml:space="preserve">Número de procesos dirigidos oí fortalecimiento de los emprendimientos creativos y culturales </t>
  </si>
  <si>
    <t>Aumentar en un 300% las organizaciones con emprendimientos creativos y culturales</t>
  </si>
  <si>
    <t>Economía cultural y creativa</t>
  </si>
  <si>
    <t>Aumentar a 3 el número de procesos dirigidos al fortalecimiento de los emprendimientos creativos y culturales</t>
  </si>
  <si>
    <t>Número de procesos dirigidos al fortalecimiento de los emprendimientos creativos y culturales</t>
  </si>
  <si>
    <t>Fortalecer la institucionalidad cultural y la participación ciudadana</t>
  </si>
  <si>
    <t>Hagámoslo bien, institucionalidad cultural publica</t>
  </si>
  <si>
    <t>Sistema distrital de cultura</t>
  </si>
  <si>
    <t>Formación en gestión cultural</t>
  </si>
  <si>
    <t>Sistema de información cultural</t>
  </si>
  <si>
    <t>Implementar 2 Procesos dirigidos o fortalecer la institucionalidad cultural pública</t>
  </si>
  <si>
    <t>Número de procesos dirigidos a fortalecer la institucionalidad cultural pública</t>
  </si>
  <si>
    <t>Mantener en funcionamiento los Sistemas Distritales de Cultura</t>
  </si>
  <si>
    <t>Número de Sistemas conformados y funcionando</t>
  </si>
  <si>
    <t>Desarrollar 3 procesos de formación cultural dirigido o agentes culturales</t>
  </si>
  <si>
    <t>Número de procesos de formación cultural dirigido a agentes culturales</t>
  </si>
  <si>
    <t>Crear 1 Sistema de Información Cultural distrital</t>
  </si>
  <si>
    <t>Sistema de información cultural distrital</t>
  </si>
  <si>
    <t>Aumentar en un 100%  el número de estrategias para el fortalecimiento de la institucionalidad cultural y la participación ciudadana.</t>
  </si>
  <si>
    <t>Estrategias para el fortalecimiento de la institucionalidad cultural y la participación ciudadana</t>
  </si>
  <si>
    <t>LINEA ESTRATEGICA CIUDAD Y DEPORTE</t>
  </si>
  <si>
    <t>Escuela de iniciación y formación deportiva “Escuela deporte”</t>
  </si>
  <si>
    <t>Porcentaje de niñas, niños y adolescentes en la Escuela de Iniciación y formación deportiva/ el rango población de 6 a 17 años.</t>
  </si>
  <si>
    <t xml:space="preserve"> Incrementar a un 50% los niños, niñas y adolescentes en la Escuela de Iniciación y formación deportiva</t>
  </si>
  <si>
    <t>Incrementar a 27.714 el Número de niñas, niños y adolescentes entre 6 y 17 años vinculados a la Escuela de Iniciación y Formación Deportiva en zona rural y urbana.</t>
  </si>
  <si>
    <t>Porcentaje de niñas, niños y adolescentes en la Escuela de Iniciación y formación deportiva/el rango población de 6 a 17 años.</t>
  </si>
  <si>
    <t>Escuela de iniciación y formación deportiva “escuela deporte”</t>
  </si>
  <si>
    <t>Porcentaje de Niñas, niños, adolescentes y jóvenes entre 6 y 17 años vinculados al programa Supérate-Intercolegiados sobre población entre 6 y 17 años del Distrito</t>
  </si>
  <si>
    <t>Porcentaje de ios instituciones educativas vinculadas al programa Supérate-Intercolegiados/ número de Instituciones educativas públicas y privadas del Distrito</t>
  </si>
  <si>
    <t xml:space="preserve"> Incrementar a 28,8% los Niños, niñas, adolescentes y jóvenes entre 6 y 17 años, vinculados al programa Supérate-Intercolegiados</t>
  </si>
  <si>
    <t>Incrementar a 54% las instituciones educativas vinculadas al programa Supérate-Intercolegiados</t>
  </si>
  <si>
    <t>Aumentar a 30.932 el Número de Niños, niñas, adolescentes y jóvenes entre 6 y 17 años, vinculados al programa Supérate-Intercolegiados</t>
  </si>
  <si>
    <t>Aumentar a 200 el Número de IEO vinculadas a los Juegos Supérate-Intercoleglados</t>
  </si>
  <si>
    <t>Porcentaje de las instituciones educativas vinculadas al programa Supérate-Intercolegiados/ número de Instituciones</t>
  </si>
  <si>
    <t>Hábitos y estilos de vida saludable</t>
  </si>
  <si>
    <t>Porcentaje de población que realiza una actividad física /el rango de población de 8 a 80 años</t>
  </si>
  <si>
    <t>Porcentaje de población participantes de población eventos recreativos comunitarios / población de 3 años a más de 80 años</t>
  </si>
  <si>
    <t>Incrementar a 33% la población que realiza una actividad física</t>
  </si>
  <si>
    <t xml:space="preserve"> Incrementar a 65% la población participante eventos recreativos comunitarios </t>
  </si>
  <si>
    <t>Promoción masiva de una vida activa “actívate por tu salud”</t>
  </si>
  <si>
    <t>Eventos recreativos y comunitarios “recreando la gente”</t>
  </si>
  <si>
    <t>Aumentar a 300.000 el número de participantes vinculados a la actividad física</t>
  </si>
  <si>
    <t>Número de participantes vinculados o lo actividad física</t>
  </si>
  <si>
    <t>Aumentar a 646.969 el número de participantes vinculados o los Eventos Recreativos Comunitarios</t>
  </si>
  <si>
    <t xml:space="preserve">Número de participantes vinculados a los Eventos Recreativos Comunitarios </t>
  </si>
  <si>
    <t>Infraestructura deportiva</t>
  </si>
  <si>
    <t>Porcentaje de construcción y reconstrucción de escenarios deportivos en las tres localidades del Distrito de Cartagena de Indias / el número de los escenarios públicos existentes</t>
  </si>
  <si>
    <t>Porcentaje de manteninniento, adecuación y mejoramiento de escenarios deportivos en el Distrito de Cartagena de Indias / el número de escenarios deportivos públicos  existentes</t>
  </si>
  <si>
    <t>Incrementar a 31% lo construcción y reconstrucción de escenarios deportivos en las tres localidades del Distrito de Cartagena de Indias</t>
  </si>
  <si>
    <t>Incrementar a 43% el mantenimiento, adecuación y  mejoramiento de escenarios deportivos en el Distrito de Cartagena de India</t>
  </si>
  <si>
    <t>Construcción , adecuación, mejoramiento y mantenimiento de los escenarios deportivos “más gente integrada”</t>
  </si>
  <si>
    <t>Aumentar a 72 el número de escenarios deportivos construidos y reconstruidos</t>
  </si>
  <si>
    <t>Número de escenarios deportivos construidos y reconstruidos</t>
  </si>
  <si>
    <t>Aumentar a 100 el Número de escenarios existentes mantenidos, adecuados y mejorados</t>
  </si>
  <si>
    <t>Número escenarios existentes mantenidos, adecuados mejorados</t>
  </si>
  <si>
    <t>Deporte social y comunitario</t>
  </si>
  <si>
    <t>Porcentaje de la Población
participantes en las actividades
deportivas y recreativas con inclusión
social / lo población del Distrito de
Cartagena de Indias atendidas en actividades deportivas y recreativas en el Distrito de Cartagena de Indias</t>
  </si>
  <si>
    <t>Porcentaje de población participantes en los Juegos Corregimentales, Comunales, Carcelarios y torneos de integración comunitaria /el número de participantes en las actividades deportivas y recreativas en el Distrito de Cartagena de Indias</t>
  </si>
  <si>
    <t>Porcentaje de iniciativas presentadas por la comunidad atendidas /sobre el número de iniciativas atendida</t>
  </si>
  <si>
    <t xml:space="preserve"> Incrementar a 9% los participantes en las actividades deportivas y recreativas con inclusión social</t>
  </si>
  <si>
    <t>Incrementar a 55% los participantes en los Juegos Corregimentales,  Comunales, Carcelarios y torneos de integración comunitaria</t>
  </si>
  <si>
    <t>Mantener en un 100% las iniciativas presentadas por la comunidad atendidas</t>
  </si>
  <si>
    <t>Deporte y
Recreación
con Inclusión
Social
"Gente
Diversa"</t>
  </si>
  <si>
    <t>Deporte
Social y
Comunitario
" Primero la
Gente,
Primero el
Deporte"</t>
  </si>
  <si>
    <t xml:space="preserve">Aumentar a 40.000 el número de población vulnerable participantes en actividades de deporte y recreación con inclusión social y enfoque diferencial </t>
  </si>
  <si>
    <t xml:space="preserve">Número de población vulnerable participantes en actividades de deporte y recreación con inclusión social y enfoque diferencial </t>
  </si>
  <si>
    <t>Aumentar a 81.225 el Número de participantes en los Juegos Corregimentales, Comunales, Carcelarios y Torneos de Integración Comunitaria</t>
  </si>
  <si>
    <t>Número de participantes en los Juegos Corregimentales, Comunales, Carcelarios y Torneos de Integración Comunitaria</t>
  </si>
  <si>
    <t>Mantener 100 iniciativas presentadas por la comunidad atendidas</t>
  </si>
  <si>
    <t>Número de iniciativas presentadas por la comunidad atendidas</t>
  </si>
  <si>
    <t>Deporte asociado</t>
  </si>
  <si>
    <t>Porcentaje de deportista de altos logros y futuras estrellas del deporte apoyados / deportista identificados de alto logros</t>
  </si>
  <si>
    <t>Incrementar al 100% los deportista de altos logros y futuras estrellas del deporte apoyados</t>
  </si>
  <si>
    <t>Juegos deportivos
nacionales</t>
  </si>
  <si>
    <t>Cartagena de Indias,
Sin fronteras al deporte
y la recreación</t>
  </si>
  <si>
    <t>Deporte Asociado
"Primero el Talento
Deportivo"</t>
  </si>
  <si>
    <t>Diseñar, formular y ejecutar un plan de intervenciones de infraestructura deportiva y de organización de los juegos deportivos nacionales</t>
  </si>
  <si>
    <t>Plan formulado y ejecutado</t>
  </si>
  <si>
    <t>Realizar 48 eventos de carácter nacional o internacional con sede en Cartagena de Indias</t>
  </si>
  <si>
    <t>Número de eventos de carácter nacional o internacional con sede en Cartagena de Indias</t>
  </si>
  <si>
    <t>Apoyar a 100 deportistas de altos logros y futuros estrellas del deporte apoyados</t>
  </si>
  <si>
    <t>Número de deportistas de altos logros y futuros estrellas del deporte apoyados</t>
  </si>
  <si>
    <t>Apoyar 430 iniciativas de ligas, clubes y otras organizaciones deportivas</t>
  </si>
  <si>
    <t>Número de iniciativas apoyadas o ligas, clubes y otras organizaciones deportivas.</t>
  </si>
  <si>
    <t>Observatorio de ciencias aplicadas al deporte de Cartagena de indias</t>
  </si>
  <si>
    <t>Plan Estratégico Distrital para la Recreación y el Deporte a 2025 y la Política de Promoción, fomento y desarrollo de las actividades recreativas y deportivas</t>
  </si>
  <si>
    <t xml:space="preserve"> Formulación de la Política Pública y Plan Estratégico Distrital para la Recreación y el Deporte.</t>
  </si>
  <si>
    <t>Formular 2 acciones estratégicas de promoción y fomento de actividades deportivas y recreativas mediante IDER la formulación de la Política Pública y Plan Estratégico Distrital para la Recreación y el Deporte</t>
  </si>
  <si>
    <t>Capacitar 7595 entrenadores, líderes comunitarios, administradores de organizaciones deportivas, jueces, dirigentes deportivos</t>
  </si>
  <si>
    <t>Numero de entrenadores, lideres comunitarios, administradores de organizaciones deportivas, jueces, dirigentes deportivos capacitados</t>
  </si>
  <si>
    <t>LÍNEA ESTRATÉGICA SUPERACION DE LA POBREZA EXTREMA Y LA
DESIGUALDAD</t>
  </si>
  <si>
    <t>Superación de la pobreza extrema y la desigualdad</t>
  </si>
  <si>
    <t>PORCENTAJE DE HOGARES ACOMPAÑADOS EN POBREZA EXTREMA/NUMERO DE HOGARES DEL DISTRITO DE CARTAGENA</t>
  </si>
  <si>
    <t>INCREMENTO DE LOS HOGARES ACOMPAÑADOS EN POBREZA EXTREMA/NUMERO DE HOGARES DEL DISTRITO DE CARTAGENA</t>
  </si>
  <si>
    <t>Identificación para la
Superación de Pobreza y Desigualdad</t>
  </si>
  <si>
    <t>Identificara 18431
personas en pobreza
extrema en el área
urbana</t>
  </si>
  <si>
    <t>Identificar a 2000
personas en pobreza
extrema en el área
rural</t>
  </si>
  <si>
    <t>Realizar 5 jornadas
de identificación con
la Registraduría
Nacional.</t>
  </si>
  <si>
    <t>Numero de personas en pobreza
extrema en el área
urbana identificadas</t>
  </si>
  <si>
    <t>Numero de personas en pobreza
extrema en el área
rural  identificadas</t>
  </si>
  <si>
    <t xml:space="preserve"> Jornadas
de identificación con
la Registraduría
Nacional.</t>
  </si>
  <si>
    <t>Gestionar con el DADIS que 11520 de pobreza accedan al SGSS</t>
  </si>
  <si>
    <t>Numero de personas en pobreza extrema que acceden al SGSS</t>
  </si>
  <si>
    <t xml:space="preserve">Formar a 2000 adolescentes en pobreza extrema en promocion de la salud sexual y prevencion de embarazos </t>
  </si>
  <si>
    <t>numero de adolescentes en pobreza extrema formados en promocion de la salud sexual y prevencion de embarazos.</t>
  </si>
  <si>
    <t>Salud paro la Superación
de pobreza y
Desigualdad</t>
  </si>
  <si>
    <t>Educación para la
Superación de pobreza y Desigualdad</t>
  </si>
  <si>
    <t xml:space="preserve">Vincular 6412 de pobreza extrema a la oferta de servicios educativos de formacion pertinente </t>
  </si>
  <si>
    <t>personas vinculadas a la oferta de servicio educativos  en formacion pertinente</t>
  </si>
  <si>
    <t xml:space="preserve">Gestionar que 5140 niños, niñas, adolescentes , y adultos de pobreza extrema accedan a los diferentes niveles del sistema educativo </t>
  </si>
  <si>
    <t>Numero de niños, niñas adolescentes , jovenes y adultos de pobreza extrema que accedan a los diferentes niveles del sistema educativo</t>
  </si>
  <si>
    <t>Habitabilidad para la
Superación de pobreza y
Desigualdad</t>
  </si>
  <si>
    <t>Intervenir 500 viviendas de familias en pobreza extrema en habitabilidad con caalidad</t>
  </si>
  <si>
    <t>Numero de viviendas de familias en pobreza extrema intervenidas en habitabilidad con calidad</t>
  </si>
  <si>
    <t>1704  Personas en pobreza extrema certificadas  en competencias laborales e insertadas en el mercado laboral</t>
  </si>
  <si>
    <t>Numero de personas en pobreza extrema certificadas en competencias laborales e insertados en el mercado laboral</t>
  </si>
  <si>
    <t xml:space="preserve">Crear 2556 unidades productivas a traves de proceso de emprendimiento </t>
  </si>
  <si>
    <t>Numero de unidades productivas creadas a traves de proceso de emprendimiento</t>
  </si>
  <si>
    <t xml:space="preserve">Fortalecidas tecnica y financieramente 4261 unidades productivas  a traves del empresarismo </t>
  </si>
  <si>
    <t xml:space="preserve">Numero de unidades productivas fortalecidas tecnica y financieramente  a traves del empresarismo </t>
  </si>
  <si>
    <t>Ingreso y Trabajo para la
superación de pobreza y
desigualdad</t>
  </si>
  <si>
    <t>Bancarización y Ahorro
Paro lo Superación de
Pobreza y Desigualdad</t>
  </si>
  <si>
    <t>Garantizar el acceso a 13374 personas en pobreza extrema el sistema financiero</t>
  </si>
  <si>
    <t xml:space="preserve">Numero de personas en pobreza que tienen microempresas o pequeños negocios en funcionamiento que accedan al sistema financiero </t>
  </si>
  <si>
    <t>Realizar 8 ferias micro financieras</t>
  </si>
  <si>
    <t xml:space="preserve">Ferias micro financieras realizadas </t>
  </si>
  <si>
    <t xml:space="preserve">Formar 9231 familias en pobreza extrema en mecanismos de resolucion de conflictos </t>
  </si>
  <si>
    <t>Numero de familias en situacion de pobreza extrema o desplazamiento con conocimiento en mecanismo de resolucion de conflictos</t>
  </si>
  <si>
    <t xml:space="preserve">690 familias en pobreza extrema acceden a los servicios de justicia formal y no formal para la solucion de sus conflictos </t>
  </si>
  <si>
    <t>numero de familias en situacion de pobreza extrema o desplazamiento han accedido a los servicios de justicia formal y no formal para la solucion de sus conflictos</t>
  </si>
  <si>
    <t>Acceso a lo Justicia para
la superación de pobreza
y desigualdad</t>
  </si>
  <si>
    <t>Dinámica Familiar depara
la superación de pobreza
y desigualdad</t>
  </si>
  <si>
    <t>Fortalecer 10577 familias de pobreza extrema en mecanismos saludables de convivencia y expresiones de afecto</t>
  </si>
  <si>
    <t>Número de familias en pobreza extrema que han fortalecido el núcleo familiar, desarrollando mecanismos saludables de convivencia y expresiones de afecto</t>
  </si>
  <si>
    <t xml:space="preserve">Sensibilizar 3200 adolescentes y jovenes en pobreza extrema en prevencion de consumo de alcohol y la drogadiccion </t>
  </si>
  <si>
    <t>Número de adolescente y jóvenes en pobreza extrema sensibilizados en prevención de consumo de alcohol y la drogadicción</t>
  </si>
  <si>
    <t>Atender 1219 familias victimas del postconflicto</t>
  </si>
  <si>
    <t>Número de familias victimas en postconflicto atendidas</t>
  </si>
  <si>
    <t>Implementar 3 comedores comunitarios</t>
  </si>
  <si>
    <t>Comedores comunitarios Implementados</t>
  </si>
  <si>
    <t>Garantizar el acceso de 9377 personas en pobreza extrema a los programas de nutricion a traves de los comedores comunitarios</t>
  </si>
  <si>
    <t>Numero de personas en pobreza extrema que acceden a los programas de nutricion a traves de los comedores comunitarios</t>
  </si>
  <si>
    <t>Atender 2494 niñas y niños mayores de  seis (6) meses y menores de cinco (5) en pobreza extrema en el programa de nutricion</t>
  </si>
  <si>
    <t xml:space="preserve">Numero de niñas y niños mayores de seis (6) meses y menores de cinco (5) en pobreza extrema identificados y caracterizados nutricionalmente para programar su tencion </t>
  </si>
  <si>
    <t>Vincular 1200 familias en pobreza extrema a la politica publica distrital de seguridad alimentaria y nutricion "tintililillo"</t>
  </si>
  <si>
    <t>Numero de familias vinculadas a la politica publica distrital de seguridad alimentaria y nutricion "tintililillo"</t>
  </si>
  <si>
    <t>Nutrición y seguridad alimentaria para la superación de la pobreza y desigualdad</t>
  </si>
  <si>
    <t>Fortalecimiento institucional para la superación de pobreza y desigualdad</t>
  </si>
  <si>
    <t>Crear e implementar
1 base de datos</t>
  </si>
  <si>
    <t>Base de datos creada e implementada</t>
  </si>
  <si>
    <t>EJE ESTRATEGICO PRIMERO LA GENTE</t>
  </si>
  <si>
    <t>LÍNEA ESTRATÉGICA INFANCIA, NIÑEZ Y ADOLESCENCIA FELIZ Y
PROTEGIDA</t>
  </si>
  <si>
    <t>Primera infancia feliz y protegida</t>
  </si>
  <si>
    <t>Porcentajes de padres y/o cuidadores que participan en Acciones que promuevan el desarrollo de hicbilidades en entornos protectores y pautas de crianza que favorecen el desarrollo integral de los niños y las niñas de primera infancia.</t>
  </si>
  <si>
    <t>Adecuación y/o construcción de infraesturctura para  la atención de niños y niñas (0-5 años).</t>
  </si>
  <si>
    <t>Mi primera infancia feliz y acogida por mi familia</t>
  </si>
  <si>
    <t>Aumentar en un 10% la participacion de padres, madres y/o cuidadores en acciones que promuevan  el desarrollo de habilidades,  entornos protectores y pautas de crianza que favorezcan el crecimiento integral de los niños y las niñas de primera infancia.</t>
  </si>
  <si>
    <t>Construir 3 nuevas infraestructuras para la atencion integral a la primera infancia.</t>
  </si>
  <si>
    <t>10.000 Padres, madres y/o cuidadores participando en acciones de promocion para la atencion integral de la primera infancia con enfoque diferencial.</t>
  </si>
  <si>
    <t>Numero de Padres, madres y/o cuidadores que participan en acciones de promoción para la atención integral de la primera infancia con enfoque diferencial.</t>
  </si>
  <si>
    <t xml:space="preserve">3 Centros de Desarrollo Infantil Construidos </t>
  </si>
  <si>
    <t>Numero de CDI Construidos para la atención de niñas y niños (0- 5 años).</t>
  </si>
  <si>
    <t>Niñez y adolescencia feliz y protegida</t>
  </si>
  <si>
    <t>Porcentaje de niñas, niños y odolescentes con derechos amenazados, inobservados y/o vulnerados atendidos en forma transitoria e inmediata y/o especializada.</t>
  </si>
  <si>
    <t>Aumentar a 1.3% el Porcentaje de niños, niños y adolescentes atendidos en formo transitoria e inmediato y/o especializada con derechos amenazados, inobservados y/o vulnerados</t>
  </si>
  <si>
    <t>1.360 niñas, niños y adolescentes con derechos amenazados, Inobservados y/o vulnerados atendidos de forma transitoria e inmediata a través de Hogar de Paso</t>
  </si>
  <si>
    <t>Numero de niñas, niños y adolescentes con derechos amenazados, Inobservados y/o vulnerados atendidos de forma transitoria e inmediata a través de Hogar de Paso</t>
  </si>
  <si>
    <t>1.360 niñas, niños y adolescentes con derechos amenazados, inobservados y/o vulnerados (en situación de explotación laboral y/o víctimas de violencia sexual u otro tipo de violencia) atendidos mediante atención especializada.</t>
  </si>
  <si>
    <t>Numero de niñas, niños y adolescentes con derechos amenazados, inobservados y/o vulnerados (en situación de explotación laboral y/o víctimas de violencia sexual u otro tipo de violencia) atendidos mediante atención especializada.</t>
  </si>
  <si>
    <t>Niñez y adolescencia feliz con espacios para la formación, protección y garantía de sus derechos</t>
  </si>
  <si>
    <t xml:space="preserve">17.170 niñas, niños y adolescentes de 6 a 17 años vinculados en acciones de prevencion. </t>
  </si>
  <si>
    <t>Número de niños, niños y adolescentes en situación de alto riesgo social vinculados a acciones de prevención que favorecen el desarrollo de factores autoprofectores</t>
  </si>
  <si>
    <t>Numero de Adultos que participan en acciones de prevención de riesgos sociales que afectan a los niños, niñas y adolescentes para el fortalecimiento de vínculos afectivos y entornos protectores</t>
  </si>
  <si>
    <t>Prestar servicios de orientación y acompañamiento a las familias.</t>
  </si>
  <si>
    <t>Servicio de Orientación y Acompañamiento la Familia</t>
  </si>
  <si>
    <t>Número de Iniciativas Productivas impulsadas con padres de familia comprometidos con la protección y el desarrollo de los niños, niños y adolescentes de su entorno hogar</t>
  </si>
  <si>
    <t>Implementación Campaña de Comunicación Ciudadana para la prevención de la violencia sexual</t>
  </si>
  <si>
    <t>Porcentaje de niños, niños, adolescentes y adultos que impulsan y desarrollan acciones de promoción de derechos, de participación, de lúdica y de gestión de políticas publicas.</t>
  </si>
  <si>
    <t>Mantener el porcentaje de 15% de niños, niños, adolescentes y adultos que impulsan y desarrollan acciones de promoción de derechos, de participación, de lúdica y de gestión de políticas publicas</t>
  </si>
  <si>
    <t>Niñez y Adolescencia
Activa con Espacios
para lo Lúdica, la
Participación y la
Incidencia en su
Propio Desarrollo</t>
  </si>
  <si>
    <t>Mantener la participación de 47,436 de niñas, niños, adolescentes en actividades lúdicos extramurales y del ejercicio del juego al inferior de los ludotecas</t>
  </si>
  <si>
    <t>Numero de niñas, niños, adolescentes que participan y disfrutan de actividades lúdicos extramurales y del ejercicio del juego al inferior de los ludotecas</t>
  </si>
  <si>
    <t>Mantener la participación de 47,436 de niñas, niños, adolescentes en los consejos de infancia y adolescencia u otros escenarios</t>
  </si>
  <si>
    <t>Numero de niñas, niños, adolescentes que participan de los consejos de infancia y adolescencia u otros escenarios</t>
  </si>
  <si>
    <t>Mantener la particiación de niñas, niños, adolescentes, adultos e instituciones en la formulación, implementación y seguimiento de la Política Pública de Infancia y Adolescencia y Fortalecimiento Familiar</t>
  </si>
  <si>
    <t>Numero de niñas, niños, adolescentes, adultos e instituciones que participan en la formulación, implementación y seguimiento de la Política Pública de Infancia y Adolescencia y Fortalecimiento Familiar</t>
  </si>
  <si>
    <t>LÍNEA ESTRATÉGICA JOVENES CON ESPERANZA YFUTURO</t>
  </si>
  <si>
    <t>Jóvenes innovadores con esperanza y futuro</t>
  </si>
  <si>
    <t>Participación de los jóvenes en los diferentes espacios de representación y organización de la población juvenil, programas y proyectos que los benefician.</t>
  </si>
  <si>
    <t>Incrementar hasta un 10% la Participación de los jóvenes en los diferentes espacios de representación y organización de la población juvenil, programas y proyectos que los benefician.</t>
  </si>
  <si>
    <t>Gente joven participando y a salvo</t>
  </si>
  <si>
    <t>500 jóvenes según sexo y edad que participando en instancias de participación ciudadana</t>
  </si>
  <si>
    <t>Número de jóvenes según sexo y edad que participan en instancias de participación ciudadana</t>
  </si>
  <si>
    <t>905 jóvenes que participan en organizaciones grupos y comités juveniles que operan en el territorio.</t>
  </si>
  <si>
    <t>Número de jóvenes que participan en organizaciones grupos y comités juveniles que operan en el territorio.</t>
  </si>
  <si>
    <t>1200 jóvenes particiando en la construcción, socialización y seguimiento de la política pública de juventud</t>
  </si>
  <si>
    <t>Número de jóvenes que participan de la construcción, socialización y seguimiento de la política pública de juventud</t>
  </si>
  <si>
    <t>2824 jóvenes participando en actividades de formación sociopolítica, mecanismo de participación y la ley 1622 de juventud.</t>
  </si>
  <si>
    <t>Número de jóvenes que participan en actividades de formación sociopolítica, mecanismo de participación y la ley 1622 de juventud.</t>
  </si>
  <si>
    <t>740 jóvenes particpando en espacios de representación juvenil</t>
  </si>
  <si>
    <t>Número de jóvenes que participan en espacios de representación juvenil</t>
  </si>
  <si>
    <t>1620 jóvenes beneficiados de iniciativas juveniles sociales o de prevención</t>
  </si>
  <si>
    <t>Número de jóvenes que participan y/o benefician de las iniciativas juveniles sociales o de prevención</t>
  </si>
  <si>
    <t>6217 jóvenes beneficiados con acciones de prevención a través de la cultura, el deporte y acciones de cultura de paz</t>
  </si>
  <si>
    <t>Número de jóvenes que se benefician con acciones de prevención a través de la cultura, el deporte y acciones de cultura de paz</t>
  </si>
  <si>
    <t>Participación de 518 jóvenes de procesos formativos</t>
  </si>
  <si>
    <t>Número de jóvenes que participan de procesos formativos</t>
  </si>
  <si>
    <t>LÍNEA ESTRATÉGICA AÑOS DORADOS YBRILLANTES</t>
  </si>
  <si>
    <t>% de personas mayores en abandono en personas mayores</t>
  </si>
  <si>
    <t>índice de participación y empoderamiento del adulto mayor.</t>
  </si>
  <si>
    <t>% de instituciones atendiendo al enfoque diferencial de envejecimiento y vejez</t>
  </si>
  <si>
    <t>Años dorados y brillantes</t>
  </si>
  <si>
    <t>Implementar 2 estrategias para la PROMOCIÓN, PREVENCIÓN Y ERRADICACIÓN DEL MALTRATO Y/O EL ABANDONO A LAS PERSONAS MAYORES</t>
  </si>
  <si>
    <t>No. De estrategias implementadas</t>
  </si>
  <si>
    <t>No. de redes implementadas</t>
  </si>
  <si>
    <t>465 Personas atendidas en Hogares Geriatricos HG</t>
  </si>
  <si>
    <t>No. de personas mayores en hogares geriótricos</t>
  </si>
  <si>
    <t>Promoción,
prevención y
erradicación del
maltrato y/o el
abandono o los
personas mayores</t>
  </si>
  <si>
    <t>Disminuir el indice de personas mayores abandonadas hasta un 50%</t>
  </si>
  <si>
    <t xml:space="preserve"> Aumentar el porcentaje de organizaciones de personas mayores fortalecidas hasta el 53%</t>
  </si>
  <si>
    <t>Implemetar 8 redes de apoyo de atención psicosocial comunitaria</t>
  </si>
  <si>
    <t>Implementar el Sitema Integrado de Atención a Personas Mayores</t>
  </si>
  <si>
    <t>60 organizaciones capacitadas y fortalecidas</t>
  </si>
  <si>
    <t>No. De organizaciones fortalecidas</t>
  </si>
  <si>
    <t>4 veedurias fortalecidas</t>
  </si>
  <si>
    <t>Fortalecer las veedurías locales</t>
  </si>
  <si>
    <t>No. De personas mayores formadas</t>
  </si>
  <si>
    <t>1 acuerdo creado y aprobado</t>
  </si>
  <si>
    <t>No. De acuerdos creados y aprobados paro la reglamentación del CIP</t>
  </si>
  <si>
    <t>5 subcomites creados y operando para la articulación del SIAM</t>
  </si>
  <si>
    <t>No. De subcomités creados para la articulación del SIAM</t>
  </si>
  <si>
    <t>No. De programas o estrategias para personas mayores implementados en educación, salud, deporte, cultura</t>
  </si>
  <si>
    <t>400 personas mayores formadas en politica publica de envejecimiento y vejez</t>
  </si>
  <si>
    <t>Implementar 10  programas o estrategias para personas mayores implementados en educación, salud, deporte, cultura</t>
  </si>
  <si>
    <t>Sistema integrado de atención a personas mayores - SIAM</t>
  </si>
  <si>
    <t>Envejecimiento activo y saludable</t>
  </si>
  <si>
    <t>Promoción del autocuidado y hábitos de vida saludable</t>
  </si>
  <si>
    <t>6272 personas formadas en derecho y cultura del envejecimiento saludable</t>
  </si>
  <si>
    <t>No. De personas mayores formadas en derecho y cultura del envejecimiento saludable</t>
  </si>
  <si>
    <t>2583 familias  formadas en promoción del autocuidado y habitos de vida saludable.</t>
  </si>
  <si>
    <t>No. de familias o cuidador formados</t>
  </si>
  <si>
    <t>40 encuentros intergeneracionales para la promoción del autocuidado y cultura del envejecimiento saludaable</t>
  </si>
  <si>
    <t>No. De encuentros intergeneracionales pora la promoción del autocuidado y cultura del envejecimiento activo</t>
  </si>
  <si>
    <t>% de personas mayores con atención integral en CDV y GO</t>
  </si>
  <si>
    <t xml:space="preserve"> Mantener y aumentar cobertura en Hogares Geriatricos, Centros de Vida y Grupos Organizados.</t>
  </si>
  <si>
    <t>Generación de
ingresos</t>
  </si>
  <si>
    <t>20 Unidades productivas funcionando y generando ingresos</t>
  </si>
  <si>
    <t>No. de unidades productivas nuevas</t>
  </si>
  <si>
    <t>3 ideas de negocios de GO fortalecidas</t>
  </si>
  <si>
    <t>No. de unidades productivas de CDV fortalecidas</t>
  </si>
  <si>
    <t>100  personas mayores beneficiadas con la implementacíon de programas y proyectos productivos</t>
  </si>
  <si>
    <t>No. Personas mayores beneficiados con programas y proyectos productivos implementados</t>
  </si>
  <si>
    <t>Atención integral</t>
  </si>
  <si>
    <t>9,227 personas mayores atendidas integralmente en CDV y GO</t>
  </si>
  <si>
    <t>No. De personas mayores
atendidas en CDV y GO, en
procesos de mejoramiento
nutricional y en proceso de
promoción y prevención de
enfermedades y
discapacidades</t>
  </si>
  <si>
    <t>LÍNEA ESTRATÉGICA MUJERES EN PLENO GOCE EFECTIVO DE SUS
DERECHOS</t>
  </si>
  <si>
    <t>Una vida libre de violencias para las mujeres</t>
  </si>
  <si>
    <t>Porcentaje de personas que participan en acciones para prevenir y eliminar las violencias</t>
  </si>
  <si>
    <t>Incrementar en un 25% las personas que participan en acciones para prevenir y eliminar las violencias</t>
  </si>
  <si>
    <t>Primero Tú
mujer, libre de
Violencias</t>
  </si>
  <si>
    <t>Realizar 90 acciones de prevención de las diferentes formas de violencia basados en qenero</t>
  </si>
  <si>
    <t>Número de acciones de prevención de las diferentes formas de violencia basados en qenero</t>
  </si>
  <si>
    <t>Promover 40 Programas y estrategias de movilización social para prevenir la violencia con organizaciones de carácter municipal a nivel urbano y rural</t>
  </si>
  <si>
    <t>Programas y estrategias de movilización social para prevenir la violencia con organizaciones de carácter municipal a nivel urbano y rural.</t>
  </si>
  <si>
    <t>130 mujeres victimas de violencia de pareja y violencia sexual atendidas en el Hogar de Poso o Casa de Acogida con tiijos e hijas menores de edad</t>
  </si>
  <si>
    <t>Número de mujeres victimas de violencia de pareja y violencia sexual atendidos en el Hogar de Poso o Casa de Acogida con tiijos e hijas menores de edad</t>
  </si>
  <si>
    <t>520 funcionarios o funcionarias formados en derechos humanos de las mujeres y prevención de violencia</t>
  </si>
  <si>
    <t>Número de funcionarios o funcionarlas con procesos de formación y actualización normativa en derechos humanos de las mujeres y prevención de violencia</t>
  </si>
  <si>
    <t>250 hombres atendidos mediante modelo terapéutico para manejo de la ira.</t>
  </si>
  <si>
    <t>Número de hombres atendidos en modelo terapéutico para manejo de la ira.</t>
  </si>
  <si>
    <t>60 escuelas libres de sexismo realizadas en las instituciones educativas del Distrito</t>
  </si>
  <si>
    <t>Número de escuelas libres de sexismo realizadas en las instituciones educativas del Distrito</t>
  </si>
  <si>
    <t>14 enlaces sectoriales y territoriales</t>
  </si>
  <si>
    <t>Numero de enlaces sectoriales y territoriales</t>
  </si>
  <si>
    <t>Primero Tú Mujer en
el Ejercicio del Poder</t>
  </si>
  <si>
    <t>Primero tú mujer, en el ejercicio del poder</t>
  </si>
  <si>
    <t>Mujeres participando en procesos formativos en liderozgo femenino y empoderamiento sociopolítico</t>
  </si>
  <si>
    <t xml:space="preserve"> Incrementar en un 40% los mujeres participando en procesos formativos en liderozgo femenino y empoderamiento sociopolítico</t>
  </si>
  <si>
    <t>1200 mujeres capacitadas y formadas en política, liderazgo
social, comunitario y político.</t>
  </si>
  <si>
    <t>Número de mujeres capacitadas y formadas en política, liderazgo
social, comunitario y político.</t>
  </si>
  <si>
    <t>4 diplomados realizados</t>
  </si>
  <si>
    <t>Diplomado las mujeres toman lo palabra</t>
  </si>
  <si>
    <t>Realizacion de 3 Proyectos pilotos paro impulsar la creación de los Consejos Locales de Mujeres.</t>
  </si>
  <si>
    <t>Proyectos pilotos paro impulsar la creación de los Consejos Locales de Mujeres.</t>
  </si>
  <si>
    <t>Primero tú mujer</t>
  </si>
  <si>
    <t>Primero tú mujer, constructora de paz</t>
  </si>
  <si>
    <t>Mujeres víctimas del conflicto armado con procesos de reconstrucción del tejido socia</t>
  </si>
  <si>
    <t xml:space="preserve">Incrementar en un 100% el número de personas víctimas del conflicto armado con procesos de reconstrucción del tejido social </t>
  </si>
  <si>
    <t>Realizacion de un Plan de Acción para el cumplimiento de lo Resolución 1325 de la ONU</t>
  </si>
  <si>
    <t>Plan de Acción para el cumplimiento de lo Resolución 1325 de la ONU</t>
  </si>
  <si>
    <t>12 Iniciativas de organizaciones de mujeres víctimas del Conflicto Armado acompañadas en procesos de autonomía económica.</t>
  </si>
  <si>
    <t>Iniciativas de organizaciones de mujeres víctimas del Conflicto Armado acompañadas en procesos de autonomía económica</t>
  </si>
  <si>
    <t>4 Iniciativas de organizaciones de mujeres víctimas del Conflicto Armado acompañadas en procesos de reconstrucción del tejido social</t>
  </si>
  <si>
    <t>Iniciativas de organizaciones de mujeres víctimas del Conflicto Armado acompañadas en procesos de reconstrucción del tejido social</t>
  </si>
  <si>
    <t>Acciones de memoria tiistórica contadas desde los mujeres</t>
  </si>
  <si>
    <t>600 Mujeres víctimas del conflictos atendidas en el proceso de reconstrucción de paz</t>
  </si>
  <si>
    <t>Mujeres víctimas del conflictos atendidas en el proceso de reconstrucción de paz</t>
  </si>
  <si>
    <t>LÍNEA ESTRATÉGICA GENTE DE ESPECIAL PROTECCIÓN CONSTITUCIONAL:
RECONOCIDAS, EMPODERADAS Y RESPETADAS</t>
  </si>
  <si>
    <t>Politica Publica en Diversidad Sexual y Genero</t>
  </si>
  <si>
    <t xml:space="preserve"> Política Pública En Diversidad Sexual y Genero Fornnulada y Ejecutada</t>
  </si>
  <si>
    <t>Gente de especial protección constitucional reconocidas, emporadas y respetadas</t>
  </si>
  <si>
    <t>Diversidad sexual</t>
  </si>
  <si>
    <t>Creacion e implementación de la Política Pública En Diversidad Sexual e Identidades de Género Distrital</t>
  </si>
  <si>
    <t>Política Pública En Diversidad Sexual e Identidades de Género Distrital</t>
  </si>
  <si>
    <t>4 Acciones Afirmativas para el Reconocimiento de Derechos.</t>
  </si>
  <si>
    <t>Número De Acciones Afirmativas para el Reconocimiento de Derechos.</t>
  </si>
  <si>
    <t>500 Funcionarios Públicos capacitados sobre las necesidades y Condiciones particulares de la Población LGBTI.</t>
  </si>
  <si>
    <t>Numero Capacitaciones a Funcionarios Públicos sobre las necesidades y Condiciones particulares de la Población LGBTI.</t>
  </si>
  <si>
    <t>Protección y atención integral a las personas con discapacidad, su familia y / o cuidador</t>
  </si>
  <si>
    <t>Tasa de cobertura en los ajustes razonables de los derechios de las PcD.</t>
  </si>
  <si>
    <t>Garantizar al 30% de las PcD los ajustes razonables de sus derechos desde una perspectiva genérica y jurídica, promoviendo el desarrollo social, humano y económico en su ciclo vital y con enfoque diferencial.</t>
  </si>
  <si>
    <t>Políticas
integrodora
Focalizado de
Inclusión Social
a las PcD.</t>
  </si>
  <si>
    <t>Integrar los 4 ciclos de actualizacion de la politica Publica Distrital de Discapacidad e Inclusion Social, de acuerdo con el CONPES 166 de 2013 y la Ley  1618 DE 2013 como herramienta para el ejercicio de los Derechos de las PcD.</t>
  </si>
  <si>
    <t>No. De Ciclos realizados en la actualización de la Política Publica Distrital de Discapacidad e Inclusión Social.</t>
  </si>
  <si>
    <t>Construir  1 "Ruta Unica de protección y atención a las personas con Discapacidad, su familia y/o Cuidadores, basado en los lineamientos RBC"</t>
  </si>
  <si>
    <t>Una "Ruta Única de protección y atención a los personas con Discapacidad, su familia y/o Cuidadores, basado en los lineamientos RBC".</t>
  </si>
  <si>
    <t>Aumentar a 4,320 PcD registrada autodeclarada en el RCLPD  atendidas Intersectorialmente en estrategias de Desarrollo institucional y comunitario.</t>
  </si>
  <si>
    <t>Numero de PcD registrada autodeclarada en el RCLPD atendidas Intersectorialmente en estrategias de Desarrollo institucional y comunitario</t>
  </si>
  <si>
    <t>Atención intersectorial para el desarrollo local de la población con discapacidad</t>
  </si>
  <si>
    <t>Gerencia social transectorial para transformar imaginarios de la discapacidad</t>
  </si>
  <si>
    <t>Implementar 16 medidas especializadas orientadoras en ajustes razonables  a las entidades públicas y  privadas para el  fortalecimiento de la capacidad instalada territorial y asistencia técnica en las dimensiones sociales, institucionales y económicas en la inclusión social de las PcD</t>
  </si>
  <si>
    <t>No. De Medidas especializadas orientadoras en ajustes razonables realizadas</t>
  </si>
  <si>
    <t>Fortalecer los 4 comité territoriales de Discapacidad como nivel de deliberación, construcción seguimiento y verificación de la puesta en marcha de las políticas, estrategias y programas que garanticen la integración social de las personas con y en situación de discapacidad.</t>
  </si>
  <si>
    <t>No. De Comités Territoriales Operando adecuadamente de acuerdo a la Ley 1145 de 2007 y la Resolución 3317 de 2013.</t>
  </si>
  <si>
    <t>Fortalecimiento
Institucional del
Sistema Distrital
de
Discapacidad e
Inclusión Social</t>
  </si>
  <si>
    <t>Habitante de calle integrado a la sociedad</t>
  </si>
  <si>
    <t>Porcentaje de Habitantes en situación de calle Atendidos</t>
  </si>
  <si>
    <t>Aumnetar la atención hasta un 80% la atención de las personas habitantes de calle.</t>
  </si>
  <si>
    <t>Numero de habitante atendidos en las Rutas de Atención Integral</t>
  </si>
  <si>
    <t>Atención humanitaria a los habitantes de la calle</t>
  </si>
  <si>
    <t>LÍNEA ESTRATÉGICA DIVERSIDAD ÉTNICA</t>
  </si>
  <si>
    <t>Fortalecimiento de los grupos étnicos en el distrito</t>
  </si>
  <si>
    <t>% de comunidades afros con Planes de etnodesarrollo Formulados</t>
  </si>
  <si>
    <t>Aumentar a un 100% las comunidades Afros e indígenas con planes de etnodesarrollo y planes de Vida Indígenas formulados</t>
  </si>
  <si>
    <t>Formular plan de vida en tres (3), comunidades indígenas asentadas en el Distrito Y articular los planes de Etnodesanrollo al plan de Desarrollo Distrital.</t>
  </si>
  <si>
    <t>Numero de comunidades indígenas con planes de vida formulados</t>
  </si>
  <si>
    <t>Numero de comunidades indígenos con planes de vida formulados</t>
  </si>
  <si>
    <t>Acompañar técnicamente el proceso de titulación colectiva de 4 consejos comunitarios Afros.</t>
  </si>
  <si>
    <t>Consejos comunitarios con titulación colectiva.</t>
  </si>
  <si>
    <t>Acompañar a los 25 consejos comunitarios en la formulación de sus reglamentos internos</t>
  </si>
  <si>
    <t>Consejos comunitarios con reglamentos internos formulados</t>
  </si>
  <si>
    <t>Acompañar o los 26 consejos comunitarios en el proceso de conformación de guardas ancestrales</t>
  </si>
  <si>
    <t>Comunidades Afros con guardia ancestral conformada.</t>
  </si>
  <si>
    <t>Generar capacidades o 15 organizaciones Afrodescendiente de la ciudad para la incidencia política.</t>
  </si>
  <si>
    <t>Organizaciones Afrodescendiente Fortalecidas</t>
  </si>
  <si>
    <t>Afrodescendientes e indígenas</t>
  </si>
  <si>
    <t>Observatorio distrital de discriminación</t>
  </si>
  <si>
    <t>% de registro de casos de discriminación en la ciudad de Cartagena.</t>
  </si>
  <si>
    <t>Aumentar en un 100% el registro de casos de Discriminación Racial en de registro, e Investigación</t>
  </si>
  <si>
    <t>Reglamentar mediante acuerdo y poner en funcionamiento el Observatorio Antidiscriminación racial para el registro de todos los casos de discriminación en la ciudad.</t>
  </si>
  <si>
    <t>Observatorio Organizado</t>
  </si>
  <si>
    <t>Realizar una investigación anual sobre las diferentes formas de discriminación racial la ciudad.</t>
  </si>
  <si>
    <t>Investigaciones realizadas por el ODAR.</t>
  </si>
  <si>
    <t>Realizar una campaña anual antidiscriminación racial en Cartagena</t>
  </si>
  <si>
    <t>Campañas antidiscriminación realizadas por el ODAR.</t>
  </si>
  <si>
    <t>Capacitar a 400 funcionarios en Enfoque Diferencial</t>
  </si>
  <si>
    <t>Funcionarios capacitados en Enfoque diferencial</t>
  </si>
  <si>
    <t>ADAPTAR EL TERRITORIO PARA LA GENTE</t>
  </si>
  <si>
    <t>CARTAGENA CIUDAD PARA INVERTIR</t>
  </si>
  <si>
    <t>Reduccion de ubicación en la medicion del Doing Business Colombia</t>
  </si>
  <si>
    <t>Al 2019, el distrito estara por debajo de la posicion 16 en la medicion de Doing Business Colombia</t>
  </si>
  <si>
    <t>50 empresas instaladas o relocalizadas en la ciudad</t>
  </si>
  <si>
    <t>Numero de empresas instaladas en la ciudad</t>
  </si>
  <si>
    <t xml:space="preserve">Diseñar e implementar la Ventanilla Unica de Construccion (VUC) </t>
  </si>
  <si>
    <t>Numero de Ventanillas Unica de Construccion implementada</t>
  </si>
  <si>
    <t>Diseño e implementar 01 mecanismo para el monitoreo y mejora del clima de inversión en la ciudad</t>
  </si>
  <si>
    <t>Numero de mecanismos de monitoreo de clima de negocio diseñados e implementados</t>
  </si>
  <si>
    <t>Diseñar la  Política Publica de desarrollo empresarial de la ciudad de Cartagena</t>
  </si>
  <si>
    <t>Numero de Politicas publicas  de desarrollo empresarial implementadas</t>
  </si>
  <si>
    <t>Diseñar la  Política económica del distrito de Cartagena</t>
  </si>
  <si>
    <t>Numero de politicas economicas diseñadas</t>
  </si>
  <si>
    <t>Diseñar e implementar el proceso de estructuracion economica y financiera de proyectos unificados de la Administracion distrital</t>
  </si>
  <si>
    <t>Numero de procesos de estructuracion economica y financiera</t>
  </si>
  <si>
    <t>Rediseñar la estructura organizacional de la Secretaria de Hacienda Distrital</t>
  </si>
  <si>
    <t>Estructura organizacional rediseñada</t>
  </si>
  <si>
    <t>Implementar 2 programas para el fortalecimiento de los encadenamientos productivos en la ciudad de cartagena.</t>
  </si>
  <si>
    <t>Numero Programa de encadenamientos productivos implementados</t>
  </si>
  <si>
    <t>Fortalecimiento institucional para la competitividad y crecimiento económico</t>
  </si>
  <si>
    <t>Posicion en ranking de ciudades en medicion IGC en factor CTI</t>
  </si>
  <si>
    <t>Pasar del puesto 12 al 10 en el factor CTI del IGC</t>
  </si>
  <si>
    <t>Con ciencia, tecnología e innovación Cartagena va</t>
  </si>
  <si>
    <t>Realizar 3 proyectos de investigacion sobre tecnologias disponibles para ciudades sostenibles e inteligentes</t>
  </si>
  <si>
    <t>Numero de proyectos de investigacion realizados</t>
  </si>
  <si>
    <t xml:space="preserve">Diseñar 1 plataforma de conectividad para encadenamientos productivos. </t>
  </si>
  <si>
    <t>Numero de Plataformas de conectividad diseñadas</t>
  </si>
  <si>
    <t>Formular y ejecutar 3 proyectos de CTI en conjunto con grupos de investigacion de universidades acreditadas por el CUEE</t>
  </si>
  <si>
    <t>Numero de proyectos formulados y ejecutados</t>
  </si>
  <si>
    <t>Diseñar e implementar un programa de innovacion social que beneficie a 150  cartageneros e impacte en la generacion de empleo digno y en el fortalecimiento del tejido empresarial cartagenero</t>
  </si>
  <si>
    <t>Numero de innovadores sociales beneficiados</t>
  </si>
  <si>
    <t xml:space="preserve">Crear un fondo de fortalecimiento empresarial con énfasis en innovación social y empresarial </t>
  </si>
  <si>
    <t>Numero de Fondos  de fortalecimiento empresarial creado</t>
  </si>
  <si>
    <t>Realizar un estudio diagnostico de la economia naranja en la ciudad.</t>
  </si>
  <si>
    <t>Numero de estudios sobre economia naranja realizados</t>
  </si>
  <si>
    <t>60 profesionales
formados entre
maestrías y doctorados</t>
  </si>
  <si>
    <t>100 jóvenes
capacitados
anualmente</t>
  </si>
  <si>
    <t>10 de aumento en las
empresas con base
tecnológica</t>
  </si>
  <si>
    <t>creación de fondo tic</t>
  </si>
  <si>
    <t>Centro de
investigación en
seguridad electrónica
y blindaje de
información</t>
  </si>
  <si>
    <t>Consorcio de centro
de desarrollo de
universidades y
empresas</t>
  </si>
  <si>
    <t>5000 personas
vulnerables
capacitadas</t>
  </si>
  <si>
    <t>3000 funcionarios
capacitados en TIC</t>
  </si>
  <si>
    <t>1000 eventos de
violación a la
seguridad capturados
por elementos
tecnológicos</t>
  </si>
  <si>
    <t>No. profesionales
formados entre
maestrías y doctorados</t>
  </si>
  <si>
    <t>No jóvenes
capacitados
anualmente</t>
  </si>
  <si>
    <t>Numero de empresas con base
tecnológica</t>
  </si>
  <si>
    <t>Numero de Fondo Tic</t>
  </si>
  <si>
    <t>Nunero de Centro de
investigación en
seguridad electrónica
y blindaje de
información</t>
  </si>
  <si>
    <t>Numero de ables
capacitadas</t>
  </si>
  <si>
    <t>Numero de Consorcio de centro
de desarrollo de
universidades y
empresas</t>
  </si>
  <si>
    <t>Numero de  funcionarios
capacitados en TIC</t>
  </si>
  <si>
    <t>Numero de eventos de
violación a la
seguridad capturados
por elementos
tecnológicos</t>
  </si>
  <si>
    <t>PROGRAMA EMPLEO, INGRESO, EMPRENDIMIENTO</t>
  </si>
  <si>
    <t>Porcentaje de unidades de negocios intervenidas</t>
  </si>
  <si>
    <t>Intervenir el 10% de unidades de negocios informales de cadenas productivas populares del Distrito de Cartagena de Indias.</t>
  </si>
  <si>
    <t>Formalizar a 200 vendedores estacionarios informales en espacio público legal</t>
  </si>
  <si>
    <t>Vendedores estacionarios informales en espacio público legal formalizados</t>
  </si>
  <si>
    <t xml:space="preserve"> Intervenir el 10% de unidades de negocios informales de cadenas productivas populares del Distrito de Cartagena de Indias.</t>
  </si>
  <si>
    <t>Inclusión Para
la
Transfornnación
de la
Informalidad</t>
  </si>
  <si>
    <t>Incentivos para los procesos de trámites y registros mercantiles de 10.000 unidades de negocios favoreciendo cadenas de microempresos de acumulación simple.</t>
  </si>
  <si>
    <t>Unidades de negocios con sus registros mercantiles.</t>
  </si>
  <si>
    <t>Fomentar diez (10) campañas de tipo informativo y pedagógico que promuevan los beneficios de lo formalizoción.</t>
  </si>
  <si>
    <t>Numero de compañas realizadas</t>
  </si>
  <si>
    <t>ND</t>
  </si>
  <si>
    <t>Promover la generación de empleo productivo a través del mejoramiento de la productividad de 2.000 micros y pequeñas empresas</t>
  </si>
  <si>
    <t>Micro y pequeñas empresas que mejoran su competitividad.</t>
  </si>
  <si>
    <t>Diseñar un área de empleabilidad empresarial con los gremios.</t>
  </si>
  <si>
    <t>Área de Empleabilidad Diseñada</t>
  </si>
  <si>
    <t>Primero tú mujer con autonomía económica</t>
  </si>
  <si>
    <t>500 Mujeres Capacitadas y cualificados en oficios específicos</t>
  </si>
  <si>
    <t>Número de Mujeres Capacitados y cualificadas en oficios específicos</t>
  </si>
  <si>
    <t>200 Mujeres vinculadas en el mercado laboral</t>
  </si>
  <si>
    <t>Número de Mujeres vinculadas en el mercado laboral</t>
  </si>
  <si>
    <t>200 mujeres beneficiadas con créditos en entidades financieras</t>
  </si>
  <si>
    <t>Número de mujeres beneficiadas con créditos en entidades financieras</t>
  </si>
  <si>
    <t>500 mujeres beneficiadas con asistencia técnica para promoción de sus ideas de negocios</t>
  </si>
  <si>
    <t>Número de mujeres beneficiadas con asistencia técnica para promoción de sus ideas de negocios</t>
  </si>
  <si>
    <t>Tasa de desempleo juvenil</t>
  </si>
  <si>
    <t>Disminuir al 14% la tasa de desempleo juvenil en el Distrito de Cartagena (1.909)</t>
  </si>
  <si>
    <t>Gente joven y emprendedora</t>
  </si>
  <si>
    <t>1309 jóvenes ubicados laboralmente.</t>
  </si>
  <si>
    <t>Número de jóvenes ubicados laboralmenfe en el marco del sistema de intermediación laboral</t>
  </si>
  <si>
    <t>"Crear 40 iniciativas productivas y fortalecer 20 unidades existentes."</t>
  </si>
  <si>
    <t>Número de iniciativas productivas creadas o fortalecidas</t>
  </si>
  <si>
    <t>"1000 jóvenes se benefician de iniciativas juveniles."</t>
  </si>
  <si>
    <t>Número de jóvenes que se benefician de iniciativas productivas</t>
  </si>
  <si>
    <t>600 jóvenes formados en emprendimiento</t>
  </si>
  <si>
    <t>Número de jóvenes formados en emprendimiento</t>
  </si>
  <si>
    <t>Emprendimiento étnico</t>
  </si>
  <si>
    <t>Iniciativas productivas afro e indígenas apoyadas</t>
  </si>
  <si>
    <t>Apoyar en un 100% iniciativas productivas afro e indígenas</t>
  </si>
  <si>
    <t>Creación y Fortalecimiento de 50 iniciativas de emprendimiento Indígenas en el Distrito</t>
  </si>
  <si>
    <t>Iniciativas de emprendimiento Indígenas en el Distrito</t>
  </si>
  <si>
    <t>Creación y Fortalecimiento de 50 iniciativas de emprendimiento para población Afro</t>
  </si>
  <si>
    <t>Iniciativas de emprendimiento de Población Afro</t>
  </si>
  <si>
    <t>Caracterizar y atender 1,000 familias Afrodescendientes a través de lo estrategia del PES para superar las trompas de la pobreza</t>
  </si>
  <si>
    <t>Familias Afrodescendientes caracterizadas y atendidas.</t>
  </si>
  <si>
    <t>PROGRAMA TURISMO COMPETITIVO Y FUENTE DE DESARROLLO
SOSTENIBLE</t>
  </si>
  <si>
    <t xml:space="preserve">Porcentaje de turistas llegado a la ciudad de Cartagena de Indias </t>
  </si>
  <si>
    <t>Aumentar en un 40% los turistas que llegan a la ciudad de Cartagena de Indias.</t>
  </si>
  <si>
    <t>Nueva y variada oferta
turística</t>
  </si>
  <si>
    <t>Productos turisticos ofertados</t>
  </si>
  <si>
    <t xml:space="preserve">Número de nuevos productos turísticos ofertados en la ciudad de Cartagena de Indias </t>
  </si>
  <si>
    <t>Cartagena destino
turístico sostenible y de
Calidad</t>
  </si>
  <si>
    <t xml:space="preserve">Sostenimiento de la certificación del centro histórico como destino turístico sostenible </t>
  </si>
  <si>
    <t>Número de Pasajeros llegando por vía marítima</t>
  </si>
  <si>
    <t>Pasajeros llegando por vía marítima</t>
  </si>
  <si>
    <t>Número de pasajeros nacionales llegando por vía aérea</t>
  </si>
  <si>
    <t>Pasajeros nacionales llegando por vía aérea</t>
  </si>
  <si>
    <t xml:space="preserve">Número de Pasajeros internacionales llegando por vía aérea </t>
  </si>
  <si>
    <t>Pasajeros internacionales llegando por vía aérea</t>
  </si>
  <si>
    <t>Apertura y consolidación de mercados emisores estratégicos a nivel nacional e internacional</t>
  </si>
  <si>
    <t>Turismo responsable e
incluyente.</t>
  </si>
  <si>
    <t>Campaña de pertenencia del turismo por parte de los cartageneros y su responsabilidad como anfitriones en el destino</t>
  </si>
  <si>
    <t>Fortalecimiento de la campaña de pertenencia del turismo por parte de los cartageneros y su responsabilidad como anfitriones en el destino</t>
  </si>
  <si>
    <t>Cartagena más
conectada</t>
  </si>
  <si>
    <t>Nuevas Rutas conectando directamente a Cartagena de Indias con el mundo</t>
  </si>
  <si>
    <t>Rutas conectando directamente a Cartagena de Indias con el mundo</t>
  </si>
  <si>
    <t>Instancia de integración territorial constituida</t>
  </si>
  <si>
    <t>PROGRAMA INTEGRACIÓN TERRITORIAL</t>
  </si>
  <si>
    <t>Constitución de instancia de integración territorial</t>
  </si>
  <si>
    <t>Proyectos entre
Ciudades</t>
  </si>
  <si>
    <t>Diseñar 2 proyectos en conjunto con municipios cercanos y/o ciudades de la región</t>
  </si>
  <si>
    <t>Proyectos con municipios Diseñados</t>
  </si>
  <si>
    <t>Desarrollar 1 proyecto de ciudades inteligentes</t>
  </si>
  <si>
    <t>Proyectos de ciudades inteligentes Desarrollados</t>
  </si>
  <si>
    <t>Impulsar 1 proyecto medio ambiental para la competitividad</t>
  </si>
  <si>
    <t>Proyecto Medio ambiental Impulsado</t>
  </si>
  <si>
    <t xml:space="preserve">Crear tres rutas competitivas que dinamicen la competitividad </t>
  </si>
  <si>
    <t>Rutas competitivas creadas</t>
  </si>
  <si>
    <t>Mejorar 2 zonas de la ciudad con apoyo nacional y/o internacional.</t>
  </si>
  <si>
    <t>Zonas de la Ciudad Mejoradas</t>
  </si>
  <si>
    <t>Impulsar 2 proyectos de la mesa antitrámite</t>
  </si>
  <si>
    <t>Proyectos Impulsados</t>
  </si>
  <si>
    <t>PROGRAMA MERCADOS PRIMERO LA GENTE</t>
  </si>
  <si>
    <t>60% de la Red de Mercados
Públicos pora el Distrito de
Cartagena funcionando.</t>
  </si>
  <si>
    <t>Porcentaje de la Red de
Mercados Públicos paro el
Distrito de Cartagena
funcionando.</t>
  </si>
  <si>
    <t xml:space="preserve">
Mercado de Santa Rita en
 funcionamiento
Funcionando  y dotado</t>
  </si>
  <si>
    <t>Mercado de Santa Rita en
 funcionamiento
Funcionando  y dotado</t>
  </si>
  <si>
    <t>Construcción  de
Central Abastos
Mayorista</t>
  </si>
  <si>
    <t>Central Abastos
Mayorista</t>
  </si>
  <si>
    <t xml:space="preserve"> Numero de comerciantes
 con mejores
 condiciones de
 tiigiene,
 salubridad y
 aseo.</t>
  </si>
  <si>
    <t>Red de mercados públicos
para Cartagena</t>
  </si>
  <si>
    <t>300 Comerciantes de Santa Rita y Bazurto Formalizados</t>
  </si>
  <si>
    <t>Comerciantes Formalizados</t>
  </si>
  <si>
    <t>PROGRAMA REACTIVACIÓN DEL CAMPO PARA LA COMPETITIVIDAD</t>
  </si>
  <si>
    <t>Aumentar el número de pequeños productores agrícolas atendidos a 1656</t>
  </si>
  <si>
    <t>Pequeños productores agrícolas atendidos</t>
  </si>
  <si>
    <t xml:space="preserve">Mantener 8 sistema de producción agropecuarios </t>
  </si>
  <si>
    <t xml:space="preserve">Sistemas de producción agricolas </t>
  </si>
  <si>
    <t xml:space="preserve"> Crear  y mantener un banco de maquínaria agrícola</t>
  </si>
  <si>
    <t xml:space="preserve"> Banco de maquínaria agrícola creado o contratado</t>
  </si>
  <si>
    <t>Reactivación del campo para la gente</t>
  </si>
  <si>
    <t>Ampliar el número de hectareas cultivadas en el Distrito de Cartagena</t>
  </si>
  <si>
    <t>Hectáreas de cultivos expandida</t>
  </si>
  <si>
    <t>Pequeños productores que adoptaron las tecnologías  apropiadas de producción</t>
  </si>
  <si>
    <t>Aumentar en 38% el número de pequeños productores  del sector agropecuarior en el Distrito de Cartagena</t>
  </si>
  <si>
    <t>Aumentar el número de pequeños Productores con  especies menore,s atendido</t>
  </si>
  <si>
    <t>Pequeños Productores de especies menores atendido</t>
  </si>
  <si>
    <t>Aumentar el número de pequeños productores de ganadería bovina a 428</t>
  </si>
  <si>
    <t>Pequeños productores de ganadería bovina atendidos</t>
  </si>
  <si>
    <t>Reactivación sostenible, del sector pecuario para la gente</t>
  </si>
  <si>
    <t xml:space="preserve">Aumentra el número de organizaciones de pequeños productores agropecuarios y pescadores legalizadas. </t>
  </si>
  <si>
    <t>Organizaciones de pequeños productores agropecuarios y pescadores legalizadas.</t>
  </si>
  <si>
    <t>Aumentar en 24 el número de organizaciones de pequeños productores del sector primario fortalecidas</t>
  </si>
  <si>
    <t>Organizaciones de pequeños productores del sector primario fortalecidas</t>
  </si>
  <si>
    <t>Aumentar el número de organizaciones de mujeres rurales del sector primario</t>
  </si>
  <si>
    <t>Organizaciones de mujeres rurales del sector primario</t>
  </si>
  <si>
    <t>Amentar el número de unidades acuícolas con recirculación instalada</t>
  </si>
  <si>
    <t>Unidades acuícolas instalada</t>
  </si>
  <si>
    <t xml:space="preserve"> Aumentar el número de pescadores  y acuícultores artesanales asistidos con insumos y artes de pesca</t>
  </si>
  <si>
    <t xml:space="preserve"> Pescadores  y acuícultores artesanales asistidos</t>
  </si>
  <si>
    <t>Aumentar el número de toneladas de pescado producidas de acuerdo a los registros en el Distrito de Cartagena</t>
  </si>
  <si>
    <t>Toneladas de pescado producidas</t>
  </si>
  <si>
    <t>Asociaciones rurales organizadas y fortalecidas para la producción agropecuaria diversificada y competitiva</t>
  </si>
  <si>
    <t>LÍNEA ESTRATÉGICA EDUCACIÓN Y CONTROL AMBIENTAL</t>
  </si>
  <si>
    <t>PROGRAMA MONITOREO AMBIENTAL</t>
  </si>
  <si>
    <t>Sistema de monitoreo Conformado</t>
  </si>
  <si>
    <t>Conformar en un 100% Sistema Integrado de Monitoreo Ambiental Urbano</t>
  </si>
  <si>
    <t>Implementar 1 sistema integrado de monitoreo ambiental urbano.</t>
  </si>
  <si>
    <t>Sistema integrado de monitoreo ambiental urbano implementado</t>
  </si>
  <si>
    <t>Elaborar 1 informe anual sobre el estado de los recursos naturales y del ambiente urbano</t>
  </si>
  <si>
    <t>Informe anual elaborado</t>
  </si>
  <si>
    <t>Diseñar, conformar y operar el Observatorio ambiental distrital</t>
  </si>
  <si>
    <t>Observatorio ambiental conformado</t>
  </si>
  <si>
    <t>Inventario de Gases efecto invernadero "GEI" para el distrito</t>
  </si>
  <si>
    <t>Inventario efectuado</t>
  </si>
  <si>
    <t>PROGRAMA CONTROL, VIGILANCIA YSEGUIMIENTO AMBIENTAL</t>
  </si>
  <si>
    <t>Realizar 50 Visitas de Control y Vigilancia anuales.</t>
  </si>
  <si>
    <t>Visitas de control y vigilancia realizadas</t>
  </si>
  <si>
    <t>Realizar 150 Evaluaciones y Seguimientos Ambientales anuales</t>
  </si>
  <si>
    <t>Evaluaciones y Seguimientos Ambientales realizados</t>
  </si>
  <si>
    <t>PROGRAMA EDUCACIÓN YCULTURA AMBIENTAL</t>
  </si>
  <si>
    <t>Capacitar y/o sensibilizar 30.000 Ciudadanos para el desarrollo y conservación del ambiente</t>
  </si>
  <si>
    <t>Personas capacitadas y/o sensibilizadas</t>
  </si>
  <si>
    <t>Asesorar y/o acompañar 100 PRAES Distritales</t>
  </si>
  <si>
    <t>PRAES distritales asesorados</t>
  </si>
  <si>
    <t>Asesorar y/o acompañar 7 PRAUS Distritales</t>
  </si>
  <si>
    <t>PRAUS distritales asesorados</t>
  </si>
  <si>
    <t>Asesorar y/o acompañar 5 PROCEDAS</t>
  </si>
  <si>
    <t>PROCEDAS asesorados</t>
  </si>
  <si>
    <t>Formar 1200 Guardianes ambientales</t>
  </si>
  <si>
    <t>N° de guardianes ambientales formados</t>
  </si>
  <si>
    <t>Ejecutar una campaña con reconocidos habitantes de Cartagena para concientización del cambio climático</t>
  </si>
  <si>
    <t>Campañas de concientización ejecutadas</t>
  </si>
  <si>
    <t>LÍNEA ESTRATÉGICA CARTAGENA TERRITORIO VERDE Y RIQUEZA HÍDRICA</t>
  </si>
  <si>
    <t>PROGRAMA GESTIÓN INTEGRAL DEL RECURSO HÍDRICO</t>
  </si>
  <si>
    <t>Realizar 1 relimpia anual (en Ciénaga de la Virgen)</t>
  </si>
  <si>
    <t>Relimpia realizada en la Ciénaga de la virgen</t>
  </si>
  <si>
    <t>4000 mts3 de desechos extraídos de los manglares (cuatrienio)</t>
  </si>
  <si>
    <t>Volumen de desechos extraídos de los manglares</t>
  </si>
  <si>
    <t>PROGRAMA VEGETACIÓN BIODIVERSIDAD YSERVICIOS ECOSISTÉMICOS</t>
  </si>
  <si>
    <t>Adoptar el Plan Maestro de Silvicultura urbana</t>
  </si>
  <si>
    <t>Plan Maestro de Silvicultura urbano adoptado</t>
  </si>
  <si>
    <t>Sembrar 20.000 nuevos árboles</t>
  </si>
  <si>
    <t>No de árboles sembrados</t>
  </si>
  <si>
    <t>PROGRAMA NEGOCIOS VERDES PRODUCCIÓN YCONSUMO SOSTENIBLE</t>
  </si>
  <si>
    <t>Ejecutar el establecimiento de dos  líneas de negocios verdes</t>
  </si>
  <si>
    <t>líneas de negocios verdes establecidas</t>
  </si>
  <si>
    <t>PROGRAMA OPERACIÓN Y MANTENIMIENTO DE BOCANA DE MAREA
ESTABILIZADA Y DARSENA</t>
  </si>
  <si>
    <t>Realizar 4 relimpias en Bocana de mareas estabilizadas</t>
  </si>
  <si>
    <t>Relimpias realizadas</t>
  </si>
  <si>
    <t>Realizar 1 actividad anual de mantenimiento del sistema Bocana</t>
  </si>
  <si>
    <t>Actividades anuales de mantenimiento del sistema Bocana, cumplidas</t>
  </si>
  <si>
    <t>LÍNEA ESTRATÉGICA GESTIÓN DEL RIESGO</t>
  </si>
  <si>
    <t>PROGRAMA GESTIÓN DEL RIESGO</t>
  </si>
  <si>
    <t>Distrito de Cartagena Fortalecido en lo gestión del Riesgo</t>
  </si>
  <si>
    <t>30 % del Distrito de Cartagena fortalecido en la gestión del riesgo, logrando un crecimiento resiliente y comunidad menos vulnerables</t>
  </si>
  <si>
    <t>Todas y todos conocedores de la situación de nuestro territorio (conocimiento del riesgo)</t>
  </si>
  <si>
    <t>Realizar 3 estudios de amenazas por remoción en masa por inundación.</t>
  </si>
  <si>
    <t>Estudios por remoción en masa realizados</t>
  </si>
  <si>
    <t>Realizar 2 estudios de amenazas por remoción en masa</t>
  </si>
  <si>
    <t>Realizar 1 estudio de amenaza por tsunami</t>
  </si>
  <si>
    <t>Estudio por tsunami realizado</t>
  </si>
  <si>
    <t>Actualizar y ajustar el Plan Distrital de gestión de riesgo</t>
  </si>
  <si>
    <t>Estudio ajustado y actualizado</t>
  </si>
  <si>
    <t>Inventariar el 100% de los asentamientos en zona de alto riesgo</t>
  </si>
  <si>
    <t>Inventarios de asentamientos elaborados</t>
  </si>
  <si>
    <t>Realizar 1 Catálogo del inventario de riesgos tecnológicos</t>
  </si>
  <si>
    <t>Catálogo de inventario de riesgos tecnológicos realizado</t>
  </si>
  <si>
    <t>Creación de 1 comité de riesgos tecnológicos</t>
  </si>
  <si>
    <t>Comité de riesgos tecnológicos creado</t>
  </si>
  <si>
    <t>Realizar 1 estudio de diapirismo</t>
  </si>
  <si>
    <t>Estudio de diapirismo realizado</t>
  </si>
  <si>
    <t>Comunidades menos vulnerables (reducción del riesgo)</t>
  </si>
  <si>
    <t>Formular 1 documento base conceptual del POT y sus derivados</t>
  </si>
  <si>
    <t>Documento formulado</t>
  </si>
  <si>
    <t>Construir 1000 Metros lineales de muros de contención</t>
  </si>
  <si>
    <t>Metros lineales de muros de contención construidos</t>
  </si>
  <si>
    <t>Personas capacitadas</t>
  </si>
  <si>
    <t>Capacitar 1000 miembros de la comunidad en riesgos tecnológico</t>
  </si>
  <si>
    <t>Miembros comunidades de riesgos tecnológicos capacitados</t>
  </si>
  <si>
    <t>Barrios más resilientes (manejo de desastre)</t>
  </si>
  <si>
    <t>Actualizar 1 estrategia de Respuesta a las Emergencias del Distrito</t>
  </si>
  <si>
    <t>Estrategia actualizado</t>
  </si>
  <si>
    <t>Fortalecer 80 redes de apoyo comunitario</t>
  </si>
  <si>
    <t>Redes de apoyo comunitario fortalecidas</t>
  </si>
  <si>
    <t>Capacitar 25 entidades dependencias en prácticas, simulaciones y simulacros en gestión de riesgo de desastres</t>
  </si>
  <si>
    <t>Dependencias capacitadas, simulaciones y simulacros 
realizados</t>
  </si>
  <si>
    <t>Cancelar 2023 subsidios de arriendos</t>
  </si>
  <si>
    <t>Subsidios de arriendos cancelados</t>
  </si>
  <si>
    <t>Elaborar 1 manual de respuesta ante riesgos tecnológicos</t>
  </si>
  <si>
    <t>Elaboración de Manual de respuesta ante riesgos tecnológicos</t>
  </si>
  <si>
    <t>Atender el 100% de las emergencias de riesgo tecnológico</t>
  </si>
  <si>
    <t>Emergencias de riesgos tecnológicos atendidas</t>
  </si>
  <si>
    <t>PROGRAMA PLAN DE DRENAJES PLUVIALES</t>
  </si>
  <si>
    <t>Kilómetros de Plan de Drenajes Pluviales del Distrito de Cartagena realizado</t>
  </si>
  <si>
    <t>32.3 km  de diseños de ingeniería de detalle del Plan de drenajes pluviales (cuencas Matute y Ricaurte)</t>
  </si>
  <si>
    <t xml:space="preserve">5.41 km de construccion y revestimiento en Concreto Rígido de canales del Plan de drenajes pluviales,       </t>
  </si>
  <si>
    <t>Diseño  de ingenieria detallada de 17.71  kms de canales</t>
  </si>
  <si>
    <t>kms de canales diseñados</t>
  </si>
  <si>
    <t>Construccion de 3.38 kms de canales</t>
  </si>
  <si>
    <t>kms de canales construidos</t>
  </si>
  <si>
    <t>Diseño de Ingeniería
de detalle del Plan
Maestro de Drenajes
pluviales - PMDP</t>
  </si>
  <si>
    <t>Construcción de
canales en el plan
maestro de drenajes</t>
  </si>
  <si>
    <t>LÍNEA ESTRATÉGICA PROTECCIÓN Y BIENESTAR ANIMAL</t>
  </si>
  <si>
    <t>PROGRAMA POLÍTICA PÚBLICA DE CONSERVACIÓN Y PROTECCIÓN
ANIMAL</t>
  </si>
  <si>
    <t>Protección y conservación de animales en el Distrito, puesta en valor y con política sectorial adoptada.</t>
  </si>
  <si>
    <t>Puesta en valor y con política sectorial adoptada la protección y conservación de animales en el Distrito.</t>
  </si>
  <si>
    <t>Política pública de protección y conservación animal; formulada, concertada y adoptada</t>
  </si>
  <si>
    <t xml:space="preserve">Socilaizar la Política pública </t>
  </si>
  <si>
    <t>Política pública implementada y socializada</t>
  </si>
  <si>
    <t>Diseñar  y gestión para la construcción del Coso distrital y albergue de especies menores, realizados</t>
  </si>
  <si>
    <t>Diseño y gestión para la construcción del Coso distrital y albergue de especies menores, realizados</t>
  </si>
  <si>
    <t>Poner en funcionamiento lasUnidad móvil de atención Medico Veterinaria.</t>
  </si>
  <si>
    <t>Unidad móvil de atención Medico Veterinaria instalada</t>
  </si>
  <si>
    <t>Aumentar a 50.000  la atención  medico veterinaria, esterilización e identificación de animales en estado de 
abandono o maltratados.</t>
  </si>
  <si>
    <t>Animales domésticos en estado de abandono o maltratados con atención medico veterinaria, esterilizados e identificados</t>
  </si>
  <si>
    <t>Manatener la atención de los 120 Caballos cocheros con atención medico Veterinaria</t>
  </si>
  <si>
    <t>Caballos cocheros con atención medico Veterinaria</t>
  </si>
  <si>
    <t>Recuperar, iidentificar y poner en adopción desde  771  a cero (0)  animales utilizados en vehículos de tracción animal “ VTA”,</t>
  </si>
  <si>
    <t>Animales utilizados en vehículos de tracción animal “ VTA”, recuperados, identificados y adoptados.</t>
  </si>
  <si>
    <t>Realizar 80 campañas educativas de prevención y sensibilización efectuadas</t>
  </si>
  <si>
    <t>Campañas educativas de prevención y sensibilización efectuadas</t>
  </si>
  <si>
    <t>PROGRAMA DESARROLLO URBANO TERRITORIAL</t>
  </si>
  <si>
    <t>Nuevo Plan de Ordenamiento Territorial adoptado</t>
  </si>
  <si>
    <t>Formular, aprobar y adoptar en un 100% el nuevo plan de ordenamiento territorial</t>
  </si>
  <si>
    <t>Planificación del
ordenamiento del
territorio</t>
  </si>
  <si>
    <t>Elaborar diagnóstico</t>
  </si>
  <si>
    <t>Diagnóstico elaborado</t>
  </si>
  <si>
    <t>Formular Plan de Ordenamiento Territorial</t>
  </si>
  <si>
    <t>Formulación elaborada</t>
  </si>
  <si>
    <t>Adoptar el Plan
de Ordenamiento
Territorial</t>
  </si>
  <si>
    <t>POT Adoptado</t>
  </si>
  <si>
    <t>Adoptar Instrumentos de planificación y gestión del ordenamiento territorial.</t>
  </si>
  <si>
    <t>Instrumentos de
planificación y gestión
del ordenamiento
territorial adoptado</t>
  </si>
  <si>
    <t>Planes parciales estructurantes adoptados</t>
  </si>
  <si>
    <t>3 planes parciales adoptados y / o gestionados</t>
  </si>
  <si>
    <t xml:space="preserve">Formular y aprobar el Plan Especial de Manejo y Protección del Centro Histórico </t>
  </si>
  <si>
    <t>Formulación del Plan Especial de Manejo y Protección del Centro Histórico revisada y complementada</t>
  </si>
  <si>
    <t xml:space="preserve">Instancia de decisión frente a violaciones de normas urbanísticas </t>
  </si>
  <si>
    <t>Total de Actuaciones urbanísticas</t>
  </si>
  <si>
    <t xml:space="preserve">Instancia de inspección y vigilancia del cumplimiento de las normas urbanísticas </t>
  </si>
  <si>
    <t>Labor preventiva de control urbano</t>
  </si>
  <si>
    <t>Plan de manejo y
protección
patrimonial-</t>
  </si>
  <si>
    <t>Tener actualizado el SIG y el sistema de catastro</t>
  </si>
  <si>
    <t>Actualización Catastral Gestionada en el marco de la delegación de competencias de la Ley 1753 de 2015  y fortalecimiento de la oficina de catastro</t>
  </si>
  <si>
    <t>Fortalecimiento Del
Sistema Catastral
Del Distrito</t>
  </si>
  <si>
    <t>LÍNEA ESTRATÉGICA DESARROLLO URBANO PARA LA COMPETITIVIDAD</t>
  </si>
  <si>
    <t>PROGRAMA EQUIPAMIENTOS PARA LA COMPETITIVIDAD</t>
  </si>
  <si>
    <t>Estrategia de desarrollo en la malla vial de la ciudad.</t>
  </si>
  <si>
    <t>TOTAL: 1834,4 de Km/Carril de malla vial BUENO 1.239,38(67,6%) MALO 548,93(29,9%) REGULAR 45,8(2,5%) TOTAL VIAS  RECUPERADAS 6,24 KM/CARRIL TOTAL VIAS NUEVAS
PAVIMENTADAS 31,07 KM/CARRIL</t>
  </si>
  <si>
    <t>Vías rehabilitadas.</t>
  </si>
  <si>
    <t xml:space="preserve"> Recuperar en un 19% la malla vial en regular y mal estado para fomentar la integralidad e institucionalidad de la ciudad</t>
  </si>
  <si>
    <t>Rehabilitar en un 3% vías para la competitividad y el turismo</t>
  </si>
  <si>
    <t xml:space="preserve"> Generar un 3%  de conexiones viales en zonas de mayor obstrucción de la ciudad que mejore la movilidad de la gente</t>
  </si>
  <si>
    <t>Intervenir 113 km/carril de malla vial en regular y mal estado.</t>
  </si>
  <si>
    <t>km/carril (VIV2A, B,C.E-V4-V7) de vías intervenidas.</t>
  </si>
  <si>
    <t>Intervenir 17 km/carril de vías para el desarrollo regional.</t>
  </si>
  <si>
    <t>km/carril de regionales intervenidas (V1) vías</t>
  </si>
  <si>
    <t>Intervenir 17 km/carril de vías macro para la descongestión vial</t>
  </si>
  <si>
    <t>intervenir 17 km/ carril.</t>
  </si>
  <si>
    <t>Implementar el fondo de emergencias públicas de Infraestructura en la ciudad.</t>
  </si>
  <si>
    <t>Un fondo de emergencia implementado</t>
  </si>
  <si>
    <t>Construcción y rehabilitación de vías</t>
  </si>
  <si>
    <t>Construcción vías regionales</t>
  </si>
  <si>
    <t>Consolidar una red de
cicloruta y espacios
biosaludobles</t>
  </si>
  <si>
    <t>1 ciclo-ruta
consolidado.</t>
  </si>
  <si>
    <t>Fondo creado</t>
  </si>
  <si>
    <t>Creación del fondo para el mantenimiento de la malla vial de la ciudad</t>
  </si>
  <si>
    <t>Kms de vias regionales construidas</t>
  </si>
  <si>
    <t xml:space="preserve"> Incrementar en 25% los vías regionales, 50% de vías urbanas y 60% en m2 de espacio público</t>
  </si>
  <si>
    <t>Construcción de 46,25 kms de vias regionales</t>
  </si>
  <si>
    <t>kms de Vias regionales construidas</t>
  </si>
  <si>
    <t>Construcción de 5,96 kms de vias urbanas</t>
  </si>
  <si>
    <t>kms de Vias urbanas construidas</t>
  </si>
  <si>
    <t>Construcción de 6,500 mts 2 de zonas  de espacio público (Zonas recreacionales, andenes, parques lineales )</t>
  </si>
  <si>
    <t>Mts 2 de zonas de espacio público  construidas</t>
  </si>
  <si>
    <t>Construcción de vías urbanas</t>
  </si>
  <si>
    <t>Construcción zonas de espacio público</t>
  </si>
  <si>
    <t>PROGRAMA SISTEMA DE LAGOS Y CAÑOS COMO SOPORTE ESTRUCTURAL
DEL DESARROLLO DE LA CIUDAD Y SUS SISTEMAS DE ESPACIO PÚBLICO,
MOVILIDAD Y TRANSPORTE</t>
  </si>
  <si>
    <t>Plan de Renovación urbana, sistema de lagos, caños internos y cienaga de la virgen  formulado, adoptado e implementado</t>
  </si>
  <si>
    <t>Revision y adopción plan parcial de renovación urbana R1 Lomas del Peye</t>
  </si>
  <si>
    <t>Plan Parcial Adoptado</t>
  </si>
  <si>
    <t>2 Proyectos implementados</t>
  </si>
  <si>
    <t>Elaboracion del plan de manejo de la cuenca hidrica y drenajes pluviales</t>
  </si>
  <si>
    <t>Plan de manejo de la cuenca Hidrica y drenajes pluviuales elaborados</t>
  </si>
  <si>
    <t>Extracción de 60.000 M3 de residuos sólidos y sedimentos de los canales pluviales de la ciudad</t>
  </si>
  <si>
    <t>M3 de retiro de desechos sólidos y
M2 de retiro de
malezas</t>
  </si>
  <si>
    <t>Implementar el plan de renovacion urbana, sistema de lagos, caños internos y cienaga de la virgen</t>
  </si>
  <si>
    <t>2 Planes de Revision implementados</t>
  </si>
  <si>
    <t>Planes de Revision implementados</t>
  </si>
  <si>
    <t>proyectos priorizados implementados</t>
  </si>
  <si>
    <t>Recuperación  de los cuerpos de agua internos</t>
  </si>
  <si>
    <t>PROGRANA CARTAGENA SOSTENIBLE YCOMPETITIVA</t>
  </si>
  <si>
    <t>Distrito de Cartagena compatible y adaptado al cambio climático, para el año 2019</t>
  </si>
  <si>
    <t>% del Distrito de Cartagena compatible y adaptada al cambio climático, para el año 2019</t>
  </si>
  <si>
    <t>Cartagena competitiva y compatible con el clima  4C</t>
  </si>
  <si>
    <t>Seleccionar, diseñar y
puesta en marcha de
un barrio modelo que
se adapte al cambio
climático.</t>
  </si>
  <si>
    <t>Formular campaña
educativo para
promover lo
conservación de los
manglares.</t>
  </si>
  <si>
    <t>Cambio climático
como eje transversal
en los Proes, Praus y
Procedas.</t>
  </si>
  <si>
    <t>Proteger 0,5 kms de línea costera</t>
  </si>
  <si>
    <t>kms de playas protegidas</t>
  </si>
  <si>
    <t>Seleccionar, diseñar y puesta en marcha de un barrio modelo que se adapte al cambio climático.</t>
  </si>
  <si>
    <t>Barrio modelo que se adopta al cambio climático seleccionado y diseñado.</t>
  </si>
  <si>
    <t>Reglamentar y señalizar 30 km de playas</t>
  </si>
  <si>
    <t>Km de playas urbanas, rurales e insulares reglamentadas y señalizadas</t>
  </si>
  <si>
    <t>Elaborar Plan de Protección Costera que incluye reglamentación de playas, marinas y ley de costas implementada</t>
  </si>
  <si>
    <t>Plan de Protección Costera que incluye reglamentación de playas, marinas y ley de costas a implementar</t>
  </si>
  <si>
    <t>Protección costera</t>
  </si>
  <si>
    <t>Numero de barrios modelos que
se adapten al cambio
climático.</t>
  </si>
  <si>
    <t>Numero de campañas
educativas para
promover lo
conservación de los
manglares.</t>
  </si>
  <si>
    <t>Implementación de Cambio climático
como eje transversal
en los Proes, Praus y
Procedas.</t>
  </si>
  <si>
    <t>LÍNEA ESTRATÉGICA ESPACIO PUBLICO YMOVILIDAD PARA LA GENTE</t>
  </si>
  <si>
    <t>PROGRAMA ESPACIO PÚBLICO</t>
  </si>
  <si>
    <t>m2 de espacio publico efectivo</t>
  </si>
  <si>
    <t>8,03 m2/hab</t>
  </si>
  <si>
    <t>8,6 m2/hab</t>
  </si>
  <si>
    <t>Aumentar a 8.60 m2/hab el espacio público efectivo en el distrito de Cartagena.</t>
  </si>
  <si>
    <t xml:space="preserve">Plan estratégico de recuperación y protección del espacio </t>
  </si>
  <si>
    <t>Recuperar 73139 m2 de espacio público efectivo</t>
  </si>
  <si>
    <t>m2 de espacio publico efectivo por  habitante  recuperado</t>
  </si>
  <si>
    <t>Inventariar en un 100%, el M2 de espacio público correspondiente al Sistema Integrado de transporte Masivo (SITM)</t>
  </si>
  <si>
    <t>Espacio Público en m2 del sistema integrado de transporte masivo Inventariado</t>
  </si>
  <si>
    <t>1400 m2 de espacio público recuperado para el disfrute de la primera infancia</t>
  </si>
  <si>
    <t>Aumento de m2 de espacio público efectivo recuperado paro el disfrute de la primera infancia</t>
  </si>
  <si>
    <t>68568 m2 del espacio recuperado accesible a discapacitados</t>
  </si>
  <si>
    <t>Aumento de m2 de espacio público efectivo recuperado convertidos en accesibles para discapacitados</t>
  </si>
  <si>
    <t>Más espacio público para la gente</t>
  </si>
  <si>
    <t>Inventariar en un 100% el M2 de espacio publico efectivo en territorio insular (Tierrabomba, Bocachica y Barú)  y en zona rural (Boquilla, Bayunca y Pasacaballos)</t>
  </si>
  <si>
    <t>Inventariar el espacio publico efectivo en territorio insular (Tierrabomba, Bocachica y Barú)  y en zona rural (Boquilla, Bayunca y Pasacaballos)</t>
  </si>
  <si>
    <t>Sistema de información y de gestión</t>
  </si>
  <si>
    <t>Desarrollar segunda, tercera  y cuartafase del sistema integral de información que permita el registro, gestión, seguimiento y control del Espacio Público, en un 100% accesible para todos los funcionarios de la GEPM, funcionarios del Distrito y enlazado con el KIDI.</t>
  </si>
  <si>
    <t>Sistema integral de Información y Gestión del Espacio Público accesible y desarrollado.</t>
  </si>
  <si>
    <t>Instalar 32 KIDI</t>
  </si>
  <si>
    <t>Numero de Kioscos digitales de información Distrital relacionada con el espacio público (KIDI) instalado</t>
  </si>
  <si>
    <t>Capacitar 100 brigadistas</t>
  </si>
  <si>
    <t>Número brigadistas capacitados en información geográfica de lo ciudad e información y manejo de los KIDI</t>
  </si>
  <si>
    <t>Reglamentar 50.000m2 de espacio público en cuanto o su aprovechamiento económico, sus usos temporales y eventuales</t>
  </si>
  <si>
    <t>Reglamentar  m2 de espacio público (plazas, plazoletas, parques, zonas verdes y zonas estratégicas de la ciudad), que permitan  su aprovechamiento económico bajo sus  usos temporales y eventuales</t>
  </si>
  <si>
    <t>Realizar 10 campañas de cultura ciudadana</t>
  </si>
  <si>
    <t>Campañas de cultura ciudadana sobre el correcto uso del espacio público realizada</t>
  </si>
  <si>
    <t>Realizar 10 jornadas pedagógicas sobre espacio público</t>
  </si>
  <si>
    <t xml:space="preserve"> Jornadas pedagógicas sobre el espacio público</t>
  </si>
  <si>
    <t>Entregar 50 casetas, puestos o stands de mobiliario urbano a los vendedores informales estacionarios para que trabajen en parques, plazoletas, plazas y demás zonas estratégicas.</t>
  </si>
  <si>
    <t>Número de casetas y puestos o stand de trabajo a los vendedores informales estacionarios que tengan la confianza legítima para que trabajen de manera organizada y cumpliendo con las normatividad ambiental y en salud para vender sus productos. Alquilando este mobiliario al Distrito.</t>
  </si>
  <si>
    <t>Adecuar y/o mantener 40.000 m2 de áreas públicas verdes</t>
  </si>
  <si>
    <t>Formalizar 55 convenios de adopción de parques y zonas verdes con otros entidades para lograr su autosostenibilidad</t>
  </si>
  <si>
    <t>Parques y zonas verdes auto sostenibles a través de convenios de adopción por parte de entidades privados, formalizados</t>
  </si>
  <si>
    <t>Instalar 50 bancas en espacio público efectivo como parques, plazas, plazoletas, paseos peatonales y moritimos, entre otras zonas estratégicas dentro de toda la ciudad.</t>
  </si>
  <si>
    <t>Número de bancas instaladas y/o mantenidas en  espacio público efectivo como parques , plazas, plazoletas, paseos peatonales y marítimos, entre otras zonas estratégicas dentro de toda la ciudad.</t>
  </si>
  <si>
    <t>Reglamentación y
gestión de espacio
público efectivo
priorizado</t>
  </si>
  <si>
    <t>Plan integral de gestión de ares publicas verdes</t>
  </si>
  <si>
    <t>LÍNEA ESTRATÉGICA INFRAESTRUCTURA VIAL CON DESARROLLOS
INTEGRALES PARA LA MOVILIDAD PARA LA GENTE</t>
  </si>
  <si>
    <t>PROGRAMA MOVILIDAD PARA EL DESARROLLO</t>
  </si>
  <si>
    <t xml:space="preserve">Reducir en 200 el número de accidentes de tránsito </t>
  </si>
  <si>
    <t>N° de Accidentes de tránsito reducidos</t>
  </si>
  <si>
    <t>Reducir  en 10  el número de víctimas fatales  en accidentes de transito</t>
  </si>
  <si>
    <t>N° de lesionados en accidentes de tránsito reducidos</t>
  </si>
  <si>
    <t>Reducir  en 50  el número de lesionados en accidentes de transito</t>
  </si>
  <si>
    <t>Capacitar a 60000 personas  en educación y seguridad vial.</t>
  </si>
  <si>
    <t xml:space="preserve">N° de personas capacitadas en educaión y seguridad </t>
  </si>
  <si>
    <t>Realizar 12 campañas  educativas en seguridad vial</t>
  </si>
  <si>
    <t>N° de campañas educativas en Educación y seguridad vial realizadas</t>
  </si>
  <si>
    <t>Instalar 2.124 señales verticales</t>
  </si>
  <si>
    <t>N° de señales verticales instaladas</t>
  </si>
  <si>
    <t>Demarcar 124.000 metros lineales en marcas longitudinales</t>
  </si>
  <si>
    <t>Metros lineales de marcas longitudinales demarcados</t>
  </si>
  <si>
    <t>Demarcar 8.250  m2 en marcas transversales</t>
  </si>
  <si>
    <t>Metros cuadrados en marcas transversales demarcados</t>
  </si>
  <si>
    <t>Instalar  224  bandas  de Reductoras de velocidad</t>
  </si>
  <si>
    <t>N° de bandas reductora de velocidad instaladas</t>
  </si>
  <si>
    <t>Formular e implementar el  Plan Estratégico de Seguridad Vial.</t>
  </si>
  <si>
    <t>Plan Estratégico de seguridad vial formulado e implementado</t>
  </si>
  <si>
    <t>Mejor cultura ciudadana más seguridad vial</t>
  </si>
  <si>
    <t>Tasa de mortalidad en accidentes de tránsito reducida</t>
  </si>
  <si>
    <t>7 victimas fatales por cada 100000 hab</t>
  </si>
  <si>
    <t xml:space="preserve"> 6 victimas fatales por cada 100000 hab</t>
  </si>
  <si>
    <t>Reducir en 1 punto  la tasa de mortalidad  en accidentes de tránsito en el Distrito de  Cartagena</t>
  </si>
  <si>
    <t>Desplazamiento ordenado en menor tiempo</t>
  </si>
  <si>
    <t>Aprobar 40 planes de manejos de tráfico</t>
  </si>
  <si>
    <t>N° de planes de manejos de tráficos aprobados</t>
  </si>
  <si>
    <t>Disminuir en  9 minutos   el tiempo de desplazamiento  vehicular   en 5 corredores viales.</t>
  </si>
  <si>
    <t>Tiempo de desplazamiento vehicular reducido</t>
  </si>
  <si>
    <t>Capacitar 3.216 conductores de servicio público especial e individual en cultura ciudadana, educación vial  y atención al usuario.</t>
  </si>
  <si>
    <t>N° Conductores capacitados</t>
  </si>
  <si>
    <t>Estimular a 635.878 usuarios de la  población activa para el   uso de transcaribe.</t>
  </si>
  <si>
    <t>N° de usuarios de la población activa estimulada</t>
  </si>
  <si>
    <t>Movilidad para la gente</t>
  </si>
  <si>
    <t>Formular 1 Plan Maestro de Movilidad del Distrito de Cartagena</t>
  </si>
  <si>
    <t>Plan de Movilidad Formulado</t>
  </si>
  <si>
    <t>Formular 1 plan maestro de parqueaderos y estacionamientos paro el Distrito de Cartagenana</t>
  </si>
  <si>
    <t>Plan maestro de parqueaderos y estacionamientos formulado</t>
  </si>
  <si>
    <t>Tiempo de desplazamiento vehicular disminuido</t>
  </si>
  <si>
    <t>90 min</t>
  </si>
  <si>
    <t>81 min</t>
  </si>
  <si>
    <t>Disminuir en un 10% el tiempo de desplazamiento vehicular a 2019 en 5 corredores viales de la ciudad</t>
  </si>
  <si>
    <t>Construir 1 patio complementario (sujeto a demanda).</t>
  </si>
  <si>
    <t>Patios complementarios construidos.</t>
  </si>
  <si>
    <t>Chatarrizar 1592 buses</t>
  </si>
  <si>
    <t>Buses chatarrizados</t>
  </si>
  <si>
    <t>Terminar patio-portal</t>
  </si>
  <si>
    <t>Patio-portal terminado</t>
  </si>
  <si>
    <t>LÍNEA ESTRATÉGICA VIVIENDA YSERVICIOS PÚBLICOS</t>
  </si>
  <si>
    <t>PROGRAMA VIVIENDA</t>
  </si>
  <si>
    <t>DÉFICIT HABITACIONAL DISMINUIDO</t>
  </si>
  <si>
    <t xml:space="preserve"> Disminución en 22.1% el déficit habitacional del Distrito de Cartagena</t>
  </si>
  <si>
    <t>Construcción de vivienda nueva</t>
  </si>
  <si>
    <t>Construccion vivienda nueva - Casa Pa' Mi Gente. Construir 9000 viviendas nuevas Vis o Vip.</t>
  </si>
  <si>
    <t>N° de viviendas nuevas construidas Vis o Vip</t>
  </si>
  <si>
    <t>Adquisición banco de tierra con 40 hectáreas, destinadas a la construccion de vivienda nueva Vis o Vip.</t>
  </si>
  <si>
    <t>N° hectáreas aptas para la construccion de vivienda</t>
  </si>
  <si>
    <t>Mi casa mejorada (mejoramiento de vivienda)</t>
  </si>
  <si>
    <t xml:space="preserve">Mejorar 3100 viviendas en el sector urbano.  </t>
  </si>
  <si>
    <t>N° de viviendas mejoradas sector urbano</t>
  </si>
  <si>
    <t xml:space="preserve">Mejorar 900 viviendas en el sector rural. </t>
  </si>
  <si>
    <t>N° de vivienda mejorada sector rural</t>
  </si>
  <si>
    <t xml:space="preserve"> Mejorar 8 barrios Construccion de Parques</t>
  </si>
  <si>
    <t xml:space="preserve">N° de barrios mejorados </t>
  </si>
  <si>
    <t>Legalizar 4000 predios.</t>
  </si>
  <si>
    <t>N° de predios legalizados</t>
  </si>
  <si>
    <t>Mi casa, mi titulo (legalización y titulación de predios)</t>
  </si>
  <si>
    <t>PROGRAMA SERVICIOS PUBLICOS PARA LA GENTE</t>
  </si>
  <si>
    <t xml:space="preserve">% De personas con servicios mejorados </t>
  </si>
  <si>
    <t xml:space="preserve"> Incrementar  en 100%la cobertura de la prestación de los servicios de públicos domiciliarios</t>
  </si>
  <si>
    <t>Realizar 4 contratos de  seguimiento al esquema operativo de aseo domiciliario del Distrito de Cartagena a través de una empresa especializada en supervisión del servicio  público de aseo e implementacion de 4 estrategias IEC sobre el fomento de la cultura de pago.</t>
  </si>
  <si>
    <t>Numero de contratos  de seguimiento y estrategias IEC realizados.</t>
  </si>
  <si>
    <t>Diseñar e implementor (1) ruta de recolección de residuos sólidos oprovectiables en 5 unidades comuneras
del Distrito, coadyuvado con la implementoción de 4 campañas lEC en
Deberes y Derectios de los usuarios.</t>
  </si>
  <si>
    <t>Ruta de recolección
de residuos sólidos
aprovechables y
estrategias lEC
diseñadas e
implementadas.</t>
  </si>
  <si>
    <t>Un (1) ajuste al documento de PGIRS de acuerdo a la normatividad vigente, en el componente de barrido y limpieza de áreas publicas.</t>
  </si>
  <si>
    <t>Ajustes al documento PGIRS para la adecuada prestación del componente de barrido y limpieza de áreas públicas.</t>
  </si>
  <si>
    <t>Tres (3) playas del Distrito con los contenedores instalados.</t>
  </si>
  <si>
    <t>Nº de Playas con contenedores instalados</t>
  </si>
  <si>
    <t>Tres (3) Estrategias IEC en la higiene de las áreas publicas del Distrito implementadas.</t>
  </si>
  <si>
    <t>Numero de estrategias  IEC implementadas.</t>
  </si>
  <si>
    <t>Cinco (5) unidades comuneras del Distrito entregando residuos separados gracias a la articulación institucional.</t>
  </si>
  <si>
    <t>% de unidades comuneras separando adecuadamente</t>
  </si>
  <si>
    <t>Un (1) diseño técnico y financiero de la Estación de Clasificación y Aprovechamiento (ECA) y 5 instaladas en 5 unidades comuneras del Distrito.</t>
  </si>
  <si>
    <t>% de infraestructura instalada</t>
  </si>
  <si>
    <t>Fortalecer a 773 recicladores de oficio, tecnica y socialmente,  al aprovechamiento de residuos sólidos del Distrito mediante la agenda social Distrital, coadyuvado por cuatro (4) estrategias de concienciacion ciudadana.</t>
  </si>
  <si>
    <t>Nº de recicladores fortalecidos.</t>
  </si>
  <si>
    <t>Construcción de una planta de tratamiento de lixiviados en el Relleno Sanitario Loma de los cocos.</t>
  </si>
  <si>
    <t>Construcción de la planta de tratamiento.</t>
  </si>
  <si>
    <t>Clasura del area intervenida en el relleno sanitario de Henequen.</t>
  </si>
  <si>
    <t>% de area intervenida.</t>
  </si>
  <si>
    <t>Formulación de la politica pública Distrital de Residuos de Aparatos eléctricos y Electrónicos RAEE.</t>
  </si>
  <si>
    <t>Politica Publica Distrital de Residuos de Aparatos eléctricos y Electrónicos RAEE formulada.</t>
  </si>
  <si>
    <t>Formulación del esquema de control, seguimiento y evaluación de los sistemas de recolección selectiva y gestión ambiental de llantas usadas.</t>
  </si>
  <si>
    <t>Esquema de control, seguimiento, y evaluación de los sistemas de recolección selectiva y gestión ambiental de llantas usadas.</t>
  </si>
  <si>
    <t>Implementación de cuatro (4) estrategias IEC al Distrito de Cartagena en Gestión de Residuos de construcción y Demolición. (RCD)</t>
  </si>
  <si>
    <t>Nº de campañas implementadas</t>
  </si>
  <si>
    <t>Un (1) estudio de factibilidad para el diseño y construcción de escombreras Distritales.</t>
  </si>
  <si>
    <t>Estudio de factibilidad.</t>
  </si>
  <si>
    <t>Un (1) estudio de Localización de los centros de acopio en la Zona Insular.</t>
  </si>
  <si>
    <t>Estudio de factibilidad y localizacion.</t>
  </si>
  <si>
    <t>Programa de contenerización diseñado e implementado</t>
  </si>
  <si>
    <t>Nº de contenedores ubicados en la Zona Insular.</t>
  </si>
  <si>
    <t>Un (1) plan  permanente de Educación Ambiental diseñado y ejecutado en la Zona Insular.</t>
  </si>
  <si>
    <t>Nº de plan diseñado e implementado.</t>
  </si>
  <si>
    <t>Un (1) Estudio de amenaza, vulnerabilidad y riesgos mitigables que incluya cuantificación de impactos en la población por la gestión del riesgo asociado al manejo y uso de los residuos sólidos en el (zona urbana y rural) realizado.</t>
  </si>
  <si>
    <t>Numero de estudio realizado dentro del termino.</t>
  </si>
  <si>
    <t>Establecer los lineamientos técnicos
para la limpieza adecuada,
mantenimiento, seguimiento y control
de cuerpos de agua y canales.</t>
  </si>
  <si>
    <t>Criterios establecidos en el programa de Limpieza de playos.</t>
  </si>
  <si>
    <t>Definir Metros cuadrados (m2) de
áreas públicas objeto de orborización.</t>
  </si>
  <si>
    <t>Metros cuadrados (m2) de
áreas públicas objeto  de orborización.</t>
  </si>
  <si>
    <t>Aseo</t>
  </si>
  <si>
    <t>Acueducto y alcantarillado</t>
  </si>
  <si>
    <t>Mts3 cúbicos de agua
tratado</t>
  </si>
  <si>
    <t>Km Tubería
Conducción</t>
  </si>
  <si>
    <t>Nuevos usuarios
vinculados</t>
  </si>
  <si>
    <t>Sistema de acueducto de
Tierra Bomba, y Barú</t>
  </si>
  <si>
    <t>Vinculara 100.000 nuevos usuarios al
sistema de acueducto</t>
  </si>
  <si>
    <t>Ampliar el sistema de acueducto,
conducción de 8 km de tubería</t>
  </si>
  <si>
    <t>Ampliar el sistema de acueducto,
tratamiento de 20000 mts3 de agua</t>
  </si>
  <si>
    <t>Ampliar el sistema de alcantarillado zona urbana, estación de
bonnbeo e impulsión Arroz
Barato, Policorpa y Puerta de Hierro</t>
  </si>
  <si>
    <t>Ampliar el sistema de alcantarillado
zona rural bombeo de agua residual en
Bayunca, Pontezuela,
Tierrabaja</t>
  </si>
  <si>
    <t>Ampliación sistema de alcantarillado
zona rural, redes de alcantarillado
en Bayunca, Pontezuela, Tierrabaja y Puerto
rey.</t>
  </si>
  <si>
    <t>Cartagena certificada en servicios publicos</t>
  </si>
  <si>
    <t>Equilibrar 3 factores de subsidios</t>
  </si>
  <si>
    <t>3 Factores de contribución
eauilibrados</t>
  </si>
  <si>
    <t>Equilibrar 3 FSDR</t>
  </si>
  <si>
    <t>90% Coberturas APSB</t>
  </si>
  <si>
    <t>FSRDI Equilibrados</t>
  </si>
  <si>
    <t>Factores de subsidio
Equilibrados</t>
  </si>
  <si>
    <t>Factores de Contribución
Equilibrados</t>
  </si>
  <si>
    <t>Subsidios Pagados</t>
  </si>
  <si>
    <t>Coberturas APSB</t>
  </si>
  <si>
    <t>$80.000.000.000pagados en
subsidios</t>
  </si>
  <si>
    <t>Alumbrado
Publico</t>
  </si>
  <si>
    <t>Legalizar lo red de Alumbrado Público
en 35 sectores subnormales del
Distrito.</t>
  </si>
  <si>
    <t>Instalar u optimizar con Alumbrado
Público A 220 parques o zonas
verdes</t>
  </si>
  <si>
    <t>Sectores normalizados con
alumbrado público</t>
  </si>
  <si>
    <t>Parques o zonas verdes con
alumbrado público instalado u
optimizado</t>
  </si>
  <si>
    <t>Estudio realizado.</t>
  </si>
  <si>
    <t>Energia</t>
  </si>
  <si>
    <t>Sectores normalizados con
servicio de energía.</t>
  </si>
  <si>
    <t>Sectores repotenciados.</t>
  </si>
  <si>
    <t>Cementerios</t>
  </si>
  <si>
    <t>Realización de cuatro (4) obras de mantenimiento preventivo y correctivo en los  cementerios distritales una por cementerio (Ternera, Manga, Olaya y albornoz)</t>
  </si>
  <si>
    <t>Obras de mantenimiento preventivo y correctivo realizadas</t>
  </si>
  <si>
    <t>Realización de tres (3) obras de ampliación para la construcciòn de bovedas y nichos en los  cementerios distritales una por cementerio (Ternera, Olaya y albornoz)</t>
  </si>
  <si>
    <t>Obras de ampliación realizadas</t>
  </si>
  <si>
    <t>Realización de un  (1) estudio preliminar para la intervenciòn integral del cementerio de manga.</t>
  </si>
  <si>
    <t>Estudio preliminar realizado</t>
  </si>
  <si>
    <t>CONSTRUIR CIUDADANIA Y FORTALECER LA
INSTITUCIONALIDAD</t>
  </si>
  <si>
    <t>EJE ESTRATÉGICO SEGURIDAD INTEGRAL</t>
  </si>
  <si>
    <t>LÍNEA ESTRATÉGICA CARTAGENA SIN MIEDOS</t>
  </si>
  <si>
    <t>PROGRAMA BARRIO SEGURO, UNIDAD COMUNERASEGURA-UNCOS</t>
  </si>
  <si>
    <t>Plan integral de seguridad ciudadana</t>
  </si>
  <si>
    <t>TASA DE HOMICIDIO POR CIEN MIL HABITANTES</t>
  </si>
  <si>
    <t xml:space="preserve">Reducción integral de  la Tasa de Homicidio </t>
  </si>
  <si>
    <t>Formular y ejecutar un Plan Integral de seguridad y Convivencia ciudadana</t>
  </si>
  <si>
    <t>Plan Integral de seguridad y convivencia ciudadana Formulado y ejecutado.</t>
  </si>
  <si>
    <t>Realizar 10 consejos comunales de seguridad anualmente en los barrios con mayores índices de Violencia</t>
  </si>
  <si>
    <t>Consejos Comunales de Seguridad realizados</t>
  </si>
  <si>
    <t>Reducir en 10 el
número de víctimas
fatales en accidentes
de transito</t>
  </si>
  <si>
    <t>Reducir a 9 el
número de víctimas
fatales por sumersión
en playas del Distrito
de Cartagena.</t>
  </si>
  <si>
    <t>Número de víctimas
fatales en
accidentes de
tránsito reducidos</t>
  </si>
  <si>
    <t>Número de muerte
por sumersión en
playos reducido</t>
  </si>
  <si>
    <t>TASA DE EXTORSION POR CIEN MIL HABITANTES</t>
  </si>
  <si>
    <t>11.21</t>
  </si>
  <si>
    <t>Reducción  integralmente  de la Tasa de extorsión</t>
  </si>
  <si>
    <t>Reducir integralmente en
0,4 la tasa de muertes
por sumersión (Playas)</t>
  </si>
  <si>
    <t>TASA DE MUERTES EN CUERPO
DE AGUA</t>
  </si>
  <si>
    <t>TASA DE HURTO A PERSONAS POR CIEN MIL HABITANTES</t>
  </si>
  <si>
    <t>109.07</t>
  </si>
  <si>
    <t>HURTOS A RESIDENCIAS</t>
  </si>
  <si>
    <t>Realizar 2 Campañas de promoción de la denuncia ciudadana anualmente</t>
  </si>
  <si>
    <t>Campañas de promoción de la denuncia ciudadana realizadas anualmente</t>
  </si>
  <si>
    <t>Recuperar 30 Entornos Urbanos deteriorados en los barrios con mayores índices de Violencia</t>
  </si>
  <si>
    <t>Barrios priorizados con entornos urbanos recuperados para la convivencia.</t>
  </si>
  <si>
    <t xml:space="preserve">Reducción  integralmente de la tasa de hurtos a personas </t>
  </si>
  <si>
    <t>Reducir integralmente en un 50% el número de hurtos a residencias</t>
  </si>
  <si>
    <t>Fortalecimiento de los mecanismos comunitarios de prevención del delito</t>
  </si>
  <si>
    <t>Reducir integralmente en
un (1) punto la tasa de
muerte en accidente de
transito</t>
  </si>
  <si>
    <t>TASA DE MUERTES EN
ACCIDENTES DE TRANSITO</t>
  </si>
  <si>
    <t>PROGRAMA FORTALECIMIENTO INSTITUCIONAL DE LA SECRETARÍA DEL
INTERIOR Y CONVIVENCIA CIUDADANA</t>
  </si>
  <si>
    <t>Operativos de control preventivo y soncionctorio realizados para el cumplimiento de las normas de convivencia y seguridad en la ciudad.</t>
  </si>
  <si>
    <t>Aumentar en un 50% los Operativos de control preventivo y sancionatorio realizados para el cumplimiento de los normas de convivencia y seguridad en la ciudad</t>
  </si>
  <si>
    <t>Realizar 50 operativos de control a juegos de azar en el Distrito</t>
  </si>
  <si>
    <t>Operativos de control a juegos de azar y espectáculos públicos realizados en el Distrito</t>
  </si>
  <si>
    <t>Realizar 170 Operativos de control a espectáculos públicos en el Distrito</t>
  </si>
  <si>
    <t>Fortalecimiento  de la secretaría del interior y convivencia ciudadana</t>
  </si>
  <si>
    <t>Nueva cárcel Distrital</t>
  </si>
  <si>
    <t>Trasladar cárcel Distrital</t>
  </si>
  <si>
    <t>Fortalecimiento carcelario y penitenciario</t>
  </si>
  <si>
    <t>Trasladar la Cárcel Distrital de Cartagena</t>
  </si>
  <si>
    <t>Cárcel Distrital de Cartagena funcionando en inmueble que cumpla condiciones de seguridad.</t>
  </si>
  <si>
    <t>Suscribir Convenio con el INPEC para la atención de los indiciados</t>
  </si>
  <si>
    <t>Convenio con el INPEC</t>
  </si>
  <si>
    <t>Tiempo de respuesta del cuerpo de Bomberos.</t>
  </si>
  <si>
    <t>10 a 20 minutos</t>
  </si>
  <si>
    <t>Reducir en un 50% el tiempo de respuesta a la zona industrial de Mamonal en Cartagena</t>
  </si>
  <si>
    <t>5   a  10 minutos</t>
  </si>
  <si>
    <t>Diseñar, construir y dotar una estación de Bomberos terrestre en el Distrito</t>
  </si>
  <si>
    <t>1 estación de Bomberos terrestre en el Distrito.</t>
  </si>
  <si>
    <t>Diseñar, construir y dotar una estación de Bomberos acuática en el Distrito.</t>
  </si>
  <si>
    <t>1 estación de Bomberos acuática en el Distrito.</t>
  </si>
  <si>
    <t>Dotar con equipos operativos de rescate, control de incendios e incidentes con materiales peligrosos las 3 estaciones de Bomberos existentes.</t>
  </si>
  <si>
    <t xml:space="preserve">Estaciones de Bomberos existentes dotadas con equipos  operativos y de rescate, control de incendios e incidentes con materiales peligrosos
</t>
  </si>
  <si>
    <t>Cobertura de respuesta del cuerpo de Bomberos.</t>
  </si>
  <si>
    <t>Capacidad operativa del cuerpo de Bomberos</t>
  </si>
  <si>
    <t>Alcanzar un 50% de cobertura acuática e insular en el Distrito Cartagena.</t>
  </si>
  <si>
    <t xml:space="preserve"> Incrementar en un 20 % lo capacidad operativa del cuerpo de Bomberos en el Distrito de Cartagena</t>
  </si>
  <si>
    <t>Fortalecimiento cuerpo de bomberos</t>
  </si>
  <si>
    <t>PROGRAMA JUSTICIA CERCANA AL CIUDADANO</t>
  </si>
  <si>
    <t>TASA DE VIOLENCIA INTRAFAMILIAR POR CIEN MIL HABITANTES</t>
  </si>
  <si>
    <t>DELITOS SEXUALES</t>
  </si>
  <si>
    <t>Reducir a 100 la tasa de Violencia Intrafamiliar</t>
  </si>
  <si>
    <t>Reducir en un 30% los delitos sexuales</t>
  </si>
  <si>
    <t>Realizar una (1) actualización Normativa anual a todos los conciliadores en equidad activos en el Distrito.</t>
  </si>
  <si>
    <t>Conciliadores en equidad actualizados normativamente.</t>
  </si>
  <si>
    <t>Ampliar la red de Conciliadores en el Distrito con la formación de 40 nuevos Conciliadores en equidad.</t>
  </si>
  <si>
    <t>Nuevos Conciliadores formados.</t>
  </si>
  <si>
    <t>Realizar 120 jornadas de "Justicia a los barrios" para acercar los servicios de justicia a la ciudadanía.</t>
  </si>
  <si>
    <t>Jornadas de Justicia a los barrios realizadas.</t>
  </si>
  <si>
    <t>PROGRAMA CARTAGENA POR LA CONVIVENCIA</t>
  </si>
  <si>
    <t>Porcentaje de personas que considera que en Cartagena se respetan los normas de convivencia ciudadana</t>
  </si>
  <si>
    <t xml:space="preserve"> Aumentar a 21.4 el porcentaje de personas que considera que en Cartagena se respetan las normas de convivencia ciudadana</t>
  </si>
  <si>
    <t>Realizar dos campañas anuales de promoción de buenas prácticas ciudadanos en el Distrito.</t>
  </si>
  <si>
    <t>Campaña de promoción de buenas prácticas ciudadanas realizados</t>
  </si>
  <si>
    <t>Realizar 60 festivales para la convivencia en los barrios priorizados con mayor índice de violencia en el Distrito</t>
  </si>
  <si>
    <t>Festivales para convivencia realizados.</t>
  </si>
  <si>
    <t>Socializar las normas de conducta y convivencia ciudadano a veinte mil personas (20,000) en el Distrito de Cartagena</t>
  </si>
  <si>
    <t>Número de Personas a las que se le socializó los normas de conducta y convivencia ciudadana</t>
  </si>
  <si>
    <t>PROGRAMA PRIMERO LOS JOVENES</t>
  </si>
  <si>
    <t>Atender Psicosocialmente a 1000 jóvenes vinculados a Pandillas y sus familias.</t>
  </si>
  <si>
    <t>Estrategia de Atención y orientación Psicosocial a familias y jóvenes vinculados a pandillas diseñada</t>
  </si>
  <si>
    <t>Identificar y ejecutar 80 Iniciativas juveniles para promover emprendimiento</t>
  </si>
  <si>
    <t>Banco de iniciativas juveniles para promover emprendimiento.</t>
  </si>
  <si>
    <t>Realizar 2 festivales deportivos por localidad anualmente.</t>
  </si>
  <si>
    <t>Festivales deportivos juveniles en los barrios priorizados.</t>
  </si>
  <si>
    <t>Realizar 2 festivales artísticos por localidad anualmente</t>
  </si>
  <si>
    <t>Festivales artísticos juveniles en los barrios priorizados.</t>
  </si>
  <si>
    <t>Implementar 2 Mesas de Dialogo anualmente.</t>
  </si>
  <si>
    <t>Mesas de Dialogo Realizadas con grupos de pandillas</t>
  </si>
  <si>
    <t>Suscribir un convenio con ASOMENORES anualmente.</t>
  </si>
  <si>
    <t>Convenio con ASOMENORES suscrito anualmente.</t>
  </si>
  <si>
    <t>Porcentaje de reducción del número de pandillas Homicidios, hurtos, y riñas cometidos por adolescentes y jóvenes que pertenecen a grupos de pandillas en el Distrito de Cartagena</t>
  </si>
  <si>
    <t>Porcentaje de reducción del Número de Adolescentes y Jóvenes que ingresan al Sistema de Responsabilidad Penal para Adolescentes en las distintas modalidades</t>
  </si>
  <si>
    <t>Reducir en un 30% el Número de homicidios cuyos victimarios son adolescentes y jóvenes que pertenecen a grupos de pandilla</t>
  </si>
  <si>
    <t xml:space="preserve"> Reducir en un 40% el Número de hurtos perpetrados por adolescentes y jóvenes que pertenecen a grupos de pandilla</t>
  </si>
  <si>
    <t xml:space="preserve"> Reducir en un 30% Numero de riñas entre adolescentes y jóvenes que pertenecen o grupos de pandilla</t>
  </si>
  <si>
    <t>Reducir en 12% las pandillas en el distrito de Cartagena</t>
  </si>
  <si>
    <t>Reducir en un 15% Número de Adolescentes y Jóvenes de Cartagena que ingresan al Sistema de Responsabilidad Penal para Adolescentes en las distintas modalidades</t>
  </si>
  <si>
    <t>Atención integral a los y las adolescentes y jóvenes en riesgo de vincularse a actividades delictivas y en conflicto con la ley penal</t>
  </si>
  <si>
    <t>Fortalecimiento del sistema de responsabilidad   penal adolescente</t>
  </si>
  <si>
    <t>PROGRAMA OPTIMIZACIÓN TECNOLÓGICA A LAS HERRAMIENTAS DE
SEGURIDAD</t>
  </si>
  <si>
    <t>Instalar 430 cámaras de fibra óptica como componente del sistema integrado de video vigilancia del distrito de Cartagena</t>
  </si>
  <si>
    <t>Nuevas cámaras de video vigilancia con fibra óptica en el distrito de Cartagena</t>
  </si>
  <si>
    <t>Instalar 50 cámaras inalámbricas como componente del sistema integrado de video vigilancia del distrito de Cartagena</t>
  </si>
  <si>
    <t>Nuevas cámaras de video vigilancia inalámbricas en el distrito de Cartagena</t>
  </si>
  <si>
    <t>Instalar 8 cámaras como componente del sistema de video vigilancia para el control de acceso del distrito de Cartagena</t>
  </si>
  <si>
    <t>Nuevas cámaras de video vigilancia de control de acceso en el distrito de Cartagena</t>
  </si>
  <si>
    <t>Instalar doscientos (200) nuevos sistemas de alarmas comunitarias en el distrito de Cartagena</t>
  </si>
  <si>
    <t>Nuevos sistemas de alarmas comunitarias en el Distrito de Cartagena</t>
  </si>
  <si>
    <t xml:space="preserve">Instalar e implementar un (1) sistema integrador de aplicativos de seguridad y vigilancia </t>
  </si>
  <si>
    <t>Sistema integrador de video vigilancia implementado</t>
  </si>
  <si>
    <t>Construir e implementar el centro de comando y control de la policía metropolitana de Cartagena</t>
  </si>
  <si>
    <t>Nueva sala de monitoreo y control funcionando</t>
  </si>
  <si>
    <t>Adquirir setecientos ochenta (780) equipos de comunicación para la seguridad en el distrito de Cartagena</t>
  </si>
  <si>
    <t>Equipos de comunicación para la seguridad adquiridos</t>
  </si>
  <si>
    <t>Crear  una (1) “plataforma estratégica de monitoreo y observación social y seguimiento al delito”</t>
  </si>
  <si>
    <t>“Plataforma estratégica de monitoreo y observación social y seguimiento al delito” creado</t>
  </si>
  <si>
    <t>Crear e implementar tres (3) salas de audiencias virtuales como apoyo al sistema penal acusatorio para los indiciados del distrito</t>
  </si>
  <si>
    <t>Salas de audiencias virtuales como apoyo al sistema penal acusatorio para los indiciados del distrito creados e implementados</t>
  </si>
  <si>
    <t>Instalar doscientos (200) Chip de localización de seguridad para taxis/ botón de pánico</t>
  </si>
  <si>
    <t>Chip de localización de seguridad para taxis/ botón de pánico, instalados</t>
  </si>
  <si>
    <t>Cámaras de video vigilancia por cada 100 mil habitantes ampliada</t>
  </si>
  <si>
    <t>Ampliar  a una tasa de  39,4 cámaras de video vigilancia por cada 100 mil habitantes</t>
  </si>
  <si>
    <t>Optimización tecnológica a las herramientas de seguridad</t>
  </si>
  <si>
    <t>Cobertura de alarmas comunitarias de vigilancia por cada 100 mil habitantes ampliada</t>
  </si>
  <si>
    <t>Ampliar  una tasa de cobertura de 16,5 alarmas comunitarias por cada 100 mil habitantes</t>
  </si>
  <si>
    <t>Equipos de comunicación para la seguridad ciudadana por cada 100 mil habitantes ampliados</t>
  </si>
  <si>
    <t>Ampliar  a una tasa de 56,2 equipos de comunicación para la seguridad por cada 100 mil habitantes</t>
  </si>
  <si>
    <t>PROGRAMA FORTALECIMIENTO LOGÍSTICO A LOS ORGANISMOS DE
SEGURIDAD, SOCORRO, JUSTICIA EN EL DISTRITO DE CARTAGENA"</t>
  </si>
  <si>
    <t>Fortalecimiento logístico para la seguridad y convivencia</t>
  </si>
  <si>
    <t>Adquirir y entregar noventa (90) vehículos para la seguridad, justicia y socorro en el distrito de Cartagena</t>
  </si>
  <si>
    <t>Vehículos para la seguridad, justicia y socorro en el distrito de Cartagena adquiridos y entregados</t>
  </si>
  <si>
    <t>Suministrar ciento veinte mil galones de combustible  (120.000) anualmente a los organismos de seguridad, justicia, socorro o convivencia con jurisdicción en el distrito de Cartagena</t>
  </si>
  <si>
    <t>Combustible  entregado a los organismos de seguridad, justicia, socorro o convivencia con jurisdicción en el distrito de Cartagena anualmente</t>
  </si>
  <si>
    <t>Construir 3 alamedas perimetrales  a los centros de integración ciudadana para la convivencia de los barrios el Pozón, Bicentenario y Villas de Aranjuez</t>
  </si>
  <si>
    <t>Alamedas perimetrales  a los centros de integración ciudadana para la convivencia de los barrios pozón, bicentenario y villas de Aranjuez construidos</t>
  </si>
  <si>
    <t>Construir cuatro (4) edificaciones que garanticen la presencia  institucional en cuanto a justicia, seguridad, convivencia y socorro en el distrito de Cartagena</t>
  </si>
  <si>
    <t>Edificaciones que garanticen la presencia  institucional en cuanto a justicia, seguridad, convivencia y socorro en el distrito de Cartagena construidas</t>
  </si>
  <si>
    <t>Fortalecimiento logístico de la infraestructura para la seguridad, justicia, socorro y convivencia ciudadana en el distrito de cartagena</t>
  </si>
  <si>
    <t>PROGRAMA ORDENAMIENTO Y SEGURIDAD DE LAS PLAYAS DEL DISTRITO
DE CARTAGENA</t>
  </si>
  <si>
    <t>Movilidad De Entidades De Seguridad, Justicia Y Socorro  Ampliada</t>
  </si>
  <si>
    <t>Nivel De Suficiencia De Infraestructura Para La Seguridad, Justicia Socorro Y Convivencia Ciudadana Ampliada</t>
  </si>
  <si>
    <t>Ampliar la movilidad en un 100%, de las entidades de seguridad, justicia y socorro</t>
  </si>
  <si>
    <t xml:space="preserve"> Obtener Un Porcentaje De  Suficiencia De Infraestructura De Un 84%</t>
  </si>
  <si>
    <t>Implementar la reglamentación de playas del distrito de Cartagena en su componente de señalización y equipamiento de la seguridad de las playas</t>
  </si>
  <si>
    <t xml:space="preserve">Reglamentación de playas urbanas del distrito de Cartagena en su componente de señalización y equipamiento de la seguridad de las playas implementado </t>
  </si>
  <si>
    <t>Construir 5 garitas adicionales en las playas del distrito de Cartagena</t>
  </si>
  <si>
    <t>Garitas adicionales en las playas del distrito de Cartagena construidas</t>
  </si>
  <si>
    <t xml:space="preserve">Fortalecer el cuerpo de salvavidas del distrito de Cartagena anualmente </t>
  </si>
  <si>
    <t>Cuerpo de salvavidas del distrito de Cartagena anualmente  fortalecido</t>
  </si>
  <si>
    <t>Construir un (1) centro de atención pre hospitalaria  en las playas del Distrito de Cartagena</t>
  </si>
  <si>
    <t>Centro de atención pre hospitalaria  en las playas del distrito de Cartagena construido</t>
  </si>
  <si>
    <t>Implementación y mantenimiento para el equipamiento y señalización de seguridad en las playas de cartagena</t>
  </si>
  <si>
    <t>Cuerpo de salvavidas</t>
  </si>
  <si>
    <t>Atención prehospitalaria en las playas del distrito de cartagena</t>
  </si>
  <si>
    <t>PROGRAMA FORTALECIMIENTO INSTITUCIONAL DE DISTRISEGURIDAD</t>
  </si>
  <si>
    <t>Cobertura de playas en el distrito de Cartagena del 100%</t>
  </si>
  <si>
    <t>Cobertura Del 100% De Seguridad De Playas En El Distrito De Cartagena  Alcanzada</t>
  </si>
  <si>
    <t>LÍNEA ESTRATÉGICA CARTAGENA TERRITORIO DE PAZ</t>
  </si>
  <si>
    <t>PROGRAMA VÍCTIMAS DEL CONFLICTO ARMADO INTEGRADAS</t>
  </si>
  <si>
    <t>Riesgo de Victimización</t>
  </si>
  <si>
    <t xml:space="preserve"> Reducir en un 100% los riesgos de Victimización en la población</t>
  </si>
  <si>
    <t>Diseñar e implementar un Plan Distrital de Prevención y protección de violaciones graves a los DDHH y DIH</t>
  </si>
  <si>
    <t>Plan Distrital de prevención y protección de violaciones graves a los DDHH y DIH implementodo</t>
  </si>
  <si>
    <t>Construir un centro para la atención integral a las víctimas del conflicto asentados en el Distrito</t>
  </si>
  <si>
    <t>Centro para la atención integral a las víctimas del conflicto asentadas en el Distrito Construido</t>
  </si>
  <si>
    <t>Cobertura de población víctima que ha sido atendida en urgencia
en la modalidad de Albergue y externa Con enfoque de género,
diferencial y étnico</t>
  </si>
  <si>
    <t>Aumentar a un 22% la cobertura de población víctima atendida en Urgencia en la modalidad de Albergue y externa Con enfoque de género, diferencial y étnico</t>
  </si>
  <si>
    <t>Garantizar atención inmediata con enfoque de género, diferencial y étnico a 1.261 victimas del conflicto</t>
  </si>
  <si>
    <t>Atención inmediata con enfoque de 
género, diferencial y 
étnico a Víctimas del
Conflicto</t>
  </si>
  <si>
    <t>Garantizar el acceso de 2156 hogares Victimas del conflicto armado a programas de Generación de ingresos y autosostenimiento con enfoque de género, diferencial y étnico</t>
  </si>
  <si>
    <t>Programas de Generación de ingresos, autosostenimiento y alianzas estratégicas para procesos de vinculación laboral con enfoque de género, diferencial y étnico garantizado.</t>
  </si>
  <si>
    <t>Garantizar el acceso a vivienda Urbana a 1.488 personas víctimas del conflicto</t>
  </si>
  <si>
    <t>Personas víctimas del conflicto que accede o vivienda Urbana</t>
  </si>
  <si>
    <t>Garantizar el acceso a solución de mejoramiento de habitabilidad a 400 víctimas del conflicto.</t>
  </si>
  <si>
    <t>Personas víctimas del conflicto que accede a soluciones de mejoramiento de hiabitabilidad</t>
  </si>
  <si>
    <t>Garantizar el acceso a programas de atención sicosocial y salud mental para 6.825 víctimas del conflicto asentada en el Distrito con enfoque de género, diferencial y étnico</t>
  </si>
  <si>
    <t>Personas víctimas del conflicto que accede a progrannas de atención sicosocial y salud mental</t>
  </si>
  <si>
    <t>Construir un Museo de Memoria Histórica en el Distrito de Cartagena como Acción de Memoria Histórica y Medida de Satisfacción a Población Victima en el Distrito.</t>
  </si>
  <si>
    <t>Museo de Memoria Histórica construido y al servicio de las víctimas y la sociedad.</t>
  </si>
  <si>
    <t>Garantizar que los 22 miembros de la mesa Distrital de Víctimas accedan a incentivos técnicos y logísticos para la participación efectiva.</t>
  </si>
  <si>
    <t>Representantes de la población victima que reciben incentivos técnicos y logísticos para participar en espacios de participación</t>
  </si>
  <si>
    <t>Realizar una caracterización con enfoque de género, diferencial y étnico de la totalidad de la población víctima del conflicto asentada en el Distrito.</t>
  </si>
  <si>
    <t>Estrategia de caracterización con enfoque de género, diferencial y étnico de la población víctima del conflicto implementada</t>
  </si>
  <si>
    <t>Promover la creación de una instancia administrativa de carácter distrital de alto nivel para lo articulación del sistema local de atención integral a Víctimas del conflicto en Cartagena.</t>
  </si>
  <si>
    <t>Instancia administrativa de carácter distrital de alto nivel creado.</t>
  </si>
  <si>
    <t>Diseñar y Construir el Centro de Atención Penal Integral para Víctimas "CAPIV"</t>
  </si>
  <si>
    <t>Centro de Atención Penal Integral para Víctimas "CAPIV" diseñado y construido</t>
  </si>
  <si>
    <t>Porcentaje de personas víctimas del conflicto que accede avivienda Urbano</t>
  </si>
  <si>
    <t>Cobertura en programas de atención sicosocial y salud mental para Población víctima del
conflicto</t>
  </si>
  <si>
    <t>Museo de Memoria Histórica
construido</t>
  </si>
  <si>
    <t>Mesa Distrital de victimas atendida</t>
  </si>
  <si>
    <t>Caracterización de la población Victima del Conflicto asentada en
el Distrito realizada</t>
  </si>
  <si>
    <t>Instancia administrativa de
carácter distrital de alto nivel
creada.</t>
  </si>
  <si>
    <t>Centro de atención penal integral para víctimas(CAPIV), diseñado y construido</t>
  </si>
  <si>
    <t>Aumentar a 24% el acceso de personas víctimas o vivienda urbano</t>
  </si>
  <si>
    <t xml:space="preserve"> Aumentar a 40% la cobertura de población víctima que ha sido atendido en programas de Generación de ingresos, apoyo al auto sostenimiento, y vinculación laboral con enfoque de  género, diferencial y étnico</t>
  </si>
  <si>
    <t>Asistencia y reparación  integral a víctimas del conflicto armado</t>
  </si>
  <si>
    <t>Aumentar a 8% la Cobertura en programas de atención Psicosocial y salud mental para Población víctima del
conflicto asentada en el Distrito con enfoque de género, diferencial y étnico</t>
  </si>
  <si>
    <t>Construir en un 100% un Museo de Memoria Histórica en el Distrito de Cartagena como Acción de Memoria Histórica y Medida de Satisfacción a Población Victima en el Distrito.</t>
  </si>
  <si>
    <t xml:space="preserve"> Atender en un 100% a  los integrantes de la mesa Distrital de Victimas.</t>
  </si>
  <si>
    <t>Realizar la caracterización del 100% de la población Victima del Conflicto asentada en el Distrito</t>
  </si>
  <si>
    <t>Promover la creación de la Instancia administrativa de carácter distrital de alto nivel para la articulación del  sistema local de atención integral a Víctimas del conflicto en
Cartagena.</t>
  </si>
  <si>
    <t>Diseñar y Construir en un 100% un Centro de Atención Penal Integral pro víctimas (CAPIV)</t>
  </si>
  <si>
    <t>Implementar 6 mesas de diálogos y
reconciliación con la
población en proceso
de reintegración social
y los comunidades receptoras.</t>
  </si>
  <si>
    <t>Mesas de Diálogo y reconciliación Realizados</t>
  </si>
  <si>
    <t>Formar a  317 personas en proceso de reintegración social como gestores de Paz poro el desarrollo de uno cultura de paz.</t>
  </si>
  <si>
    <t>Personas en proceso de reintegración social como gestores de Paz.</t>
  </si>
  <si>
    <t>Vincular a 226 personas en procesos de reintegración social a iniciativas de generación de ingresos.</t>
  </si>
  <si>
    <t>Población desmovilizada que accede o iniciativas productivas de generación de ingreso</t>
  </si>
  <si>
    <t>Garantizar que 45 personas en proceso de reintegración accedan a VIS en el Distrito</t>
  </si>
  <si>
    <t>Población desmovilizada que accede a viviendas de ínteres social</t>
  </si>
  <si>
    <t>Acompañamiento a la población en proceso de reintegración social para garantizar su acceso a la oferta de servicios del estado</t>
  </si>
  <si>
    <t>PROGRAMA FORTALECIMIENTO DEL PROCESO DE REINTEGRACIÓN
SOCIAL EN EL DISTRITO DE CARTAGENA</t>
  </si>
  <si>
    <t>Porcentaje de personas en proceso de reintegración social que
acceden o procesos de
reconciliación en el  Distrito</t>
  </si>
  <si>
    <t>Vincular al 70% de las personas en proceso de reintegración asentadas en el Distrito a procesos de reconciliación</t>
  </si>
  <si>
    <t>Porcentaje de personas en proceso
de reintegración social que
acceden a iniciativas de generación
de ingresos en el Distrito</t>
  </si>
  <si>
    <t>Porcentaje de personas en proceso de  reintegración social que
acceden a una vivienda digna</t>
  </si>
  <si>
    <t>Vincular al 50% de las personas en proceso de reintegración asentados en el Distrito a iniciativas de generación de ingreso</t>
  </si>
  <si>
    <t xml:space="preserve"> Aumentar en un 10% las personas en proceso de reintegración Social que acceden a vivienda de Interés social en el Distrito</t>
  </si>
  <si>
    <t>PROGRAMA DERECHOS HUMANOS</t>
  </si>
  <si>
    <t>Porcentaje de ejecución de la Política Publica de DDHH</t>
  </si>
  <si>
    <t>Porcentaje de reducción del número de violaciones a los DDHH en el Distrito</t>
  </si>
  <si>
    <t>Porcentaje de servidores públicos fortalecidos en sus competencias</t>
  </si>
  <si>
    <t xml:space="preserve"> Ejecutar en un 25% la Política Publica de DDHH</t>
  </si>
  <si>
    <t>Reducir en un 40% el número de violaciones a los DDHH en el Distrito</t>
  </si>
  <si>
    <t xml:space="preserve"> Reducir en un 40% el número de violaciones a los DDHH en el Distrito</t>
  </si>
  <si>
    <t>Incrementar  en un 75% el fortalecimiento de competencias de los servidores publicos</t>
  </si>
  <si>
    <t>Construir colectivamente un documento de Política Pública de DDHH y sus instrumentos de seguimiento y evaluación</t>
  </si>
  <si>
    <t>Una política Pública de DDHH Formulada y ejecutada</t>
  </si>
  <si>
    <t>Realizar 12 Jornadas de sensibilización en DDHH en los lE del Distrito, servidores públicos, entidades privadas y comunidad en General.</t>
  </si>
  <si>
    <t>Jornadas de Promoción, Prevención y atención en DDHH,</t>
  </si>
  <si>
    <t>Realizar 4 Jornadas de Prevención y atención en ESCNNA en las lE del Distrito, servidores públicos, entidades privadas y comunidad en Gral.</t>
  </si>
  <si>
    <t>Jornadas de Promoción, Prevención y atención en ESCNNA</t>
  </si>
  <si>
    <t>Realizar 12 Jornadas de Prevención y atención en Trata de Personas en las lE del Distrito, servidores públicos, entidades privadas y comunidad en Gral.</t>
  </si>
  <si>
    <t>Jornadas de Promoción, Prevención y atención en Trata de personas realizadas</t>
  </si>
  <si>
    <t>Modificar el acuerdo 014 de 2008 que reglamenta el Comité DDHH para reorganizario y ampliar su denominación a comité de DDHH, Paz y Post Conflicto</t>
  </si>
  <si>
    <t>Acuerdo Modificado</t>
  </si>
  <si>
    <t>Fortalecer a 769 Servidores Públicos en sus  competencias (Etica, buen gobierno y liderazgo)</t>
  </si>
  <si>
    <t>Funcionarios públicos competentes para asumir su rol</t>
  </si>
  <si>
    <t>Derechos humanos</t>
  </si>
  <si>
    <t>LÍNEA ESTRATÉGICA GESTIÓN PÚBLICA LOCAL TRANSPARENTE</t>
  </si>
  <si>
    <t>PROGRAMA FORTALECIMIENTO DE COMPETENCIAS DEL SERVIDOR
PÚBLICO</t>
  </si>
  <si>
    <t>Porcentaje de ciudadanos atendidos directamente por la administración</t>
  </si>
  <si>
    <t>Aumentar en un 5% el numero anual de ciudadanos atendidos en el sistema integrado de atención  de UNA</t>
  </si>
  <si>
    <t>Atender 47460 ciudadanos y ciudadanas en los Centros de Atención Unificada De Una</t>
  </si>
  <si>
    <t>Ciudadanos atendidos</t>
  </si>
  <si>
    <t>PROGRAMAGESTIÓN PÚBLICA LOCAL TRANSPARENTE</t>
  </si>
  <si>
    <t>Fortalecimiento de competencias del servidor público</t>
  </si>
  <si>
    <t>Sistema integrado de atención “de una”</t>
  </si>
  <si>
    <t>Mejorar la posicion en el índice de Gobierno abierto en 25%, pasar del puesto 399 al 300.</t>
  </si>
  <si>
    <t>Posicion en el índice de Gobierno abierto</t>
  </si>
  <si>
    <t>Certificar  los Macroprocesos a traves de la ISO 9001</t>
  </si>
  <si>
    <t xml:space="preserve">Macroprocesos Certificados </t>
  </si>
  <si>
    <t xml:space="preserve">Crear un  Centro  Integrado de Servicio </t>
  </si>
  <si>
    <t xml:space="preserve">Centro Integral creado </t>
  </si>
  <si>
    <t xml:space="preserve">Crear una Oficina de atención  al ciudadano </t>
  </si>
  <si>
    <t>Oficina de atención al ciudadano creada</t>
  </si>
  <si>
    <t xml:space="preserve">Realizar 2 rendiciones de cuenta Al año  a la  ciudadania </t>
  </si>
  <si>
    <t>Número de rendicion de cuentas realizadas</t>
  </si>
  <si>
    <t>Visibilizar en la página web 160 trámites y servicios institucionales conforme a la estrategia de gobierno en línea en el distrito de Cartagena</t>
  </si>
  <si>
    <t xml:space="preserve">Tramites y servicios realizados </t>
  </si>
  <si>
    <t>Construir un Centro Adminisrativo documental</t>
  </si>
  <si>
    <t>Centro administrativo documental construido.</t>
  </si>
  <si>
    <t>Modernizar y digitalizar 7,000 metros lineales de documentos.(ley 594 de 2000 y demás normas reglamentarias.).</t>
  </si>
  <si>
    <t>Documentos archivísticos  modernizados y digitalizados.</t>
  </si>
  <si>
    <t>Ampliar la cobertura a 75 puntos vive digital en Cartagena y sus corregimientos</t>
  </si>
  <si>
    <t>Número de puntos vive digital  ampliados(puntos kioskps vive digital vivelabs)</t>
  </si>
  <si>
    <t>Llevar internet a 55000 hogares Cartageneros</t>
  </si>
  <si>
    <t>Número de conexiones de hogares</t>
  </si>
  <si>
    <t>650 MIPYMES  con banda ancha en Cartagena</t>
  </si>
  <si>
    <t>Mipymes conectadas a internet,.</t>
  </si>
  <si>
    <t>Creación de emisoras de Radio</t>
  </si>
  <si>
    <t>Numero de emisoras de radio.</t>
  </si>
  <si>
    <t>Ampliar cobertura a 40 puntos de autoconsulta en cartagena y sus corregimientos</t>
  </si>
  <si>
    <t>Número de puntos de autoconsulta ampliados</t>
  </si>
  <si>
    <t>Aumentar los canales actuales para mejorar la navegación y la conectividad de las 24  dependencias del distrito de Cartagena.</t>
  </si>
  <si>
    <t>Interconectividad de las dependencias del distrito.</t>
  </si>
  <si>
    <t>Incrementar a 50 Puntos de acceso a Internet gratuito  en el Distrito de Cartagena</t>
  </si>
  <si>
    <t>Número de puntos de acceso a internet gratuito  incrementado.</t>
  </si>
  <si>
    <t xml:space="preserve">Aumentar a 5 los Canales de atención  al ciudadano  para facilitar el acceso a tramites  del Distrito </t>
  </si>
  <si>
    <t>Canales de atención ampliados</t>
  </si>
  <si>
    <t>DATACENTER ESPEJO (2 DATACENTER)</t>
  </si>
  <si>
    <t xml:space="preserve">NUMERO DE DATACENTER </t>
  </si>
  <si>
    <t xml:space="preserve">207 Sedes conectadas </t>
  </si>
  <si>
    <t>Sedes educativas oficiales con conectividad</t>
  </si>
  <si>
    <t>22 Nuevos sistemas de información desarrollados o integrados a la función pública.</t>
  </si>
  <si>
    <t>Numero de aplicaciones o sistemas de informacion desarrollados</t>
  </si>
  <si>
    <t>Fortalecer el sistema de videoconferencia de las 24 dependencias del distrito de Cartagena</t>
  </si>
  <si>
    <t>Sistema de video conferencia del distrito fortalecido</t>
  </si>
  <si>
    <t>ERP centralizado</t>
  </si>
  <si>
    <t>Erp implementado</t>
  </si>
  <si>
    <t>Realizar 4 encuentros anuales con la ciudadanía para visibilizar la oferta de servicios del distrito.</t>
  </si>
  <si>
    <t>Numero de encuentros realizados</t>
  </si>
  <si>
    <t>Actualizar inventario de 13719 bienes inmuebles del Distrito</t>
  </si>
  <si>
    <t>Inventario de bienes inmuebles del distrito actualizado.</t>
  </si>
  <si>
    <t>Modernizar  Planta  de  Personal  de  la  Alcaldía  de  Cartagena.</t>
  </si>
  <si>
    <t>Planta de personal  modernizada</t>
  </si>
  <si>
    <t>Gestión de calidad</t>
  </si>
  <si>
    <t>Acceso a la información pública</t>
  </si>
  <si>
    <t>Modernización de la información y comunicaciones</t>
  </si>
  <si>
    <t>Fortalecimiento institucional  del archivo del distrito de cartagena</t>
  </si>
  <si>
    <t>Fortalecimiento de la estructura administrativa de la alcaldía de cartagena</t>
  </si>
  <si>
    <t>Identificación de bienes inmuebles del distrito</t>
  </si>
  <si>
    <t>Encuentros con mi gente</t>
  </si>
  <si>
    <t>LÍNEA ESTRATÉGICA CULTURA CIUDADANA YPAZ</t>
  </si>
  <si>
    <t>PROGRAMA EN ARMONÍA CON MI GENTE</t>
  </si>
  <si>
    <t>Lograr que 202.400 ciudadanos adicionales se sientan satisfechos con su ciudad como un lugar para vivir.</t>
  </si>
  <si>
    <t>Número de ciudadanos sotisfechos con Cartagena como un lugar paro vivir</t>
  </si>
  <si>
    <t>Conformar una mesa de barrismo social</t>
  </si>
  <si>
    <t>Número de mesas de barrismo social.</t>
  </si>
  <si>
    <t>Inclusión social y
buenas practicas
ciudadanas</t>
  </si>
  <si>
    <t>Formación para el
barrismo social y
buenas practicas
ciudadanas.</t>
  </si>
  <si>
    <t>Porcentaje de Habitantes que se sienten satistechos con la ciudad de Cartagena como un lugar para vivir</t>
  </si>
  <si>
    <t>Porcentaje de mesas de barrismo social</t>
  </si>
  <si>
    <t>Mejorar a un 60% el índice de satisfacción de la ciudad de Cartagena como un lugar para vivir</t>
  </si>
  <si>
    <t>Alcanzar el 100% lo conformación de una mesa de barrismo social.</t>
  </si>
  <si>
    <t>PROGRAMA LA DEMOCRACIA VA</t>
  </si>
  <si>
    <t>Porcentaje de organizaciones comunales fortalecidas</t>
  </si>
  <si>
    <t>Porcentaje de habitantes que reconocen mal comportamiento en los puntos de encuentro</t>
  </si>
  <si>
    <t>Estrategias  de promocion y divulgación del Patrimonio Material  y la Memoria historica de Cartagena de iNdias, incrementado.</t>
  </si>
  <si>
    <t xml:space="preserve"> Fortalecer en un 70 % de  organizaciones comunales activas para la construcción de tejido social asociativo</t>
  </si>
  <si>
    <t>Disminuir a un 30% el reconocimiento de mal comportamiento ciudadano en los puntos de encuentro.</t>
  </si>
  <si>
    <t>Aumentar  en un 60% las estrategias  de promocion y divulgacion  del   patrimonio material y  la memoria historica de  de Cartagena de Indias.</t>
  </si>
  <si>
    <t>Liderazgo y democracia</t>
  </si>
  <si>
    <t>Fortalecer 262 organizaciones comunales activas en construcción de tejido social</t>
  </si>
  <si>
    <t>Número organizaciones comunales activas fortalecidas en la construcción de tejido social</t>
  </si>
  <si>
    <t>PROGRAMA CULTURA CIUDADANA Y PAZ</t>
  </si>
  <si>
    <t>Reducir a 335.700 el número de ciudadanos que reconocen mal comportamiento en los puntos de encuentro.</t>
  </si>
  <si>
    <t>Ciudadanos que reconocen mal comportamiento en los puntos de encuentro reducidos</t>
  </si>
  <si>
    <t>Cultura ciudadana</t>
  </si>
  <si>
    <t>Ciudadania y pertenencia</t>
  </si>
  <si>
    <t>PROGRAMA VOY CON CARTAGENA</t>
  </si>
  <si>
    <t>2.500 personas fortalecidos con valores de conservación y respeto por el patrimonio de Cartagena</t>
  </si>
  <si>
    <t>Número de ciudadanos que se identifican con su patrimonio</t>
  </si>
  <si>
    <t>LINEA ESTRATEGICA PARTICIPACION Y FORTALECIMIENTO A LA
DESCENTRALIZACIÓN</t>
  </si>
  <si>
    <t>PROGRAMA FORTALECIMIENTO DEL SISTEMA DISTRITAL DE PLANEACIÓN Y
DESCENTRALIZACIÓN</t>
  </si>
  <si>
    <t>Sistema de Información Distrital Actualizado</t>
  </si>
  <si>
    <t>Actualizar en un 100% el Sistema de Información Distrital</t>
  </si>
  <si>
    <t>Realizar las cinco (5) fases que permitan la adopción y aplicación de la nueva estratificación en el Distrito de Cartagena</t>
  </si>
  <si>
    <t>Adopción y aplicación de la nueva Estratificación en Cartagena realizada</t>
  </si>
  <si>
    <t xml:space="preserve">Expedir 12 actos administrativos  anuales en primera instancia donde se resuelven los solicitudes de revisión de estrato </t>
  </si>
  <si>
    <t>Actos administrativos expedidos</t>
  </si>
  <si>
    <t>Diseñar e implementar la Nomenclatura de 261495 Predios y de 5834 Vías en las tres (3) Localidades del Distrito de Cartagena.</t>
  </si>
  <si>
    <t>Nomenclatura en las tres (3) Localidades del Distrito de Cartagena diseñada e implementada</t>
  </si>
  <si>
    <t>Homologar la base de datos con cinco (5) empresas de servicios públicos.</t>
  </si>
  <si>
    <t>Numero de bases de datos con empresas de servicios públicos homologadas</t>
  </si>
  <si>
    <t>Actualizar y Georreferenciar la Información Catastral de 71024 predios en el Distrito de Cartagena.</t>
  </si>
  <si>
    <t>Predios del Distrito de Cartagena, Actualizados y Georreferenciados</t>
  </si>
  <si>
    <t>Aplicar una encuesta de calidad de vida anual</t>
  </si>
  <si>
    <t>Encuesta de Calidad de vida aplicada</t>
  </si>
  <si>
    <t>Actualizar Información Georreferenciada proveniente de las Distintos sectores públicos y privados en el Distrito de Cartagena</t>
  </si>
  <si>
    <t>Información Georreferenciada de los Sectores Públicos y Privados Actualizados</t>
  </si>
  <si>
    <t>Fortalecimiento del
sistema de
Planeación</t>
  </si>
  <si>
    <t>Fortalecimiento a la descentralización</t>
  </si>
  <si>
    <t>Fortalecer los tres (3) Bancos de Programas y Proyectos en las Localidades.</t>
  </si>
  <si>
    <t>No. De Bancos de Programas y Proyectos fortalecidos</t>
  </si>
  <si>
    <t>Capacitar a los Tres (3) Consejos Locales de Planeación, Consejo Territorial de Planeación, Consejo Consultivo de Ordenamiento Territorial para formular proyectos con metodología de
formulación BPIN y MGA.</t>
  </si>
  <si>
    <t>No. De Consejos Locales de Planeación, Consejo Territorial de Planeación, Consejo Consultivo de Ordenamiento Territorial capacitados</t>
  </si>
  <si>
    <t>Ampliar en dos (2) puntos de atención del SISBEN, para la recepción de solicitudes o la demanda, en la zona rural.</t>
  </si>
  <si>
    <t>Puntos de atención del SISBEN, ampliados</t>
  </si>
  <si>
    <t>Fortalecer en infraestructura y tecnológicamente los siete (7) puntos de atención y un centro administrativo y de recepción.</t>
  </si>
  <si>
    <t>Puntos de atención del SISBEN, fortalecidos en Infraestructura y Tecnología</t>
  </si>
  <si>
    <t>Atender 6.300 solicitudes de inconformidades de puntaje anual.</t>
  </si>
  <si>
    <t>Número de solicitudes de inconformidad atendidas</t>
  </si>
  <si>
    <t>Realizar 5 fases para lo Implementación de la Cuarta Metodología del Nuevo SISBEN en el Distrito de Cartagena.</t>
  </si>
  <si>
    <t>Fases del nuevo SISBEN en el Distrito de Cartagena Realizado</t>
  </si>
  <si>
    <t>Asesorar a los Tres (3) Bancos de
Programas y Proyectos en las
Localidades para formular proyectos con los metodologías
de formulación BPIN y MGA.</t>
  </si>
  <si>
    <t>No. De Bancos de Programas y Proyectos asesorados</t>
  </si>
  <si>
    <t>Sisben</t>
  </si>
  <si>
    <t>Formar 250 personas de la localidad de la virgen y Turística</t>
  </si>
  <si>
    <t>Número de personas capacitadas para el Desarrollo</t>
  </si>
  <si>
    <t>Diseñar y ejecutar una estrategia de comunicación para la Planeación Participativa.</t>
  </si>
  <si>
    <t>Estrategia de Comunicación Formulada</t>
  </si>
  <si>
    <t>Crear 4 Consejos de Planeación</t>
  </si>
  <si>
    <t>Numero de Consejos de Planeacion Participativo</t>
  </si>
  <si>
    <t>Realizar 4 Diagnostico Participativos con líneas bases barriales</t>
  </si>
  <si>
    <t>Numero de diagnósticos Participativos realizados</t>
  </si>
  <si>
    <t>Apoyar la Formulación de 4 Planes Estratégicos de Desarrollo</t>
  </si>
  <si>
    <t>Numero de Planes Estratégicos por Unidad Comunera Formulados</t>
  </si>
  <si>
    <t>Sistema de planeación desde el ambito territorial</t>
  </si>
  <si>
    <t>PROGRAMA FORTALECIMIENTO DE ORGANIZACIONES DE PARTICIPACION
CIUDADANA Y COMUNITARIAS</t>
  </si>
  <si>
    <t>% Organizaciones Sociales Fortalecidas para el Desarrollo.</t>
  </si>
  <si>
    <t>% de personas mayores de 10 años que participan en actividades organizadas por la Administración Distrital .</t>
  </si>
  <si>
    <t>70 % Organizaciones Sociales Fortalecidas para el Desarrollo.</t>
  </si>
  <si>
    <t>15% personas mayores de 10 años residentes en Cartagena participan en actividades organizadas por lo Administración Distrital.</t>
  </si>
  <si>
    <t>261 Organizaciones Comunales asesoradas.
Inspecciones, vigiladas y
controladas</t>
  </si>
  <si>
    <t>No de Organización es Comunales , asesoradas, Inspecciones, vigiladas y controladas</t>
  </si>
  <si>
    <t>123,088 Personas que participan en actividades Organizados por la administración distrital</t>
  </si>
  <si>
    <t>No de Personas que participan en actividades Organizadas por la Administracion Distrital.</t>
  </si>
  <si>
    <t>Mejores
Organizaciones
Comunales más
Desarrollo</t>
  </si>
  <si>
    <t>PROGRAMA PRESUPUESTO PARTICIPATIVO</t>
  </si>
  <si>
    <t>Porcentaje de los proyectos de presupuesto participativo contratados.</t>
  </si>
  <si>
    <t xml:space="preserve">Contratar el 100% de los proyectos de presupuesto priorizados </t>
  </si>
  <si>
    <t>Fortalecimiento Del sistema Distrital de Planeación y Descentralización</t>
  </si>
  <si>
    <t>Realizar un nuevo ejercicio de priorización de Presupuesto Participativo en el Distrito</t>
  </si>
  <si>
    <t>Ejercicios de priorización de Presupuesto Participativo realizados en el Distrito</t>
  </si>
  <si>
    <t>Formular e inscribir ante el Banco de Proyectos la totalidad de los nuevos proyectos priorizados por la comunidad</t>
  </si>
  <si>
    <t>Proyectos Priorizados en cada UCG según eje de Inversión.</t>
  </si>
  <si>
    <t>Priorizar los nuevos proyectos concertados por la comunidad</t>
  </si>
  <si>
    <t>Proyectos priorizados contratados</t>
  </si>
  <si>
    <t>Priorizar los 91 proyectos concretados en 2007 y 2009</t>
  </si>
  <si>
    <t>LÍNEA ESTRATÉGICA FINANZAS SANAS YROBUSTAS</t>
  </si>
  <si>
    <t>PROGRAMA FINANZAS PÚBLICAS, SANAS YROBUSTAS</t>
  </si>
  <si>
    <t>%  de incremento sobre el recaudo real sobre el presupuestado (aplica para cada uno de los ingresos corrientes y otras fuentes)</t>
  </si>
  <si>
    <t>Porcentaje de incremento sobre el recaudo real sobre el presupuestado (aplica para cada uno de los ingresos corrientes y otras fuentes) de la siguiente manera: 8% de impuesto predial unificado , en un 7% ICAT, en un 11% delineacion urbana</t>
  </si>
  <si>
    <t>Con más ingresos cartagena va</t>
  </si>
  <si>
    <t>Recaudar $931.838.490.672  del impuesto Predial (vigencia actual+ vigencias anteriores)</t>
  </si>
  <si>
    <t>Monto recaudado de impuesto predial, impuesto de industria y comercio, avisos y tableros, delineacion urbana, contraprestacion portuaria, sobretasa a la gasolina</t>
  </si>
  <si>
    <t xml:space="preserve">$ 761.525.618.031 </t>
  </si>
  <si>
    <t>Recaudar $1.052.980.949.605 del impuesto industria, comercio, avisos y tableros</t>
  </si>
  <si>
    <t xml:space="preserve">$ 839.123.444.306 </t>
  </si>
  <si>
    <t>Recaudar $141.298.575.616  Valor Sobretasa a la gasolina</t>
  </si>
  <si>
    <t>Recaudar $33.340.137.211 Valor Delineación Urbana</t>
  </si>
  <si>
    <t>$ 18.426.359.712</t>
  </si>
  <si>
    <t>Recaudar $18.227.947.566  Valor contraprestación portuaria</t>
  </si>
  <si>
    <t>$ 13.497.534.172</t>
  </si>
  <si>
    <t>Recursos de Cooperación gestionados.</t>
  </si>
  <si>
    <t>Recursos de cooperación internacional gestionados.</t>
  </si>
  <si>
    <t>Cooperación Internacional y
Alianzas para el Desarrollo de
Cartagena</t>
  </si>
  <si>
    <t xml:space="preserve">AVANCE PARCIAL META RESULTADO </t>
  </si>
  <si>
    <t>EJE ESTRATEGICO CARTAGENA INCLUYENTE</t>
  </si>
  <si>
    <t>EJE ESTRATEGICO DESARROLLO ECONOMICO INCLUYENTE</t>
  </si>
  <si>
    <t xml:space="preserve"> EJE ESTRATEGICO MEDIO AMBIENTE YGESTIÓN DEL RIESGO</t>
  </si>
  <si>
    <t xml:space="preserve">28  Programas en la Institucion Tecnologica Colegio Mayor de Bolivar con registro calificado. </t>
  </si>
  <si>
    <t>OBJETIVO</t>
  </si>
  <si>
    <t>RESPONSABLE</t>
  </si>
  <si>
    <t>PROGRAMA COBERTURA E INFRAESTRUCTURA EDUCATIVA</t>
  </si>
  <si>
    <t>SED</t>
  </si>
  <si>
    <t>PROGRAMA LA CALIDAD DIGNIFICA</t>
  </si>
  <si>
    <t>Sub  programa Saber más, Saber mejor</t>
  </si>
  <si>
    <t>Sub  programaMejores Docentes y
Directivos Docentes</t>
  </si>
  <si>
    <t>Sub  programaImpulso al desarrollo de la
Primera Infancia</t>
  </si>
  <si>
    <t>Sub  programa Nadie se va</t>
  </si>
  <si>
    <t>Sub  programa Educación para jóvenes y adultos</t>
  </si>
  <si>
    <t>Sub  programa Plan de Infraestructura</t>
  </si>
  <si>
    <t>Sub  programa Fortalecimiento de la etnoeducación</t>
  </si>
  <si>
    <t>Sub  programa Incorporación de la tecnología en el proceso de enseñanza aprendizajes</t>
  </si>
  <si>
    <t>Sub  programa La escuela como eje integrador de los procesos formativos</t>
  </si>
  <si>
    <t>Sub  programa Educar para la competitividad y la confianza social</t>
  </si>
  <si>
    <t>Sub  programa Escuelas verdes: La conciencia ecológica desde las escuelas</t>
  </si>
  <si>
    <t>Sub  programa Ciudad- escuela: Compromiso de todos</t>
  </si>
  <si>
    <t>Programa Fortalecimiento de la gestión del sistema educativo distrital de Cartagena</t>
  </si>
  <si>
    <t>Sub  programa Fortalecimiento de la gestión y construcción de sinergias por la educación</t>
  </si>
  <si>
    <t>Sub  programa Estandarización de procesos en instituciones educativas oficiales</t>
  </si>
  <si>
    <t>Programa Educación Superior Jóvenes formados con calidad</t>
  </si>
  <si>
    <t>Sub  programa Fortalecimiento de la educación  media técnica y su articulación con la educación superior</t>
  </si>
  <si>
    <t>Sub  programa Fortalecimiento del colegio mayor de bolívar</t>
  </si>
  <si>
    <t>Sub  programa Becas a la excelencia</t>
  </si>
  <si>
    <t>Programa Educar para un nuevo país</t>
  </si>
  <si>
    <t>Sub  programa De jóvenes en riesgo a jóvenes con futuro</t>
  </si>
  <si>
    <t>Sub  programa Implementación de la catedra Cartagena en paz</t>
  </si>
  <si>
    <t>OBJETIVO SUPERAR LA DESIGUALDAD</t>
  </si>
  <si>
    <t>Programa Fortalecimiento de la autoridad sanitaria para la gestión en salud</t>
  </si>
  <si>
    <t>Sub  programa Aseguramiento</t>
  </si>
  <si>
    <t>Sub  programa Prestación y desarrollo de los servicios de salud</t>
  </si>
  <si>
    <t>Sub  programa Desarrollo institucional</t>
  </si>
  <si>
    <t xml:space="preserve">Sub  programa Promoción vigilancia y control del sistema obligatorio de garantía de la calidad de la atención en salud- SOGC </t>
  </si>
  <si>
    <t>Sub  programa Vigilancia y control de medicamentos</t>
  </si>
  <si>
    <t>Sub  programa Sistema de información y aplicaciones</t>
  </si>
  <si>
    <t>Sub  programa Vigilancia en salud publica</t>
  </si>
  <si>
    <t>Sub  programa Gestión del plan de salud publica</t>
  </si>
  <si>
    <t>Programa Transversal gestión diferencial de poblaciones vulnerables</t>
  </si>
  <si>
    <t>Sub  programa Garantía de los deberes y derechos de los grupos poblacionales vulnerables y fortalecimiento de la participación social</t>
  </si>
  <si>
    <t>Sub  programa Promoción y prevención de la salud en la infancia</t>
  </si>
  <si>
    <t>Programa Salud ambiental</t>
  </si>
  <si>
    <t>Sub  programa Vigilancia y control del agua para consumo humano</t>
  </si>
  <si>
    <t>Sub  programa Seguridad sanitaria del ambiente</t>
  </si>
  <si>
    <t>Sub  programa Vigilancia y control de zoonosis</t>
  </si>
  <si>
    <t>Programa Vida saludable y condiciones no transmisibles</t>
  </si>
  <si>
    <t>Sub  programa Prevención y control de enfermedades crónicas no trasmisibles</t>
  </si>
  <si>
    <t>Sub  programa Prevención y control de las alteraciones de la salud oral, visual y auditiva</t>
  </si>
  <si>
    <t>Programa Convivencia social y mental</t>
  </si>
  <si>
    <t>Sub  programa Salud metal</t>
  </si>
  <si>
    <t>Programa Nutrición e inocuidad de alimentos</t>
  </si>
  <si>
    <t>Sub  programa Nutrición</t>
  </si>
  <si>
    <t>Sub  programa Vigilancia y control de alimentos</t>
  </si>
  <si>
    <t>Programa Sexualidad, derechos sexuales y reproductivos</t>
  </si>
  <si>
    <t>Sub  programa  Salud sexual y reproductiva</t>
  </si>
  <si>
    <t>Sub  programa  Prevención de la mortalidad materna y perinatal</t>
  </si>
  <si>
    <t>Programa Vida saludable y enfermedades transmisibles</t>
  </si>
  <si>
    <t>Sub  programa Prevención y control de lepra</t>
  </si>
  <si>
    <t>Sub  programa Prevención y control de tuberculosis</t>
  </si>
  <si>
    <t>Sub  programa Prevención y control de enfermedades inmunoprevenibles</t>
  </si>
  <si>
    <t>Sub  programa Vigilancia y control de enfermedades trasmitidas por vectores</t>
  </si>
  <si>
    <t>Sub  programa Prevención, manejo y control de la infección respiratoria aguda</t>
  </si>
  <si>
    <t>Programa Salud publica en emergencia y desastres</t>
  </si>
  <si>
    <t>Sub  programa  Gestión integral y respuesta en salud ante emergencias y desastres</t>
  </si>
  <si>
    <t>Programa Salud y ámbito laboral</t>
  </si>
  <si>
    <t>Sub  programa Seguridad y salud en el trabajo</t>
  </si>
  <si>
    <t>Sub  programa Situaciones prevalentes de origen laboral</t>
  </si>
  <si>
    <t>DADIS</t>
  </si>
  <si>
    <t>Sub  programa Patrimonio, identidad y memoria</t>
  </si>
  <si>
    <t>Programa Patrimonio, identidad y memoria</t>
  </si>
  <si>
    <t>Sub  programa  Contextos poblacionales: Diversidad e interculturalidad</t>
  </si>
  <si>
    <t>Sub  programa  Cartagena investiga y divulga su patrimonio cultural</t>
  </si>
  <si>
    <t>Programa Fomento al arte y cultura para la vida</t>
  </si>
  <si>
    <t>Sub  programa Leer para crecer</t>
  </si>
  <si>
    <t>Sub  programa Creación, Artística Formación y fortalecimiento a artistas</t>
  </si>
  <si>
    <t>Sub  programa Cartagena, escenario de arte</t>
  </si>
  <si>
    <t>Sub  programa Escenarios para las artes</t>
  </si>
  <si>
    <t>Sub  programa Economía cultural y creativa</t>
  </si>
  <si>
    <t>Programa Economía cultural y creativa</t>
  </si>
  <si>
    <t>Programa Fortalecer la institucionalidad cultural y la participación ciudadana</t>
  </si>
  <si>
    <t>Sub  programa Hagámoslo bien, institucionalidad cultural publica</t>
  </si>
  <si>
    <t>Sub  programa Sistema distrital de cultura</t>
  </si>
  <si>
    <t>Sub  programa Formación en gestión cultural</t>
  </si>
  <si>
    <t>Sub  programa Sistema de información cultural</t>
  </si>
  <si>
    <t>IPCC</t>
  </si>
  <si>
    <t>Programa Escuela de iniciación y formación deportiva “Escuela deporte”</t>
  </si>
  <si>
    <t>Programa Deporte juvenil</t>
  </si>
  <si>
    <t>Programa Hábitos y estilos de vida saludable</t>
  </si>
  <si>
    <t>Programa Infraestructura deportiva</t>
  </si>
  <si>
    <t>Programa Deporte social y comunitario</t>
  </si>
  <si>
    <t>Programa Deporte asociado</t>
  </si>
  <si>
    <t>Programa Observatorio de ciencias aplicadas al deporte de Cartagena de indias</t>
  </si>
  <si>
    <t>Sub  programa Escuela de iniciación y formación deportiva “escuela deporte”</t>
  </si>
  <si>
    <t>Sub  programa Deporte juvenil</t>
  </si>
  <si>
    <t>Sub  programa Promoción masiva de una vida activa “actívate por tu salud”</t>
  </si>
  <si>
    <t>Sub  programa Eventos recreativos y comunitarios “recreando la gente”</t>
  </si>
  <si>
    <t>Sub  programa Construcción , adecuación, mejoramiento y mantenimiento de los escenarios deportivos “más gente integrada”</t>
  </si>
  <si>
    <t>Sub  programa Deporte y Recreación con Inclusión Social "Gente Diversa"</t>
  </si>
  <si>
    <t>Sub  programa Deporte Social y Comunitario " Primero la Gente, Primero el Deporte"</t>
  </si>
  <si>
    <t>Sub  programa Juegos deportivos nacionales</t>
  </si>
  <si>
    <t>Sub  programa Cartagena de Indias, Sin fronteras al deporte</t>
  </si>
  <si>
    <t>Sub  programa Deporte Asociado "Primero el Talento Deportivo"</t>
  </si>
  <si>
    <t>Sub  programa Observatorio de ciencias aplicadas al deporte de Cartagena de indias</t>
  </si>
  <si>
    <t>IDER</t>
  </si>
  <si>
    <t>Programa  Superación de la pobreza extrema y la desigualdad</t>
  </si>
  <si>
    <t>Sub  programa Identificación para la
Superación de Pobreza y Desigualdad</t>
  </si>
  <si>
    <t>Sub  programa Salud paro la Superación
de pobreza y
Desigualdad</t>
  </si>
  <si>
    <t>Sub  programa Educación para la
Superación de pobreza y Desigualdad</t>
  </si>
  <si>
    <t>Sub  programa Habitabilidad para la
Superación de pobreza y
Desigualdad</t>
  </si>
  <si>
    <t>Sub  programa Ingreso y Trabajo para la
superación de pobreza y
desigualdad</t>
  </si>
  <si>
    <t>Sub  programa Bancarización y Ahorro
Paro lo Superación de
Pobreza y Desigualdad</t>
  </si>
  <si>
    <t>Sub  programa Acceso a lo Justicia para
la superación de pobreza
y desigualdad</t>
  </si>
  <si>
    <t>Sub  programa Dinámica Familiar depara
la superación de pobreza
y desigualdad</t>
  </si>
  <si>
    <t>Sub  programa Nutrición y seguridad alimentaria para la superación de la pobreza y desigualdad</t>
  </si>
  <si>
    <t>Sub  programa Fortalecimiento institucional para la superación de pobreza y desigualdad</t>
  </si>
  <si>
    <t>PES</t>
  </si>
  <si>
    <t>Programa Primera infancia feliz y protegida</t>
  </si>
  <si>
    <t>Sub  programa Mi primera infancia feliz y acogida por mi familia</t>
  </si>
  <si>
    <t>LÍNEA ESTRATÉGICA GENTE DE ESPECIAL PROTECCIÓN CONSTITUCIONAL:</t>
  </si>
  <si>
    <t>Programa Niñez y adolescencia feliz y protegida</t>
  </si>
  <si>
    <t>Programa Envejecimiento activo y saludable</t>
  </si>
  <si>
    <t>Programa Una vida libre de violencias para las mujeres</t>
  </si>
  <si>
    <t>Programa Primero tú mujer, en el ejercicio del poder</t>
  </si>
  <si>
    <t>Programa Primero tú mujer</t>
  </si>
  <si>
    <t>Programa Gente de especial protección constitucional reconocidas, emporadas y respetadas</t>
  </si>
  <si>
    <t>Programa Protección y atención integral a las personas con discapacidad, su familia y / o cuidador</t>
  </si>
  <si>
    <t>Programa Habitante de calle integrado a la sociedad</t>
  </si>
  <si>
    <t>Programa Fortalecimiento de los grupos étnicos en el distrito</t>
  </si>
  <si>
    <t>Programa Observatorio distrital de discriminación</t>
  </si>
  <si>
    <t>Sub  programa Niñez y adolescencia feliz con espacios para la formación, protección y garantía de sus derechos</t>
  </si>
  <si>
    <t>Sub  programa Niñez y Adolescencia Activa con Espacios para lo Lúdica, la Participación y la Incidencia en su Propio Desarrollo</t>
  </si>
  <si>
    <t>Sub  programa Gente joven participando y a salvo</t>
  </si>
  <si>
    <t>Sub  programa Promoción,
prevención y
erradicación del
maltrato y/o el
abandono o los
personas mayores</t>
  </si>
  <si>
    <t>Sub  programa Participación y
fortalecinnienfo a
organizaciones de
personas mayores
para la incidencia
política y/o
ciudadano.</t>
  </si>
  <si>
    <t>Sub  programa Sistema integrado de atención a personas mayores - SIAM</t>
  </si>
  <si>
    <t>Sub  programa Promoción del autocuidado y hábitos de vida saludable</t>
  </si>
  <si>
    <t>Sub  programa Generación de
ingresos</t>
  </si>
  <si>
    <t>Sub  programa Atención integral</t>
  </si>
  <si>
    <t>Sub  programa Primero Tú
mujer, libre de
Violencias</t>
  </si>
  <si>
    <t>Sub  programa Primero Tú Mujer en
el Ejercicio del Poder</t>
  </si>
  <si>
    <t>Sub  programa Primero tú mujer, constructora de paz</t>
  </si>
  <si>
    <t>Sub  programa Diversidad sexual</t>
  </si>
  <si>
    <t>Sub  programa Políticas integradora Focalizado de Inclusión Social a las PcD.</t>
  </si>
  <si>
    <t>Sub  programa Atención intersectorial para el desarrollo local de la población con discapacidad</t>
  </si>
  <si>
    <t>Sub  programa Gerencia social transectorial para transformar imaginarios de la discapacidad</t>
  </si>
  <si>
    <t xml:space="preserve">Sub  programa Fortalecimiento Institucional del Sistema Distrital de Discapacidad e Inclusión Social </t>
  </si>
  <si>
    <t>Sub  programa Atención humanitaria a los habitantes de la calle</t>
  </si>
  <si>
    <t>Sub  programa Afrodescendientes e indígenas</t>
  </si>
  <si>
    <t>Sub  programa Observatorio distrital de discriminación</t>
  </si>
  <si>
    <t>Programa Jóvenes innovadores con esperanza y futuro</t>
  </si>
  <si>
    <t>LÍNEA ESTRATÉGICA CARTAGENA CIUDAD PARA INVERTIR</t>
  </si>
  <si>
    <t>OBJETIVO ADAPTAR EL TERRITORIO PARA LA GENTE</t>
  </si>
  <si>
    <t>Programa Cartagena Ciudad para Invertir</t>
  </si>
  <si>
    <t>Sub  programa Fortalecimiento institucional para la competitividad y crecimiento económico</t>
  </si>
  <si>
    <t>Sub  programa Con ciencia, tecnología e innovación Cartagena va</t>
  </si>
  <si>
    <t>Sub  programa Inclusión Para la Transfornnación de la Informalidad</t>
  </si>
  <si>
    <t>Sub  programa Primero tú mujer con autonomía económica</t>
  </si>
  <si>
    <t>Sub  programa Gente joven y emprendedora</t>
  </si>
  <si>
    <t>Sub  programa Emprendimiento étnico</t>
  </si>
  <si>
    <t>Sub  programa Nueva y variada oferta</t>
  </si>
  <si>
    <t>Sub  programa Cartagena destino
turístico sostenible y de
Calidad</t>
  </si>
  <si>
    <t>Sub  programa Apertura y consolidación de mercados emisores estratégicos a nivel nacional e internacional</t>
  </si>
  <si>
    <t>Sub  programa Turismo responsable e
incluyente.</t>
  </si>
  <si>
    <t>Sub  programa Cartagena más
conectada</t>
  </si>
  <si>
    <t>HACIENDA</t>
  </si>
  <si>
    <t>CORPOTURISMO</t>
  </si>
  <si>
    <t>GERENCIA DE ESPACIO PUBLICO</t>
  </si>
  <si>
    <t>INTERIOR</t>
  </si>
  <si>
    <t>Competitividad social</t>
  </si>
  <si>
    <t>Sub  programa Proyectos entre
Ciudades</t>
  </si>
  <si>
    <t>Sub  programa Competitividad social</t>
  </si>
  <si>
    <t>Sub  programa Comerciantes de los
mercados públicos de
Cartogeno con
condiciones mejoradas</t>
  </si>
  <si>
    <t>Sub  programa Red de mercados públicos
para Cartagena</t>
  </si>
  <si>
    <t>Sub  programa Reactivación del campo para la gente</t>
  </si>
  <si>
    <t>Sub  programa Reactivación sostenible, del sector pecuario para la gente</t>
  </si>
  <si>
    <t>Sub  programa Sostenibilidad de la pesca y acuicultura para la gente</t>
  </si>
  <si>
    <t>Sub  programa Asociaciones rurales organizadas y fortalecidas para la producción agropecuaria diversificada y competitiva</t>
  </si>
  <si>
    <t>PROGRAMA EDUCACIÓN Y CULTURA AMBIENTAL</t>
  </si>
  <si>
    <t>PROGRAMA DESARROLLO URBANO TERRITORIA</t>
  </si>
  <si>
    <t>Implementación de
los instrumentos de
planificación y
gestión</t>
  </si>
  <si>
    <t>Fortolecimiento a la
Dinámico Urbana y
Territorial "Ojos En
Lo Ciudad"</t>
  </si>
  <si>
    <t>PROGRAMA SISTEMA DE LAGOS Y CAÑOS COMO SOPORTE ESTRUCTURAL</t>
  </si>
  <si>
    <t>LÍNEA ESTRATÉGICA ESPACIO PUBLICO Y MOVILIDAD PARA LA GENTE</t>
  </si>
  <si>
    <t>Sistema integrado de transporte masivo y multimodal</t>
  </si>
  <si>
    <t>Sub  programa Todas y todos conocedores de la situación de nuestro territorio (conocimiento del riesgo)</t>
  </si>
  <si>
    <t>Sub  programa Comunidades menos vulnerables (reducción del riesgo)</t>
  </si>
  <si>
    <t>Sub  programa Barrios más resilientes (manejo de desastre)</t>
  </si>
  <si>
    <t>Sub  programa Diseño de Ingeniería
de detalle del Plan
Maestro de Drenajes
pluviales - PMDP</t>
  </si>
  <si>
    <t>Sub  programa Construcción de
canales en el plan
maestro de drenajes</t>
  </si>
  <si>
    <t>Sub  programa Planificación del
ordenamiento del
territorio</t>
  </si>
  <si>
    <t>Sub  programa Implementación de
los instrumentos de
planificación y
gestión</t>
  </si>
  <si>
    <t>Sub  programa Plan de manejo y
protección
patrimonial-</t>
  </si>
  <si>
    <t>Sub  programa Fortalecimiento a la
Dinámico Urbana y
Territorial "Ojos En
Lo Ciudad"</t>
  </si>
  <si>
    <t>Sub  programa Fortalecimiento Del
Sistema Catastral
Del Distrito</t>
  </si>
  <si>
    <t>Sub  programa Construcción y rehabilitación de vías</t>
  </si>
  <si>
    <t>Sub  programa Construcción vías regionales</t>
  </si>
  <si>
    <t>Sub  programa Construcción de vías urbanas</t>
  </si>
  <si>
    <t>Sub  programa Construcción zonas de espacio público</t>
  </si>
  <si>
    <t>Sub  programa Recuperación  de los cuerpos de agua internos</t>
  </si>
  <si>
    <t>Sub  programa Cartagena competitiva y compatible con el clima  4C</t>
  </si>
  <si>
    <t xml:space="preserve">Sub  programa Plan estratégico de recuperación y protección del espacio </t>
  </si>
  <si>
    <t>Sub  programa Más espacio público para la gente</t>
  </si>
  <si>
    <t>Sub  programa Sistema de información y de gestión</t>
  </si>
  <si>
    <t>Sub  programa Reglamentación y
gestión de espacio
público efectivo
priorizado</t>
  </si>
  <si>
    <t>Sub  programa Plan integral de gestión de ares publicas verdes</t>
  </si>
  <si>
    <t>Sub  programa Mejor cultura ciudadana más seguridad vial</t>
  </si>
  <si>
    <t>Sub  programa Desplazamiento ordenado en menor tiempo</t>
  </si>
  <si>
    <t>Sub  programa Movilidad para la gente</t>
  </si>
  <si>
    <t>Sub  programa Sistema integrado de transporte masivo y multimodal</t>
  </si>
  <si>
    <t>Sub  programa Construcción de vivienda nueva</t>
  </si>
  <si>
    <t>Sub  programa Mi casa mejorada (mejoramiento de vivienda)</t>
  </si>
  <si>
    <t>Sub  programa Mi casa, mi titulo (legalización y titulación de predios)</t>
  </si>
  <si>
    <t>Sub  programa Aseo</t>
  </si>
  <si>
    <t>Sub  programa Alumbrado</t>
  </si>
  <si>
    <t>Sub  programa Energia</t>
  </si>
  <si>
    <t>Sub  programa Cementerios</t>
  </si>
  <si>
    <t>Sub  programa Acueducto y alcantarillado</t>
  </si>
  <si>
    <t>Sub  programa Cartagena certificada en servicios publicos</t>
  </si>
  <si>
    <t xml:space="preserve"> EJE ESTRATEGICO TERRITORIO SOSTENIBLE, ORDENADO, EQUITATIVO E INCLUYENTE</t>
  </si>
  <si>
    <t>LÍNEA ESTRATÉGICA: TERRITORIO ORDENADO Y PLANIFICADO</t>
  </si>
  <si>
    <t>EPA</t>
  </si>
  <si>
    <t>PLANEACIÒN</t>
  </si>
  <si>
    <t>PROGRAMA CARTAGENA SOSTENIBLE Y COMPETITIVA</t>
  </si>
  <si>
    <t>CORVIVIENDA</t>
  </si>
  <si>
    <t>UMATA</t>
  </si>
  <si>
    <t>OBJETIVO CONSTRUIR CIUDADANIA Y FORTALECER LA
INSTITUCIONALIDAD</t>
  </si>
  <si>
    <t>EJE ESTRATÉGICO FORTALECIMIENTO INSTITUCIONAL</t>
  </si>
  <si>
    <t>PROGRAMA FORTALECIMIENTO DE COMPETENCIAS DEL SERVIDOR</t>
  </si>
  <si>
    <t>Nueva
estratificación</t>
  </si>
  <si>
    <t>PROGRAMA FORTALECIMIENTO DE ORGANIZACIONES DE PARTICIPACION</t>
  </si>
  <si>
    <t>ESTADO INDICADORES TABLERO DE CONTROL</t>
  </si>
  <si>
    <t>CALIFICACIÓN</t>
  </si>
  <si>
    <t>Ato</t>
  </si>
  <si>
    <t xml:space="preserve">Medio </t>
  </si>
  <si>
    <t>Bajo</t>
  </si>
  <si>
    <t>OBJETIVOS</t>
  </si>
  <si>
    <t>PARCIALES</t>
  </si>
  <si>
    <t>OBJ 1 Superar la Desigualdad</t>
  </si>
  <si>
    <t>OBJ 2 Adaptar el Territorio Para la Gente</t>
  </si>
  <si>
    <t>OBJ 3 Construir Ciudadania y Fortalecer la Institucionalidad</t>
  </si>
  <si>
    <t>Plan de Desarrollo</t>
  </si>
  <si>
    <t>GENERAL</t>
  </si>
  <si>
    <t>LINEA ESTRATÉGICA CARTAGENA ESCENARIO NATURAL PARA EL ARTE LA CULTURA Y EL PATRIMONIO</t>
  </si>
  <si>
    <t>DISTRISEGURIDAD</t>
  </si>
  <si>
    <t>GENERAL
EGYL</t>
  </si>
  <si>
    <t xml:space="preserve">AVANCE PARCIAL META PRODUCTO </t>
  </si>
  <si>
    <t xml:space="preserve">52 de IEO con Programas de emprendimiento y empresarismo desarrollados. </t>
  </si>
  <si>
    <t>Participación y
fortalecimiento a
organizaciones de
personas mayores
para la incidencia
política y/o
ciudadano.</t>
  </si>
  <si>
    <t>PROTECCIÓN ANIMAL</t>
  </si>
  <si>
    <t>DATT</t>
  </si>
  <si>
    <t>TRANSCARIBE</t>
  </si>
  <si>
    <t>III TRIMESTRE</t>
  </si>
  <si>
    <t>I TRIMESTRE</t>
  </si>
  <si>
    <t>II TRIMESTRE</t>
  </si>
  <si>
    <t>PROGRAMA GESTIÓN PÚBLICA LOCAL TRANSPARENTE</t>
  </si>
  <si>
    <t>Sub  programa Actualización de
Currículos Escolares</t>
  </si>
  <si>
    <t>Sub  programa Escuelas Bilingües</t>
  </si>
  <si>
    <t>PARTICIPACIÓN Y SECRETARIA DEL INTERIOR</t>
  </si>
  <si>
    <t>PARTICIPACIÓN</t>
  </si>
  <si>
    <t>SEC. DEL INTERIOR</t>
  </si>
  <si>
    <t>PLANEACIÓN</t>
  </si>
  <si>
    <t>INFRAESTRUCTURA</t>
  </si>
  <si>
    <t>GESTIÓN DEL RIESGO</t>
  </si>
  <si>
    <t>VALORIZACIÓN</t>
  </si>
  <si>
    <t>VALORIZACIÓN Y PLANEACIÓN</t>
  </si>
  <si>
    <t>Sub  programa Protección Costera</t>
  </si>
  <si>
    <t>PLANEACIÓN-VALORIZACIÓN-DISTRISEGURIDAD</t>
  </si>
  <si>
    <t>DATT-GEPM-PLANEACION</t>
  </si>
  <si>
    <t>SRÍA GENERAL OFICINA DE SERVICIOS PUBLICOS</t>
  </si>
  <si>
    <t>ESCUELA DE GOBIERNO Y LIDERAZGO</t>
  </si>
  <si>
    <t xml:space="preserve">
ESCUELA DE GOBIERNO Y LIDERAZGO</t>
  </si>
  <si>
    <t xml:space="preserve"> Escenarios culturales</t>
  </si>
  <si>
    <t>Incrementar hasta 6461 la participación de los adultos en acciones de prevención de riesgos sociales que afectan a los niños, niñas y adolescentes para el fortalecimiento de vínculos afectivos y entornos protectores</t>
  </si>
  <si>
    <t>Incrementar hasta 16 las iniciativas Productivas impulsadas con padres de familia comprometidos con la protección y el desarrollo de los niños, niños y adolescentes de su entorno hogar</t>
  </si>
  <si>
    <t>Implementar una Campaña de Comunicación Ciudadana para la prevención de la violencia sexual</t>
  </si>
  <si>
    <t>Aumentar la atención hasta 448 habitantes de calle mediante rutas de atención integral.</t>
  </si>
  <si>
    <t>Formular 4 planes de
etnodesarrollo en igual
número de comunidades
Afro y articular los 4
planes de Etnodesarrollo
al plan de Desarrollo
Distrital.</t>
  </si>
  <si>
    <t>Capacitar a 3000 personas en gestión de riesgo de desastres</t>
  </si>
  <si>
    <t>META NUMERICA PRODUCTO</t>
  </si>
  <si>
    <t>INDICADOR PRODUCTO</t>
  </si>
  <si>
    <t>NIVEL DE EFICACIA.</t>
  </si>
  <si>
    <t>Sub  programa Primero la escuela</t>
  </si>
  <si>
    <t>Plan Integral  de  Seguridad y Convivencia</t>
  </si>
  <si>
    <t>Fortalecer  la gestión y ejecución de  los proyectos dentro del Plan Integral  de  Seguridad y Convivencia</t>
  </si>
  <si>
    <t>PROGRAMA FINANZAS PÚBLICAS, SANAS Y ROBUSTAS</t>
  </si>
  <si>
    <t>barrio modelo que se adopta al cambio climático seleccionado y diseñado.</t>
  </si>
  <si>
    <t>Comerciantes de los
mercados públicos de
Cartogena con
condiciones mejoradas</t>
  </si>
  <si>
    <t>1.600 comerciantes
 con mejores
 condiciones de
 higiene,
 salubridad y
 aseo.</t>
  </si>
  <si>
    <t>Elaborar 1 estudio para lo determinación de los condiciones técnicas y financieras del nuevo esquema del
servicio de alumbrado.</t>
  </si>
  <si>
    <t>Apoyo institucional a la construcción de dos (2) subestaciones de energía para repotenciar el sistema eléctrico de la zona de Manzanillo, Zona Norte, Centro, Bocagrande, Castillogrande, Laguito, y Chambacú del Distrito.</t>
  </si>
  <si>
    <t>Legalizar el servicio de energía en 35 sectores subnormales del Distrito.</t>
  </si>
  <si>
    <t>8 Acciones de memoria Histórica contadas desde los mujeres</t>
  </si>
  <si>
    <r>
      <t xml:space="preserve">Realizar seguimiento a la adherencia </t>
    </r>
    <r>
      <rPr>
        <sz val="11"/>
        <color indexed="8"/>
        <rFont val="Calibri"/>
        <family val="2"/>
      </rPr>
      <t>a la guía de manejo de cáncer infantil a los 56 niños diagnosticados</t>
    </r>
  </si>
  <si>
    <t xml:space="preserve"> Sostenibilidad de la pesca y acuicultura para la gente</t>
  </si>
  <si>
    <t>VI TRIMESTRE</t>
  </si>
  <si>
    <t>+</t>
  </si>
  <si>
    <t>IV TRIMESTRE</t>
  </si>
  <si>
    <t>Lograr que 1.064 prestadores de servicios de salud realicen el proceso de autoevaluación de sus servicios de salud</t>
  </si>
  <si>
    <t>Operativos de control a espectáculos públicos realizados en el Distrito</t>
  </si>
  <si>
    <t>Prevención y control de enfermedades crónicas no transmisibles en el Distrito de Cartagena</t>
  </si>
  <si>
    <t>%</t>
  </si>
  <si>
    <t>AVANCE METAS PRODUCTO A JUN 2019</t>
  </si>
  <si>
    <t>AVANCE PARCIAL METAS A JUNIO 2019 "PLAN DE DESARROLLO PRIMERO LA GENTE  2016 -2019."</t>
  </si>
  <si>
    <t>A JUNIO 2019, ESTOS SON LOS RANGOS.</t>
  </si>
  <si>
    <t>Mayor o igual a 78,75% hasta 100%</t>
  </si>
  <si>
    <t>Mayor o igual a 52,5% y menor a 78,74%</t>
  </si>
  <si>
    <t>Menor a 52,4%</t>
  </si>
  <si>
    <t>JUNIO (2019)</t>
  </si>
  <si>
    <t>JUNIO (2018)</t>
  </si>
  <si>
    <t>LÍNEA ESTRATÉGICA FINANZAS SANAS Y ROBUSTAS</t>
  </si>
  <si>
    <t>Programa promoción y Grantía de los derechos humanos de las personas mayores</t>
  </si>
  <si>
    <t>Deporte Estudiantil</t>
  </si>
  <si>
    <t>JUNIO  (2019)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</si>
</sst>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1" formatCode="_-* #,##0_-;\-* #,##0_-;_-* &quot;-&quot;_-;_-@_-"/>
    <numFmt numFmtId="43" formatCode="_-* #,##0.00_-;\-* #,##0.00_-;_-* &quot;-&quot;??_-;_-@_-"/>
    <numFmt numFmtId="164" formatCode="_(&quot;$&quot;\ * #,##0_);_(&quot;$&quot;\ * \(#,##0\);_(&quot;$&quot;\ * &quot;-&quot;_);_(@_)"/>
    <numFmt numFmtId="165" formatCode="_(&quot;$&quot;\ * #,##0.00_);_(&quot;$&quot;\ * \(#,##0.00\);_(&quot;$&quot;\ * &quot;-&quot;??_);_(@_)"/>
    <numFmt numFmtId="166" formatCode="0.0%"/>
    <numFmt numFmtId="167" formatCode="_-* #,##0_-;\-* #,##0_-;_-* &quot;-&quot;??_-;_-@_-"/>
    <numFmt numFmtId="168" formatCode="_(&quot;$&quot;\ * #,##0_);_(&quot;$&quot;\ * \(#,##0\);_(&quot;$&quot;\ * &quot;-&quot;??_);_(@_)"/>
    <numFmt numFmtId="169" formatCode="_-* #,##0.0_-;\-* #,##0.0_-;_-* &quot;-&quot;??_-;_-@_-"/>
    <numFmt numFmtId="170" formatCode="0.000%"/>
    <numFmt numFmtId="171" formatCode="0.000"/>
    <numFmt numFmtId="172" formatCode="0.0000"/>
    <numFmt numFmtId="173" formatCode="0.0"/>
  </numFmts>
  <fonts count="60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indexed="8"/>
      <name val="Calibri"/>
      <family val="2"/>
    </font>
    <font>
      <b/>
      <sz val="12"/>
      <name val="Arial"/>
      <family val="2"/>
    </font>
    <font>
      <sz val="10"/>
      <name val="Arial"/>
      <family val="2"/>
    </font>
    <font>
      <sz val="11"/>
      <name val="Verdana"/>
      <family val="2"/>
    </font>
    <font>
      <b/>
      <sz val="14"/>
      <name val="Arial Narrow"/>
      <family val="2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u/>
      <sz val="8.8000000000000007"/>
      <color theme="10"/>
      <name val="Calibri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1"/>
      <name val="Calibri"/>
      <family val="2"/>
      <scheme val="minor"/>
    </font>
    <font>
      <sz val="10"/>
      <color theme="1"/>
      <name val="Arial"/>
      <family val="2"/>
    </font>
    <font>
      <sz val="10"/>
      <color rgb="FF33CC33"/>
      <name val="Arial"/>
      <family val="2"/>
    </font>
    <font>
      <b/>
      <sz val="11"/>
      <color theme="1"/>
      <name val="Arial"/>
      <family val="2"/>
    </font>
    <font>
      <sz val="8"/>
      <color theme="1"/>
      <name val="Arial"/>
      <family val="2"/>
    </font>
    <font>
      <sz val="20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Arial Narrow"/>
      <family val="2"/>
    </font>
    <font>
      <sz val="12"/>
      <color theme="1"/>
      <name val="Calibri"/>
      <family val="2"/>
      <scheme val="minor"/>
    </font>
    <font>
      <sz val="14"/>
      <color theme="1"/>
      <name val="Arial"/>
      <family val="2"/>
    </font>
    <font>
      <sz val="14"/>
      <color theme="1"/>
      <name val="Calibri"/>
      <family val="2"/>
      <scheme val="minor"/>
    </font>
    <font>
      <b/>
      <sz val="17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26"/>
      <color theme="1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2"/>
      <color rgb="FF002060"/>
      <name val="Calibri"/>
      <family val="2"/>
      <scheme val="minor"/>
    </font>
    <font>
      <sz val="12"/>
      <color rgb="FF222222"/>
      <name val="Arial"/>
      <family val="2"/>
    </font>
    <font>
      <sz val="12"/>
      <color rgb="FF00B050"/>
      <name val="Arial"/>
      <family val="2"/>
    </font>
    <font>
      <sz val="12"/>
      <color rgb="FFFF0000"/>
      <name val="Arial"/>
      <family val="2"/>
    </font>
    <font>
      <b/>
      <sz val="12"/>
      <color theme="1"/>
      <name val="Arial"/>
      <family val="2"/>
    </font>
    <font>
      <b/>
      <sz val="12"/>
      <color rgb="FFFF0000"/>
      <name val="Arial"/>
      <family val="2"/>
    </font>
    <font>
      <b/>
      <sz val="16"/>
      <color theme="1"/>
      <name val="Calibri"/>
      <family val="2"/>
      <scheme val="minor"/>
    </font>
    <font>
      <b/>
      <sz val="14"/>
      <color theme="1"/>
      <name val="Arial"/>
      <family val="2"/>
    </font>
    <font>
      <sz val="8"/>
      <color rgb="FF00B05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rgb="FF00B050"/>
      <name val="Arial Narrow"/>
      <family val="2"/>
    </font>
    <font>
      <sz val="11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color rgb="FFFF0000"/>
      <name val="Arial"/>
      <family val="2"/>
    </font>
    <font>
      <sz val="11"/>
      <color theme="1"/>
      <name val="Arial"/>
      <family val="2"/>
    </font>
    <font>
      <b/>
      <sz val="8.8000000000000007"/>
      <color theme="1"/>
      <name val="Calibri"/>
      <family val="2"/>
    </font>
    <font>
      <sz val="8.8000000000000007"/>
      <color theme="1"/>
      <name val="Calibri"/>
      <family val="2"/>
    </font>
    <font>
      <b/>
      <sz val="10"/>
      <color theme="1"/>
      <name val="Arial"/>
      <family val="2"/>
    </font>
    <font>
      <b/>
      <sz val="12"/>
      <color rgb="FF00B050"/>
      <name val="Arial"/>
      <family val="2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rgb="FFFF0000"/>
      <name val="Calibri"/>
      <family val="2"/>
      <scheme val="minor"/>
    </font>
    <font>
      <sz val="8"/>
      <color rgb="FF00B050"/>
      <name val="Arial"/>
      <family val="2"/>
    </font>
    <font>
      <sz val="8"/>
      <color theme="1"/>
      <name val="Century Gothic"/>
      <family val="2"/>
    </font>
    <font>
      <sz val="8"/>
      <name val="Calibri"/>
      <family val="2"/>
      <scheme val="minor"/>
    </font>
    <font>
      <sz val="8"/>
      <color theme="1"/>
      <name val="Arial Narrow"/>
      <family val="2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33CC3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2" tint="-0.249977111117893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</borders>
  <cellStyleXfs count="8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</cellStyleXfs>
  <cellXfs count="845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2" xfId="0" applyFont="1" applyBorder="1" applyAlignment="1">
      <alignment vertical="center" wrapText="1"/>
    </xf>
    <xf numFmtId="9" fontId="0" fillId="2" borderId="1" xfId="0" applyNumberFormat="1" applyFill="1" applyBorder="1" applyAlignment="1">
      <alignment horizontal="center"/>
    </xf>
    <xf numFmtId="9" fontId="0" fillId="2" borderId="1" xfId="0" applyNumberFormat="1" applyFill="1" applyBorder="1" applyAlignment="1">
      <alignment horizontal="center" vertical="center"/>
    </xf>
    <xf numFmtId="0" fontId="0" fillId="0" borderId="3" xfId="0" applyFont="1" applyBorder="1" applyAlignment="1">
      <alignment vertical="center" wrapText="1"/>
    </xf>
    <xf numFmtId="166" fontId="13" fillId="2" borderId="1" xfId="7" applyNumberFormat="1" applyFont="1" applyFill="1" applyBorder="1" applyAlignment="1">
      <alignment horizontal="center" vertical="center"/>
    </xf>
    <xf numFmtId="0" fontId="0" fillId="0" borderId="0" xfId="0" applyBorder="1"/>
    <xf numFmtId="0" fontId="12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10" fontId="8" fillId="0" borderId="1" xfId="7" applyNumberFormat="1" applyFont="1" applyBorder="1" applyAlignment="1">
      <alignment horizontal="center" vertical="top"/>
    </xf>
    <xf numFmtId="10" fontId="8" fillId="0" borderId="1" xfId="7" applyNumberFormat="1" applyFont="1" applyBorder="1" applyAlignment="1">
      <alignment horizontal="center"/>
    </xf>
    <xf numFmtId="10" fontId="12" fillId="3" borderId="1" xfId="0" applyNumberFormat="1" applyFont="1" applyFill="1" applyBorder="1" applyAlignment="1">
      <alignment horizontal="center" vertical="top"/>
    </xf>
    <xf numFmtId="0" fontId="0" fillId="0" borderId="1" xfId="0" applyBorder="1" applyAlignment="1">
      <alignment horizontal="center"/>
    </xf>
    <xf numFmtId="10" fontId="8" fillId="0" borderId="1" xfId="7" applyNumberFormat="1" applyFont="1" applyBorder="1" applyAlignment="1">
      <alignment horizontal="center"/>
    </xf>
    <xf numFmtId="9" fontId="8" fillId="2" borderId="1" xfId="7" applyFont="1" applyFill="1" applyBorder="1" applyAlignment="1">
      <alignment horizontal="center"/>
    </xf>
    <xf numFmtId="9" fontId="8" fillId="0" borderId="1" xfId="7" applyFont="1" applyBorder="1" applyAlignment="1">
      <alignment horizontal="center"/>
    </xf>
    <xf numFmtId="9" fontId="8" fillId="3" borderId="1" xfId="7" applyFont="1" applyFill="1" applyBorder="1" applyAlignment="1">
      <alignment horizontal="center"/>
    </xf>
    <xf numFmtId="10" fontId="8" fillId="2" borderId="1" xfId="7" applyNumberFormat="1" applyFont="1" applyFill="1" applyBorder="1" applyAlignment="1">
      <alignment horizontal="center"/>
    </xf>
    <xf numFmtId="9" fontId="8" fillId="3" borderId="1" xfId="7" applyNumberFormat="1" applyFont="1" applyFill="1" applyBorder="1" applyAlignment="1">
      <alignment horizontal="center"/>
    </xf>
    <xf numFmtId="9" fontId="0" fillId="3" borderId="1" xfId="0" applyNumberFormat="1" applyFill="1" applyBorder="1" applyAlignment="1">
      <alignment horizontal="center"/>
    </xf>
    <xf numFmtId="10" fontId="8" fillId="0" borderId="1" xfId="7" applyNumberFormat="1" applyFont="1" applyBorder="1" applyAlignment="1">
      <alignment horizontal="center"/>
    </xf>
    <xf numFmtId="9" fontId="8" fillId="0" borderId="1" xfId="7" applyFont="1" applyBorder="1" applyAlignment="1">
      <alignment horizontal="center"/>
    </xf>
    <xf numFmtId="9" fontId="8" fillId="2" borderId="1" xfId="7" applyFont="1" applyFill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9" fontId="0" fillId="0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9" fontId="8" fillId="0" borderId="1" xfId="7" applyFont="1" applyBorder="1" applyAlignment="1">
      <alignment horizontal="center" vertical="center"/>
    </xf>
    <xf numFmtId="9" fontId="8" fillId="2" borderId="1" xfId="7" applyFont="1" applyFill="1" applyBorder="1" applyAlignment="1">
      <alignment horizontal="center" vertical="center"/>
    </xf>
    <xf numFmtId="9" fontId="8" fillId="3" borderId="1" xfId="7" applyFont="1" applyFill="1" applyBorder="1" applyAlignment="1">
      <alignment horizontal="center"/>
    </xf>
    <xf numFmtId="9" fontId="8" fillId="3" borderId="1" xfId="7" applyFont="1" applyFill="1" applyBorder="1" applyAlignment="1">
      <alignment horizontal="center" vertical="center"/>
    </xf>
    <xf numFmtId="166" fontId="8" fillId="3" borderId="1" xfId="7" applyNumberFormat="1" applyFont="1" applyFill="1" applyBorder="1" applyAlignment="1">
      <alignment horizontal="center" vertical="center"/>
    </xf>
    <xf numFmtId="9" fontId="8" fillId="0" borderId="1" xfId="7" applyFont="1" applyFill="1" applyBorder="1" applyAlignment="1">
      <alignment horizontal="center" vertical="center"/>
    </xf>
    <xf numFmtId="166" fontId="12" fillId="4" borderId="1" xfId="7" applyNumberFormat="1" applyFont="1" applyFill="1" applyBorder="1" applyAlignment="1">
      <alignment horizontal="center" vertical="center" wrapText="1"/>
    </xf>
    <xf numFmtId="9" fontId="8" fillId="4" borderId="1" xfId="7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2" fillId="5" borderId="1" xfId="0" applyFont="1" applyFill="1" applyBorder="1" applyAlignment="1">
      <alignment wrapText="1"/>
    </xf>
    <xf numFmtId="9" fontId="8" fillId="5" borderId="1" xfId="7" applyFont="1" applyFill="1" applyBorder="1" applyAlignment="1">
      <alignment horizontal="center" vertical="center"/>
    </xf>
    <xf numFmtId="166" fontId="14" fillId="0" borderId="1" xfId="7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wrapText="1"/>
    </xf>
    <xf numFmtId="9" fontId="0" fillId="3" borderId="1" xfId="0" applyNumberFormat="1" applyFill="1" applyBorder="1" applyAlignment="1">
      <alignment horizontal="center" vertical="center"/>
    </xf>
    <xf numFmtId="0" fontId="15" fillId="0" borderId="4" xfId="0" applyFont="1" applyBorder="1" applyAlignment="1">
      <alignment vertical="center" wrapText="1"/>
    </xf>
    <xf numFmtId="0" fontId="16" fillId="2" borderId="4" xfId="0" applyFont="1" applyFill="1" applyBorder="1" applyAlignment="1">
      <alignment vertical="center" wrapText="1"/>
    </xf>
    <xf numFmtId="0" fontId="15" fillId="0" borderId="0" xfId="0" applyFont="1" applyBorder="1" applyAlignment="1">
      <alignment vertical="center" wrapText="1"/>
    </xf>
    <xf numFmtId="0" fontId="15" fillId="0" borderId="0" xfId="0" applyFont="1" applyFill="1" applyBorder="1" applyAlignment="1">
      <alignment vertical="center" wrapText="1"/>
    </xf>
    <xf numFmtId="0" fontId="15" fillId="0" borderId="5" xfId="0" applyFont="1" applyBorder="1" applyAlignment="1">
      <alignment vertical="center" wrapText="1"/>
    </xf>
    <xf numFmtId="0" fontId="15" fillId="6" borderId="5" xfId="0" applyFont="1" applyFill="1" applyBorder="1" applyAlignment="1">
      <alignment vertical="center" wrapText="1"/>
    </xf>
    <xf numFmtId="0" fontId="17" fillId="0" borderId="6" xfId="0" applyFont="1" applyBorder="1" applyAlignment="1">
      <alignment vertical="top" wrapText="1"/>
    </xf>
    <xf numFmtId="9" fontId="0" fillId="0" borderId="0" xfId="0" applyNumberFormat="1" applyAlignment="1">
      <alignment horizontal="center" vertical="center"/>
    </xf>
    <xf numFmtId="9" fontId="8" fillId="0" borderId="0" xfId="7" applyFont="1" applyBorder="1" applyAlignment="1">
      <alignment horizontal="center" vertical="center"/>
    </xf>
    <xf numFmtId="9" fontId="0" fillId="0" borderId="0" xfId="0" applyNumberFormat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vertical="center" wrapText="1"/>
    </xf>
    <xf numFmtId="9" fontId="8" fillId="0" borderId="0" xfId="7" applyFon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9" fontId="8" fillId="0" borderId="1" xfId="7" applyFont="1" applyBorder="1" applyAlignment="1">
      <alignment horizontal="center" vertical="center"/>
    </xf>
    <xf numFmtId="9" fontId="8" fillId="3" borderId="1" xfId="7" applyFont="1" applyFill="1" applyBorder="1" applyAlignment="1">
      <alignment horizontal="center" vertical="center"/>
    </xf>
    <xf numFmtId="9" fontId="8" fillId="4" borderId="1" xfId="7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9" fontId="8" fillId="2" borderId="1" xfId="7" applyFont="1" applyFill="1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10" fontId="11" fillId="0" borderId="1" xfId="7" applyNumberFormat="1" applyFont="1" applyBorder="1" applyAlignment="1">
      <alignment horizontal="center" vertical="top"/>
    </xf>
    <xf numFmtId="10" fontId="8" fillId="0" borderId="1" xfId="7" applyNumberFormat="1" applyFont="1" applyBorder="1" applyAlignment="1">
      <alignment horizontal="center" vertical="center"/>
    </xf>
    <xf numFmtId="10" fontId="11" fillId="0" borderId="1" xfId="7" applyNumberFormat="1" applyFont="1" applyBorder="1" applyAlignment="1">
      <alignment horizontal="center"/>
    </xf>
    <xf numFmtId="9" fontId="11" fillId="0" borderId="1" xfId="7" applyFont="1" applyBorder="1" applyAlignment="1">
      <alignment horizontal="center"/>
    </xf>
    <xf numFmtId="10" fontId="11" fillId="0" borderId="1" xfId="7" applyNumberFormat="1" applyFont="1" applyBorder="1" applyAlignment="1">
      <alignment horizontal="center" vertical="center"/>
    </xf>
    <xf numFmtId="9" fontId="11" fillId="0" borderId="1" xfId="7" applyFont="1" applyBorder="1" applyAlignment="1">
      <alignment horizontal="center" vertical="center"/>
    </xf>
    <xf numFmtId="9" fontId="11" fillId="2" borderId="1" xfId="7" applyFont="1" applyFill="1" applyBorder="1" applyAlignment="1">
      <alignment horizontal="center" vertical="center"/>
    </xf>
    <xf numFmtId="9" fontId="11" fillId="0" borderId="1" xfId="7" applyFont="1" applyFill="1" applyBorder="1" applyAlignment="1">
      <alignment horizontal="center" vertical="center"/>
    </xf>
    <xf numFmtId="166" fontId="8" fillId="0" borderId="1" xfId="7" applyNumberFormat="1" applyFont="1" applyBorder="1" applyAlignment="1">
      <alignment horizontal="center"/>
    </xf>
    <xf numFmtId="166" fontId="8" fillId="2" borderId="1" xfId="7" applyNumberFormat="1" applyFont="1" applyFill="1" applyBorder="1" applyAlignment="1">
      <alignment horizontal="center"/>
    </xf>
    <xf numFmtId="166" fontId="8" fillId="3" borderId="1" xfId="7" applyNumberFormat="1" applyFont="1" applyFill="1" applyBorder="1" applyAlignment="1">
      <alignment horizontal="center"/>
    </xf>
    <xf numFmtId="166" fontId="0" fillId="5" borderId="1" xfId="0" applyNumberFormat="1" applyFill="1" applyBorder="1" applyAlignment="1">
      <alignment horizontal="center" vertical="top"/>
    </xf>
    <xf numFmtId="166" fontId="8" fillId="4" borderId="1" xfId="7" applyNumberFormat="1" applyFont="1" applyFill="1" applyBorder="1" applyAlignment="1">
      <alignment horizontal="center" vertical="top"/>
    </xf>
    <xf numFmtId="0" fontId="9" fillId="0" borderId="0" xfId="0" applyFont="1" applyFill="1" applyBorder="1" applyAlignment="1">
      <alignment horizontal="center" vertical="center" wrapText="1"/>
    </xf>
    <xf numFmtId="0" fontId="18" fillId="7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166" fontId="8" fillId="0" borderId="1" xfId="7" applyNumberFormat="1" applyFont="1" applyBorder="1" applyAlignment="1">
      <alignment horizontal="center" vertical="center"/>
    </xf>
    <xf numFmtId="166" fontId="19" fillId="6" borderId="1" xfId="7" applyNumberFormat="1" applyFont="1" applyFill="1" applyBorder="1" applyAlignment="1">
      <alignment horizontal="center" vertical="center"/>
    </xf>
    <xf numFmtId="166" fontId="11" fillId="0" borderId="1" xfId="7" applyNumberFormat="1" applyFont="1" applyBorder="1" applyAlignment="1">
      <alignment horizontal="center" vertical="center"/>
    </xf>
    <xf numFmtId="166" fontId="8" fillId="2" borderId="1" xfId="7" applyNumberFormat="1" applyFont="1" applyFill="1" applyBorder="1" applyAlignment="1">
      <alignment horizontal="center" vertical="center"/>
    </xf>
    <xf numFmtId="0" fontId="17" fillId="0" borderId="7" xfId="0" applyFont="1" applyBorder="1" applyAlignment="1">
      <alignment vertical="top" wrapText="1"/>
    </xf>
    <xf numFmtId="0" fontId="15" fillId="0" borderId="8" xfId="0" applyFont="1" applyBorder="1" applyAlignment="1">
      <alignment vertical="center" wrapText="1"/>
    </xf>
    <xf numFmtId="0" fontId="16" fillId="8" borderId="9" xfId="0" applyFont="1" applyFill="1" applyBorder="1" applyAlignment="1">
      <alignment vertical="center" wrapText="1"/>
    </xf>
    <xf numFmtId="0" fontId="15" fillId="0" borderId="10" xfId="0" applyFont="1" applyBorder="1" applyAlignment="1">
      <alignment vertical="center" wrapText="1"/>
    </xf>
    <xf numFmtId="166" fontId="2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/>
    <xf numFmtId="9" fontId="13" fillId="0" borderId="1" xfId="7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 wrapText="1"/>
    </xf>
    <xf numFmtId="0" fontId="0" fillId="0" borderId="0" xfId="0" applyFont="1"/>
    <xf numFmtId="166" fontId="13" fillId="0" borderId="1" xfId="7" applyNumberFormat="1" applyFont="1" applyBorder="1" applyAlignment="1">
      <alignment horizontal="center" vertical="center"/>
    </xf>
    <xf numFmtId="166" fontId="0" fillId="2" borderId="1" xfId="0" applyNumberFormat="1" applyFont="1" applyFill="1" applyBorder="1" applyAlignment="1">
      <alignment horizontal="center"/>
    </xf>
    <xf numFmtId="166" fontId="0" fillId="9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66" fontId="0" fillId="2" borderId="1" xfId="0" applyNumberFormat="1" applyFont="1" applyFill="1" applyBorder="1" applyAlignment="1">
      <alignment horizontal="center" vertical="center"/>
    </xf>
    <xf numFmtId="9" fontId="0" fillId="0" borderId="1" xfId="0" applyNumberFormat="1" applyFont="1" applyFill="1" applyBorder="1" applyAlignment="1">
      <alignment horizontal="center" vertical="center" wrapText="1"/>
    </xf>
    <xf numFmtId="9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 wrapText="1"/>
    </xf>
    <xf numFmtId="0" fontId="0" fillId="10" borderId="1" xfId="0" applyFont="1" applyFill="1" applyBorder="1" applyAlignment="1">
      <alignment horizontal="center" vertical="center" wrapText="1"/>
    </xf>
    <xf numFmtId="9" fontId="13" fillId="11" borderId="1" xfId="7" applyFont="1" applyFill="1" applyBorder="1" applyAlignment="1">
      <alignment horizontal="center" vertical="center"/>
    </xf>
    <xf numFmtId="166" fontId="13" fillId="9" borderId="1" xfId="7" applyNumberFormat="1" applyFont="1" applyFill="1" applyBorder="1" applyAlignment="1">
      <alignment horizontal="center" vertical="center"/>
    </xf>
    <xf numFmtId="166" fontId="0" fillId="11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0" fillId="0" borderId="1" xfId="0" applyNumberFormat="1" applyFont="1" applyFill="1" applyBorder="1" applyAlignment="1">
      <alignment horizontal="center" vertical="center"/>
    </xf>
    <xf numFmtId="0" fontId="0" fillId="9" borderId="1" xfId="0" applyFont="1" applyFill="1" applyBorder="1" applyAlignment="1">
      <alignment horizontal="center"/>
    </xf>
    <xf numFmtId="9" fontId="0" fillId="11" borderId="1" xfId="0" applyNumberFormat="1" applyFont="1" applyFill="1" applyBorder="1" applyAlignment="1">
      <alignment horizontal="center" vertical="center"/>
    </xf>
    <xf numFmtId="0" fontId="0" fillId="7" borderId="2" xfId="0" applyFont="1" applyFill="1" applyBorder="1" applyAlignment="1">
      <alignment vertical="center" wrapText="1"/>
    </xf>
    <xf numFmtId="0" fontId="0" fillId="7" borderId="1" xfId="0" applyFont="1" applyFill="1" applyBorder="1" applyAlignment="1">
      <alignment horizontal="center" wrapText="1"/>
    </xf>
    <xf numFmtId="0" fontId="0" fillId="7" borderId="1" xfId="0" applyFont="1" applyFill="1" applyBorder="1"/>
    <xf numFmtId="1" fontId="0" fillId="0" borderId="1" xfId="0" applyNumberFormat="1" applyFont="1" applyBorder="1" applyAlignment="1">
      <alignment horizontal="center" vertical="center"/>
    </xf>
    <xf numFmtId="0" fontId="0" fillId="0" borderId="0" xfId="0" applyFont="1" applyAlignment="1">
      <alignment horizontal="center"/>
    </xf>
    <xf numFmtId="9" fontId="8" fillId="5" borderId="1" xfId="7" applyNumberFormat="1" applyFont="1" applyFill="1" applyBorder="1" applyAlignment="1">
      <alignment horizontal="center" vertical="center"/>
    </xf>
    <xf numFmtId="9" fontId="0" fillId="9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 wrapText="1"/>
    </xf>
    <xf numFmtId="0" fontId="0" fillId="9" borderId="1" xfId="0" applyFont="1" applyFill="1" applyBorder="1" applyAlignment="1">
      <alignment horizontal="center" vertical="center"/>
    </xf>
    <xf numFmtId="0" fontId="12" fillId="7" borderId="1" xfId="0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7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/>
    </xf>
    <xf numFmtId="0" fontId="0" fillId="0" borderId="1" xfId="0" applyFont="1" applyFill="1" applyBorder="1" applyAlignment="1">
      <alignment horizontal="center" wrapText="1"/>
    </xf>
    <xf numFmtId="0" fontId="22" fillId="0" borderId="1" xfId="0" applyFont="1" applyBorder="1" applyAlignment="1">
      <alignment horizontal="center" vertical="center" wrapText="1"/>
    </xf>
    <xf numFmtId="166" fontId="0" fillId="0" borderId="0" xfId="0" applyNumberFormat="1"/>
    <xf numFmtId="0" fontId="8" fillId="0" borderId="1" xfId="7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 readingOrder="1"/>
    </xf>
    <xf numFmtId="0" fontId="13" fillId="0" borderId="1" xfId="0" applyFont="1" applyFill="1" applyBorder="1" applyAlignment="1">
      <alignment horizontal="center" vertical="center"/>
    </xf>
    <xf numFmtId="0" fontId="13" fillId="0" borderId="26" xfId="0" applyFont="1" applyFill="1" applyBorder="1" applyAlignment="1">
      <alignment horizontal="center" vertical="center" wrapText="1" readingOrder="1"/>
    </xf>
    <xf numFmtId="166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0" xfId="0" applyFont="1" applyAlignment="1">
      <alignment horizontal="left" vertical="center" wrapText="1"/>
    </xf>
    <xf numFmtId="0" fontId="23" fillId="0" borderId="1" xfId="0" applyFont="1" applyFill="1" applyBorder="1" applyAlignment="1">
      <alignment horizontal="center" vertical="center"/>
    </xf>
    <xf numFmtId="10" fontId="13" fillId="2" borderId="1" xfId="7" applyNumberFormat="1" applyFont="1" applyFill="1" applyBorder="1" applyAlignment="1">
      <alignment horizontal="center" vertical="center"/>
    </xf>
    <xf numFmtId="3" fontId="13" fillId="0" borderId="26" xfId="0" applyNumberFormat="1" applyFont="1" applyFill="1" applyBorder="1" applyAlignment="1">
      <alignment horizontal="center" vertical="center" wrapText="1" readingOrder="1"/>
    </xf>
    <xf numFmtId="167" fontId="8" fillId="0" borderId="1" xfId="2" applyNumberFormat="1" applyFont="1" applyBorder="1" applyAlignment="1">
      <alignment horizontal="left" vertical="center" wrapText="1"/>
    </xf>
    <xf numFmtId="10" fontId="8" fillId="0" borderId="1" xfId="7" applyNumberFormat="1" applyFont="1" applyBorder="1" applyAlignment="1">
      <alignment horizontal="center" vertical="center" wrapText="1"/>
    </xf>
    <xf numFmtId="166" fontId="0" fillId="2" borderId="1" xfId="0" applyNumberFormat="1" applyFont="1" applyFill="1" applyBorder="1" applyAlignment="1">
      <alignment horizontal="center" vertical="center" wrapText="1"/>
    </xf>
    <xf numFmtId="3" fontId="13" fillId="0" borderId="1" xfId="2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10" fontId="0" fillId="2" borderId="1" xfId="0" applyNumberFormat="1" applyFont="1" applyFill="1" applyBorder="1" applyAlignment="1">
      <alignment horizontal="center" vertical="center" wrapText="1"/>
    </xf>
    <xf numFmtId="2" fontId="13" fillId="0" borderId="11" xfId="2" applyNumberFormat="1" applyFont="1" applyFill="1" applyBorder="1" applyAlignment="1">
      <alignment horizontal="center" vertical="center"/>
    </xf>
    <xf numFmtId="2" fontId="0" fillId="0" borderId="1" xfId="0" applyNumberFormat="1" applyFont="1" applyBorder="1" applyAlignment="1">
      <alignment horizontal="left" vertical="center" wrapText="1"/>
    </xf>
    <xf numFmtId="9" fontId="8" fillId="0" borderId="1" xfId="7" applyFont="1" applyBorder="1" applyAlignment="1">
      <alignment horizontal="center" vertical="center" wrapText="1"/>
    </xf>
    <xf numFmtId="9" fontId="8" fillId="0" borderId="0" xfId="7" applyFont="1"/>
    <xf numFmtId="3" fontId="13" fillId="7" borderId="1" xfId="2" applyNumberFormat="1" applyFont="1" applyFill="1" applyBorder="1" applyAlignment="1">
      <alignment horizontal="center" vertical="center"/>
    </xf>
    <xf numFmtId="166" fontId="8" fillId="0" borderId="1" xfId="7" applyNumberFormat="1" applyFont="1" applyFill="1" applyBorder="1" applyAlignment="1">
      <alignment horizontal="center" vertical="center" wrapText="1"/>
    </xf>
    <xf numFmtId="166" fontId="0" fillId="9" borderId="1" xfId="0" applyNumberFormat="1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9" fontId="13" fillId="0" borderId="1" xfId="0" applyNumberFormat="1" applyFont="1" applyFill="1" applyBorder="1" applyAlignment="1">
      <alignment horizontal="center" vertical="center" wrapText="1" readingOrder="1"/>
    </xf>
    <xf numFmtId="2" fontId="13" fillId="0" borderId="26" xfId="0" applyNumberFormat="1" applyFont="1" applyFill="1" applyBorder="1" applyAlignment="1">
      <alignment horizontal="center" vertical="center" wrapText="1" readingOrder="1"/>
    </xf>
    <xf numFmtId="167" fontId="8" fillId="0" borderId="1" xfId="2" applyNumberFormat="1" applyFont="1" applyBorder="1" applyAlignment="1">
      <alignment horizontal="center" vertical="center" wrapText="1"/>
    </xf>
    <xf numFmtId="2" fontId="13" fillId="0" borderId="26" xfId="7" applyNumberFormat="1" applyFont="1" applyFill="1" applyBorder="1" applyAlignment="1">
      <alignment horizontal="center" vertical="center" wrapText="1" readingOrder="1"/>
    </xf>
    <xf numFmtId="1" fontId="0" fillId="0" borderId="1" xfId="0" applyNumberFormat="1" applyFont="1" applyFill="1" applyBorder="1" applyAlignment="1">
      <alignment horizontal="center" vertical="center"/>
    </xf>
    <xf numFmtId="1" fontId="13" fillId="0" borderId="1" xfId="0" applyNumberFormat="1" applyFont="1" applyFill="1" applyBorder="1" applyAlignment="1">
      <alignment horizontal="center" vertical="center" wrapText="1" readingOrder="1"/>
    </xf>
    <xf numFmtId="10" fontId="8" fillId="9" borderId="1" xfId="7" applyNumberFormat="1" applyFont="1" applyFill="1" applyBorder="1" applyAlignment="1">
      <alignment horizontal="center" vertical="center" wrapText="1"/>
    </xf>
    <xf numFmtId="0" fontId="23" fillId="0" borderId="27" xfId="0" applyFont="1" applyFill="1" applyBorder="1" applyAlignment="1">
      <alignment horizontal="center" vertical="center" wrapText="1" readingOrder="1"/>
    </xf>
    <xf numFmtId="0" fontId="23" fillId="7" borderId="1" xfId="0" applyFont="1" applyFill="1" applyBorder="1" applyAlignment="1">
      <alignment horizontal="center" vertical="center"/>
    </xf>
    <xf numFmtId="9" fontId="8" fillId="9" borderId="1" xfId="7" applyFont="1" applyFill="1" applyBorder="1" applyAlignment="1">
      <alignment horizontal="center" vertical="center" wrapText="1"/>
    </xf>
    <xf numFmtId="0" fontId="0" fillId="7" borderId="1" xfId="0" applyFont="1" applyFill="1" applyBorder="1" applyAlignment="1">
      <alignment horizontal="left" vertical="center" wrapText="1"/>
    </xf>
    <xf numFmtId="0" fontId="8" fillId="0" borderId="3" xfId="7" applyNumberFormat="1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 readingOrder="1"/>
    </xf>
    <xf numFmtId="0" fontId="0" fillId="0" borderId="0" xfId="0" applyFont="1" applyAlignment="1">
      <alignment horizontal="center" vertical="center"/>
    </xf>
    <xf numFmtId="3" fontId="0" fillId="0" borderId="1" xfId="0" applyNumberFormat="1" applyFont="1" applyFill="1" applyBorder="1" applyAlignment="1">
      <alignment horizontal="center" vertical="center" wrapText="1"/>
    </xf>
    <xf numFmtId="3" fontId="25" fillId="7" borderId="2" xfId="0" applyNumberFormat="1" applyFont="1" applyFill="1" applyBorder="1" applyAlignment="1">
      <alignment horizontal="center" vertical="center"/>
    </xf>
    <xf numFmtId="3" fontId="25" fillId="7" borderId="1" xfId="0" applyNumberFormat="1" applyFont="1" applyFill="1" applyBorder="1" applyAlignment="1">
      <alignment horizontal="center" vertical="center"/>
    </xf>
    <xf numFmtId="3" fontId="25" fillId="7" borderId="11" xfId="0" applyNumberFormat="1" applyFont="1" applyFill="1" applyBorder="1" applyAlignment="1">
      <alignment horizontal="center" vertical="center"/>
    </xf>
    <xf numFmtId="167" fontId="8" fillId="0" borderId="2" xfId="2" applyNumberFormat="1" applyFont="1" applyBorder="1" applyAlignment="1">
      <alignment vertical="center" wrapText="1"/>
    </xf>
    <xf numFmtId="9" fontId="8" fillId="0" borderId="2" xfId="7" applyFont="1" applyBorder="1" applyAlignment="1">
      <alignment horizontal="center" vertical="center" wrapText="1"/>
    </xf>
    <xf numFmtId="9" fontId="13" fillId="0" borderId="26" xfId="0" applyNumberFormat="1" applyFont="1" applyFill="1" applyBorder="1" applyAlignment="1">
      <alignment horizontal="center" vertical="center" wrapText="1" readingOrder="1"/>
    </xf>
    <xf numFmtId="0" fontId="0" fillId="2" borderId="1" xfId="0" applyFont="1" applyFill="1" applyBorder="1" applyAlignment="1">
      <alignment horizontal="left" vertical="center" wrapText="1"/>
    </xf>
    <xf numFmtId="167" fontId="0" fillId="0" borderId="0" xfId="0" applyNumberFormat="1" applyFont="1"/>
    <xf numFmtId="10" fontId="0" fillId="0" borderId="0" xfId="0" applyNumberFormat="1" applyFont="1"/>
    <xf numFmtId="167" fontId="8" fillId="0" borderId="1" xfId="2" applyNumberFormat="1" applyFont="1" applyFill="1" applyBorder="1" applyAlignment="1">
      <alignment horizontal="center" vertical="center"/>
    </xf>
    <xf numFmtId="3" fontId="0" fillId="0" borderId="1" xfId="0" applyNumberFormat="1" applyFont="1" applyFill="1" applyBorder="1" applyAlignment="1">
      <alignment horizontal="center" vertical="center"/>
    </xf>
    <xf numFmtId="167" fontId="8" fillId="0" borderId="1" xfId="2" applyNumberFormat="1" applyFont="1" applyFill="1" applyBorder="1" applyAlignment="1">
      <alignment horizontal="center" vertical="center" wrapText="1"/>
    </xf>
    <xf numFmtId="167" fontId="13" fillId="0" borderId="26" xfId="0" applyNumberFormat="1" applyFont="1" applyFill="1" applyBorder="1" applyAlignment="1">
      <alignment horizontal="center" vertical="center" wrapText="1" readingOrder="1"/>
    </xf>
    <xf numFmtId="167" fontId="8" fillId="0" borderId="0" xfId="2" applyNumberFormat="1" applyFont="1" applyBorder="1" applyAlignment="1">
      <alignment vertical="center" wrapText="1"/>
    </xf>
    <xf numFmtId="9" fontId="8" fillId="0" borderId="0" xfId="7" applyFont="1" applyBorder="1" applyAlignment="1">
      <alignment vertical="center" wrapText="1"/>
    </xf>
    <xf numFmtId="0" fontId="0" fillId="0" borderId="0" xfId="0" applyFont="1" applyBorder="1"/>
    <xf numFmtId="167" fontId="8" fillId="0" borderId="3" xfId="2" applyNumberFormat="1" applyFont="1" applyBorder="1" applyAlignment="1">
      <alignment vertical="center" wrapText="1"/>
    </xf>
    <xf numFmtId="9" fontId="8" fillId="0" borderId="3" xfId="7" applyFont="1" applyBorder="1" applyAlignment="1">
      <alignment vertical="center" wrapText="1"/>
    </xf>
    <xf numFmtId="9" fontId="8" fillId="0" borderId="2" xfId="7" applyFont="1" applyBorder="1" applyAlignment="1">
      <alignment vertical="center" wrapText="1"/>
    </xf>
    <xf numFmtId="10" fontId="8" fillId="0" borderId="1" xfId="7" applyNumberFormat="1" applyFont="1" applyFill="1" applyBorder="1" applyAlignment="1">
      <alignment horizontal="center" vertical="center" wrapText="1"/>
    </xf>
    <xf numFmtId="0" fontId="23" fillId="7" borderId="12" xfId="0" applyFont="1" applyFill="1" applyBorder="1" applyAlignment="1">
      <alignment horizontal="center" vertical="center"/>
    </xf>
    <xf numFmtId="10" fontId="13" fillId="0" borderId="26" xfId="0" applyNumberFormat="1" applyFont="1" applyFill="1" applyBorder="1" applyAlignment="1">
      <alignment horizontal="center" vertical="center" wrapText="1" readingOrder="1"/>
    </xf>
    <xf numFmtId="10" fontId="13" fillId="0" borderId="1" xfId="7" applyNumberFormat="1" applyFont="1" applyBorder="1" applyAlignment="1">
      <alignment horizontal="center" vertical="center"/>
    </xf>
    <xf numFmtId="3" fontId="25" fillId="7" borderId="12" xfId="0" applyNumberFormat="1" applyFont="1" applyFill="1" applyBorder="1" applyAlignment="1">
      <alignment horizontal="center" vertical="center"/>
    </xf>
    <xf numFmtId="4" fontId="25" fillId="7" borderId="12" xfId="0" applyNumberFormat="1" applyFont="1" applyFill="1" applyBorder="1" applyAlignment="1">
      <alignment horizontal="center" vertical="center"/>
    </xf>
    <xf numFmtId="9" fontId="0" fillId="0" borderId="1" xfId="0" applyNumberFormat="1" applyFont="1" applyBorder="1" applyAlignment="1">
      <alignment horizontal="center" vertical="center"/>
    </xf>
    <xf numFmtId="43" fontId="8" fillId="0" borderId="1" xfId="2" applyFont="1" applyBorder="1" applyAlignment="1">
      <alignment horizontal="left" vertical="center" wrapText="1"/>
    </xf>
    <xf numFmtId="3" fontId="13" fillId="7" borderId="26" xfId="0" applyNumberFormat="1" applyFont="1" applyFill="1" applyBorder="1" applyAlignment="1">
      <alignment horizontal="center" vertical="center" wrapText="1" readingOrder="1"/>
    </xf>
    <xf numFmtId="0" fontId="23" fillId="11" borderId="1" xfId="0" applyFont="1" applyFill="1" applyBorder="1" applyAlignment="1">
      <alignment horizontal="center" vertical="center"/>
    </xf>
    <xf numFmtId="9" fontId="8" fillId="0" borderId="1" xfId="7" applyFont="1" applyFill="1" applyBorder="1" applyAlignment="1">
      <alignment horizontal="center" vertical="center" wrapText="1"/>
    </xf>
    <xf numFmtId="9" fontId="20" fillId="11" borderId="1" xfId="7" applyFont="1" applyFill="1" applyBorder="1" applyAlignment="1">
      <alignment horizontal="center" vertical="center" wrapText="1"/>
    </xf>
    <xf numFmtId="0" fontId="0" fillId="6" borderId="1" xfId="0" applyFont="1" applyFill="1" applyBorder="1" applyAlignment="1">
      <alignment horizontal="left" vertical="center" wrapText="1"/>
    </xf>
    <xf numFmtId="9" fontId="8" fillId="9" borderId="1" xfId="7" applyFont="1" applyFill="1" applyBorder="1" applyAlignment="1">
      <alignment horizontal="center" vertical="center"/>
    </xf>
    <xf numFmtId="9" fontId="20" fillId="11" borderId="1" xfId="7" applyFont="1" applyFill="1" applyBorder="1" applyAlignment="1">
      <alignment horizontal="center" vertical="center"/>
    </xf>
    <xf numFmtId="9" fontId="8" fillId="0" borderId="1" xfId="7" applyFont="1" applyFill="1" applyBorder="1" applyAlignment="1">
      <alignment horizontal="center" vertical="center"/>
    </xf>
    <xf numFmtId="9" fontId="8" fillId="0" borderId="1" xfId="7" applyFont="1" applyBorder="1" applyAlignment="1">
      <alignment horizontal="left" vertical="center" wrapText="1"/>
    </xf>
    <xf numFmtId="9" fontId="8" fillId="0" borderId="1" xfId="7" applyNumberFormat="1" applyFont="1" applyFill="1" applyBorder="1" applyAlignment="1">
      <alignment horizontal="center" vertical="center"/>
    </xf>
    <xf numFmtId="0" fontId="13" fillId="0" borderId="26" xfId="0" applyFont="1" applyFill="1" applyBorder="1" applyAlignment="1">
      <alignment horizontal="center" vertical="center" wrapText="1"/>
    </xf>
    <xf numFmtId="3" fontId="13" fillId="0" borderId="2" xfId="0" applyNumberFormat="1" applyFont="1" applyFill="1" applyBorder="1" applyAlignment="1">
      <alignment horizontal="center" vertical="center"/>
    </xf>
    <xf numFmtId="3" fontId="13" fillId="0" borderId="1" xfId="0" applyNumberFormat="1" applyFont="1" applyFill="1" applyBorder="1" applyAlignment="1">
      <alignment horizontal="center" vertical="center"/>
    </xf>
    <xf numFmtId="43" fontId="8" fillId="0" borderId="1" xfId="2" applyFont="1" applyBorder="1" applyAlignment="1">
      <alignment horizontal="center" vertical="center" wrapText="1"/>
    </xf>
    <xf numFmtId="9" fontId="13" fillId="9" borderId="1" xfId="7" applyFont="1" applyFill="1" applyBorder="1" applyAlignment="1">
      <alignment horizontal="center" vertical="center"/>
    </xf>
    <xf numFmtId="166" fontId="26" fillId="6" borderId="1" xfId="7" applyNumberFormat="1" applyFont="1" applyFill="1" applyBorder="1" applyAlignment="1">
      <alignment horizontal="center" vertical="center" wrapText="1"/>
    </xf>
    <xf numFmtId="0" fontId="8" fillId="0" borderId="1" xfId="3" applyNumberFormat="1" applyFont="1" applyFill="1" applyBorder="1" applyAlignment="1">
      <alignment horizontal="center" vertical="center"/>
    </xf>
    <xf numFmtId="0" fontId="8" fillId="7" borderId="1" xfId="3" applyNumberFormat="1" applyFont="1" applyFill="1" applyBorder="1" applyAlignment="1">
      <alignment horizontal="center" vertical="center" wrapText="1"/>
    </xf>
    <xf numFmtId="43" fontId="8" fillId="0" borderId="0" xfId="2" applyFont="1" applyAlignment="1">
      <alignment vertical="center"/>
    </xf>
    <xf numFmtId="166" fontId="0" fillId="11" borderId="1" xfId="0" applyNumberFormat="1" applyFont="1" applyFill="1" applyBorder="1" applyAlignment="1">
      <alignment horizontal="center" vertical="center" wrapText="1"/>
    </xf>
    <xf numFmtId="0" fontId="0" fillId="7" borderId="1" xfId="0" applyNumberFormat="1" applyFont="1" applyFill="1" applyBorder="1" applyAlignment="1">
      <alignment horizontal="center" vertical="center" wrapText="1"/>
    </xf>
    <xf numFmtId="0" fontId="27" fillId="7" borderId="1" xfId="0" applyNumberFormat="1" applyFont="1" applyFill="1" applyBorder="1" applyAlignment="1">
      <alignment horizontal="center" vertical="center" wrapText="1"/>
    </xf>
    <xf numFmtId="9" fontId="8" fillId="11" borderId="1" xfId="7" applyFont="1" applyFill="1" applyBorder="1" applyAlignment="1">
      <alignment horizontal="center" vertical="center" wrapText="1"/>
    </xf>
    <xf numFmtId="0" fontId="28" fillId="7" borderId="1" xfId="0" applyFont="1" applyFill="1" applyBorder="1" applyAlignment="1">
      <alignment horizontal="center" vertical="center" wrapText="1"/>
    </xf>
    <xf numFmtId="0" fontId="27" fillId="7" borderId="1" xfId="0" applyFont="1" applyFill="1" applyBorder="1" applyAlignment="1">
      <alignment horizontal="center" vertical="center" wrapText="1"/>
    </xf>
    <xf numFmtId="0" fontId="0" fillId="7" borderId="1" xfId="0" applyFont="1" applyFill="1" applyBorder="1" applyAlignment="1">
      <alignment horizontal="center"/>
    </xf>
    <xf numFmtId="9" fontId="8" fillId="11" borderId="1" xfId="7" applyFont="1" applyFill="1" applyBorder="1" applyAlignment="1">
      <alignment horizontal="center" vertical="center"/>
    </xf>
    <xf numFmtId="166" fontId="26" fillId="6" borderId="1" xfId="7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horizontal="left"/>
    </xf>
    <xf numFmtId="9" fontId="8" fillId="0" borderId="1" xfId="7" applyFont="1" applyBorder="1"/>
    <xf numFmtId="9" fontId="8" fillId="2" borderId="1" xfId="7" applyFont="1" applyFill="1" applyBorder="1" applyAlignment="1">
      <alignment horizontal="center" vertical="center"/>
    </xf>
    <xf numFmtId="43" fontId="8" fillId="0" borderId="1" xfId="2" applyFont="1" applyBorder="1"/>
    <xf numFmtId="167" fontId="8" fillId="0" borderId="1" xfId="2" applyNumberFormat="1" applyFont="1" applyBorder="1"/>
    <xf numFmtId="3" fontId="0" fillId="0" borderId="1" xfId="0" applyNumberFormat="1" applyFont="1" applyBorder="1" applyAlignment="1">
      <alignment horizontal="center" vertical="center"/>
    </xf>
    <xf numFmtId="9" fontId="8" fillId="6" borderId="1" xfId="7" applyFont="1" applyFill="1" applyBorder="1" applyAlignment="1">
      <alignment horizontal="center" vertical="center"/>
    </xf>
    <xf numFmtId="1" fontId="8" fillId="0" borderId="1" xfId="7" applyNumberFormat="1" applyFont="1" applyFill="1" applyBorder="1" applyAlignment="1">
      <alignment horizontal="center" vertical="center"/>
    </xf>
    <xf numFmtId="166" fontId="8" fillId="9" borderId="1" xfId="7" applyNumberFormat="1" applyFont="1" applyFill="1" applyBorder="1" applyAlignment="1">
      <alignment horizontal="center" vertical="center"/>
    </xf>
    <xf numFmtId="168" fontId="8" fillId="0" borderId="1" xfId="4" applyNumberFormat="1" applyFont="1" applyBorder="1" applyAlignment="1">
      <alignment horizontal="center" vertical="center" wrapText="1"/>
    </xf>
    <xf numFmtId="166" fontId="29" fillId="3" borderId="1" xfId="7" applyNumberFormat="1" applyFont="1" applyFill="1" applyBorder="1" applyAlignment="1">
      <alignment horizontal="center" vertical="center"/>
    </xf>
    <xf numFmtId="9" fontId="8" fillId="0" borderId="1" xfId="7" applyFont="1" applyBorder="1" applyAlignment="1">
      <alignment horizontal="center" vertical="center"/>
    </xf>
    <xf numFmtId="0" fontId="0" fillId="6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30" fillId="0" borderId="1" xfId="0" applyFont="1" applyFill="1" applyBorder="1" applyAlignment="1">
      <alignment horizontal="center" wrapText="1"/>
    </xf>
    <xf numFmtId="0" fontId="30" fillId="0" borderId="1" xfId="0" applyFont="1" applyFill="1" applyBorder="1" applyAlignment="1">
      <alignment wrapText="1"/>
    </xf>
    <xf numFmtId="0" fontId="30" fillId="0" borderId="1" xfId="0" applyFont="1" applyFill="1" applyBorder="1" applyAlignment="1">
      <alignment horizontal="left" vertical="center" wrapText="1"/>
    </xf>
    <xf numFmtId="0" fontId="30" fillId="0" borderId="1" xfId="0" applyFont="1" applyFill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0" fontId="30" fillId="0" borderId="1" xfId="0" applyFont="1" applyBorder="1" applyAlignment="1">
      <alignment horizontal="left" vertical="center" wrapText="1"/>
    </xf>
    <xf numFmtId="0" fontId="30" fillId="7" borderId="1" xfId="0" applyFont="1" applyFill="1" applyBorder="1" applyAlignment="1">
      <alignment horizontal="left" vertical="center" wrapText="1"/>
    </xf>
    <xf numFmtId="0" fontId="30" fillId="0" borderId="0" xfId="0" applyFont="1"/>
    <xf numFmtId="0" fontId="30" fillId="7" borderId="1" xfId="0" applyFont="1" applyFill="1" applyBorder="1" applyAlignment="1">
      <alignment horizontal="center" wrapText="1"/>
    </xf>
    <xf numFmtId="0" fontId="30" fillId="7" borderId="1" xfId="0" applyFont="1" applyFill="1" applyBorder="1"/>
    <xf numFmtId="0" fontId="30" fillId="7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10" fontId="8" fillId="0" borderId="0" xfId="7" applyNumberFormat="1" applyFont="1"/>
    <xf numFmtId="172" fontId="17" fillId="0" borderId="0" xfId="0" applyNumberFormat="1" applyFont="1" applyFill="1" applyBorder="1" applyAlignment="1">
      <alignment vertical="top" wrapText="1"/>
    </xf>
    <xf numFmtId="0" fontId="0" fillId="6" borderId="0" xfId="0" applyFill="1"/>
    <xf numFmtId="0" fontId="31" fillId="0" borderId="1" xfId="0" applyFont="1" applyFill="1" applyBorder="1" applyAlignment="1">
      <alignment horizontal="center" vertical="center" wrapText="1"/>
    </xf>
    <xf numFmtId="10" fontId="8" fillId="2" borderId="1" xfId="7" applyNumberFormat="1" applyFont="1" applyFill="1" applyBorder="1" applyAlignment="1">
      <alignment horizontal="center" vertical="center"/>
    </xf>
    <xf numFmtId="10" fontId="23" fillId="2" borderId="1" xfId="7" applyNumberFormat="1" applyFont="1" applyFill="1" applyBorder="1" applyAlignment="1">
      <alignment horizontal="center" vertical="center"/>
    </xf>
    <xf numFmtId="10" fontId="0" fillId="2" borderId="1" xfId="0" applyNumberFormat="1" applyFill="1" applyBorder="1" applyAlignment="1">
      <alignment horizontal="center" vertical="center"/>
    </xf>
    <xf numFmtId="0" fontId="32" fillId="0" borderId="0" xfId="0" applyFont="1"/>
    <xf numFmtId="0" fontId="10" fillId="0" borderId="0" xfId="1" applyAlignment="1" applyProtection="1"/>
    <xf numFmtId="9" fontId="12" fillId="4" borderId="1" xfId="7" applyFont="1" applyFill="1" applyBorder="1" applyAlignment="1">
      <alignment horizontal="center" vertical="center" wrapText="1"/>
    </xf>
    <xf numFmtId="0" fontId="0" fillId="4" borderId="1" xfId="0" applyFill="1" applyBorder="1"/>
    <xf numFmtId="9" fontId="12" fillId="3" borderId="1" xfId="7" applyNumberFormat="1" applyFont="1" applyFill="1" applyBorder="1" applyAlignment="1">
      <alignment horizontal="center"/>
    </xf>
    <xf numFmtId="0" fontId="0" fillId="6" borderId="1" xfId="0" applyFont="1" applyFill="1" applyBorder="1" applyAlignment="1">
      <alignment horizontal="center" vertical="center" wrapText="1"/>
    </xf>
    <xf numFmtId="0" fontId="0" fillId="6" borderId="1" xfId="0" applyFont="1" applyFill="1" applyBorder="1" applyAlignment="1">
      <alignment horizontal="center" vertical="center"/>
    </xf>
    <xf numFmtId="3" fontId="13" fillId="6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9" fontId="0" fillId="0" borderId="1" xfId="0" applyNumberFormat="1" applyFont="1" applyFill="1" applyBorder="1" applyAlignment="1">
      <alignment horizontal="center" vertical="center" wrapText="1"/>
    </xf>
    <xf numFmtId="0" fontId="0" fillId="7" borderId="1" xfId="0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/>
    </xf>
    <xf numFmtId="0" fontId="0" fillId="6" borderId="1" xfId="0" applyFont="1" applyFill="1" applyBorder="1" applyAlignment="1">
      <alignment horizontal="center" vertical="center" wrapText="1"/>
    </xf>
    <xf numFmtId="9" fontId="13" fillId="0" borderId="26" xfId="7" applyFont="1" applyFill="1" applyBorder="1" applyAlignment="1">
      <alignment horizontal="center" vertical="center" wrapText="1" readingOrder="1"/>
    </xf>
    <xf numFmtId="0" fontId="0" fillId="0" borderId="1" xfId="0" applyFont="1" applyBorder="1" applyAlignment="1">
      <alignment horizontal="center" vertical="center"/>
    </xf>
    <xf numFmtId="2" fontId="16" fillId="0" borderId="0" xfId="0" applyNumberFormat="1" applyFont="1" applyFill="1" applyBorder="1" applyAlignment="1">
      <alignment vertical="center" wrapText="1"/>
    </xf>
    <xf numFmtId="173" fontId="17" fillId="0" borderId="0" xfId="0" applyNumberFormat="1" applyFont="1" applyFill="1" applyBorder="1" applyAlignment="1">
      <alignment vertical="top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/>
    </xf>
    <xf numFmtId="0" fontId="3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10" fontId="0" fillId="0" borderId="1" xfId="0" applyNumberFormat="1" applyFont="1" applyFill="1" applyBorder="1" applyAlignment="1">
      <alignment horizontal="center" vertical="center" wrapText="1"/>
    </xf>
    <xf numFmtId="9" fontId="0" fillId="0" borderId="1" xfId="0" applyNumberFormat="1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0" fillId="7" borderId="1" xfId="0" applyFont="1" applyFill="1" applyBorder="1" applyAlignment="1">
      <alignment horizontal="center" vertical="center" wrapText="1"/>
    </xf>
    <xf numFmtId="0" fontId="0" fillId="6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30" fillId="0" borderId="1" xfId="0" applyFont="1" applyFill="1" applyBorder="1" applyAlignment="1">
      <alignment horizontal="center" vertical="center" wrapText="1"/>
    </xf>
    <xf numFmtId="3" fontId="33" fillId="0" borderId="26" xfId="0" applyNumberFormat="1" applyFont="1" applyFill="1" applyBorder="1" applyAlignment="1">
      <alignment horizontal="center" vertical="center" wrapText="1" readingOrder="1"/>
    </xf>
    <xf numFmtId="0" fontId="0" fillId="0" borderId="1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 wrapText="1"/>
    </xf>
    <xf numFmtId="0" fontId="0" fillId="7" borderId="1" xfId="0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10" fontId="0" fillId="0" borderId="1" xfId="0" applyNumberFormat="1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6" borderId="1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30" fillId="7" borderId="1" xfId="0" applyFont="1" applyFill="1" applyBorder="1" applyAlignment="1">
      <alignment horizontal="center" vertical="center" wrapText="1"/>
    </xf>
    <xf numFmtId="0" fontId="0" fillId="7" borderId="1" xfId="0" applyFont="1" applyFill="1" applyBorder="1" applyAlignment="1">
      <alignment horizontal="center" vertical="center" wrapText="1"/>
    </xf>
    <xf numFmtId="0" fontId="0" fillId="6" borderId="1" xfId="0" applyFont="1" applyFill="1" applyBorder="1" applyAlignment="1">
      <alignment horizontal="center" vertical="center" wrapText="1"/>
    </xf>
    <xf numFmtId="166" fontId="34" fillId="0" borderId="1" xfId="7" applyNumberFormat="1" applyFont="1" applyBorder="1" applyAlignment="1">
      <alignment horizontal="center" vertical="center"/>
    </xf>
    <xf numFmtId="0" fontId="34" fillId="0" borderId="26" xfId="0" applyFont="1" applyFill="1" applyBorder="1" applyAlignment="1">
      <alignment horizontal="center" vertical="center" wrapText="1" readingOrder="1"/>
    </xf>
    <xf numFmtId="166" fontId="33" fillId="0" borderId="1" xfId="7" applyNumberFormat="1" applyFont="1" applyBorder="1" applyAlignment="1">
      <alignment horizontal="center" vertical="center"/>
    </xf>
    <xf numFmtId="0" fontId="35" fillId="0" borderId="1" xfId="0" applyFont="1" applyFill="1" applyBorder="1" applyAlignment="1">
      <alignment horizontal="center" vertical="center"/>
    </xf>
    <xf numFmtId="0" fontId="36" fillId="0" borderId="1" xfId="0" applyFont="1" applyFill="1" applyBorder="1" applyAlignment="1">
      <alignment horizontal="center" vertical="center"/>
    </xf>
    <xf numFmtId="3" fontId="35" fillId="0" borderId="2" xfId="0" applyNumberFormat="1" applyFont="1" applyFill="1" applyBorder="1" applyAlignment="1">
      <alignment vertical="center" wrapText="1"/>
    </xf>
    <xf numFmtId="3" fontId="4" fillId="0" borderId="2" xfId="0" applyNumberFormat="1" applyFont="1" applyFill="1" applyBorder="1" applyAlignment="1">
      <alignment vertical="center" wrapText="1"/>
    </xf>
    <xf numFmtId="0" fontId="33" fillId="0" borderId="26" xfId="0" applyFont="1" applyFill="1" applyBorder="1" applyAlignment="1">
      <alignment horizontal="center" vertical="center" wrapText="1" readingOrder="1"/>
    </xf>
    <xf numFmtId="0" fontId="36" fillId="2" borderId="1" xfId="0" applyFont="1" applyFill="1" applyBorder="1" applyAlignment="1">
      <alignment horizontal="center" vertical="center"/>
    </xf>
    <xf numFmtId="9" fontId="8" fillId="0" borderId="1" xfId="7" applyFont="1" applyBorder="1" applyAlignment="1">
      <alignment horizontal="center" vertical="center"/>
    </xf>
    <xf numFmtId="10" fontId="0" fillId="0" borderId="1" xfId="0" applyNumberFormat="1" applyFont="1" applyFill="1" applyBorder="1" applyAlignment="1">
      <alignment horizontal="left" vertical="center" wrapText="1"/>
    </xf>
    <xf numFmtId="9" fontId="33" fillId="0" borderId="1" xfId="7" applyFont="1" applyBorder="1" applyAlignment="1">
      <alignment horizontal="center" vertical="center"/>
    </xf>
    <xf numFmtId="10" fontId="37" fillId="11" borderId="1" xfId="7" applyNumberFormat="1" applyFont="1" applyFill="1" applyBorder="1" applyAlignment="1">
      <alignment horizontal="center" vertical="center" wrapText="1"/>
    </xf>
    <xf numFmtId="171" fontId="15" fillId="0" borderId="0" xfId="0" applyNumberFormat="1" applyFont="1" applyFill="1" applyBorder="1" applyAlignment="1">
      <alignment vertical="center" wrapText="1"/>
    </xf>
    <xf numFmtId="0" fontId="38" fillId="0" borderId="2" xfId="0" applyFont="1" applyFill="1" applyBorder="1" applyAlignment="1">
      <alignment horizontal="center" vertical="center"/>
    </xf>
    <xf numFmtId="0" fontId="24" fillId="0" borderId="2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41" fontId="13" fillId="0" borderId="26" xfId="0" applyNumberFormat="1" applyFont="1" applyFill="1" applyBorder="1" applyAlignment="1">
      <alignment horizontal="center" vertical="center" wrapText="1" readingOrder="1"/>
    </xf>
    <xf numFmtId="41" fontId="13" fillId="0" borderId="26" xfId="0" applyNumberFormat="1" applyFont="1" applyFill="1" applyBorder="1" applyAlignment="1">
      <alignment vertical="center" wrapText="1" readingOrder="1"/>
    </xf>
    <xf numFmtId="0" fontId="13" fillId="6" borderId="26" xfId="0" applyFont="1" applyFill="1" applyBorder="1" applyAlignment="1">
      <alignment horizontal="center" vertical="center" wrapText="1"/>
    </xf>
    <xf numFmtId="166" fontId="13" fillId="6" borderId="1" xfId="7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7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9" fontId="30" fillId="0" borderId="1" xfId="0" applyNumberFormat="1" applyFont="1" applyFill="1" applyBorder="1" applyAlignment="1">
      <alignment horizontal="center" vertical="center" wrapText="1"/>
    </xf>
    <xf numFmtId="0" fontId="39" fillId="7" borderId="1" xfId="3" applyNumberFormat="1" applyFont="1" applyFill="1" applyBorder="1" applyAlignment="1">
      <alignment horizontal="center" vertical="center" wrapText="1"/>
    </xf>
    <xf numFmtId="0" fontId="12" fillId="4" borderId="13" xfId="0" applyFont="1" applyFill="1" applyBorder="1" applyAlignment="1">
      <alignment vertical="top" wrapText="1"/>
    </xf>
    <xf numFmtId="0" fontId="12" fillId="3" borderId="13" xfId="0" applyFont="1" applyFill="1" applyBorder="1" applyAlignment="1">
      <alignment vertical="top" wrapText="1"/>
    </xf>
    <xf numFmtId="0" fontId="12" fillId="2" borderId="13" xfId="0" applyFont="1" applyFill="1" applyBorder="1" applyAlignment="1">
      <alignment vertical="top" wrapText="1"/>
    </xf>
    <xf numFmtId="0" fontId="10" fillId="0" borderId="13" xfId="1" applyBorder="1" applyAlignment="1" applyProtection="1">
      <alignment vertical="top" wrapText="1"/>
    </xf>
    <xf numFmtId="0" fontId="10" fillId="0" borderId="13" xfId="1" applyFill="1" applyBorder="1" applyAlignment="1" applyProtection="1">
      <alignment vertical="top" wrapText="1"/>
    </xf>
    <xf numFmtId="0" fontId="10" fillId="0" borderId="13" xfId="1" applyBorder="1" applyAlignment="1" applyProtection="1">
      <alignment wrapText="1"/>
    </xf>
    <xf numFmtId="0" fontId="12" fillId="3" borderId="13" xfId="0" applyFont="1" applyFill="1" applyBorder="1" applyAlignment="1">
      <alignment wrapText="1"/>
    </xf>
    <xf numFmtId="0" fontId="12" fillId="2" borderId="13" xfId="0" applyFont="1" applyFill="1" applyBorder="1" applyAlignment="1">
      <alignment wrapText="1"/>
    </xf>
    <xf numFmtId="0" fontId="12" fillId="2" borderId="13" xfId="0" applyFont="1" applyFill="1" applyBorder="1"/>
    <xf numFmtId="0" fontId="10" fillId="0" borderId="13" xfId="1" applyBorder="1" applyAlignment="1" applyProtection="1"/>
    <xf numFmtId="0" fontId="40" fillId="2" borderId="13" xfId="0" applyFont="1" applyFill="1" applyBorder="1" applyAlignment="1">
      <alignment wrapText="1"/>
    </xf>
    <xf numFmtId="0" fontId="11" fillId="0" borderId="13" xfId="0" applyFont="1" applyBorder="1" applyAlignment="1">
      <alignment wrapText="1"/>
    </xf>
    <xf numFmtId="0" fontId="10" fillId="0" borderId="13" xfId="1" applyFill="1" applyBorder="1" applyAlignment="1" applyProtection="1">
      <alignment wrapText="1"/>
    </xf>
    <xf numFmtId="0" fontId="0" fillId="0" borderId="13" xfId="0" applyBorder="1" applyAlignment="1">
      <alignment wrapText="1"/>
    </xf>
    <xf numFmtId="0" fontId="12" fillId="5" borderId="13" xfId="0" applyFont="1" applyFill="1" applyBorder="1" applyAlignment="1">
      <alignment wrapText="1"/>
    </xf>
    <xf numFmtId="0" fontId="10" fillId="2" borderId="13" xfId="1" applyFill="1" applyBorder="1" applyAlignment="1" applyProtection="1">
      <alignment wrapText="1"/>
    </xf>
    <xf numFmtId="0" fontId="10" fillId="2" borderId="13" xfId="1" applyFill="1" applyBorder="1" applyAlignment="1" applyProtection="1">
      <alignment vertical="top" wrapText="1"/>
    </xf>
    <xf numFmtId="0" fontId="0" fillId="0" borderId="13" xfId="0" applyFont="1" applyFill="1" applyBorder="1" applyAlignment="1">
      <alignment wrapText="1"/>
    </xf>
    <xf numFmtId="0" fontId="41" fillId="0" borderId="1" xfId="0" applyFont="1" applyBorder="1" applyAlignment="1">
      <alignment horizontal="center" vertical="center"/>
    </xf>
    <xf numFmtId="0" fontId="41" fillId="0" borderId="1" xfId="0" applyFont="1" applyFill="1" applyBorder="1" applyAlignment="1">
      <alignment horizontal="center" vertical="center"/>
    </xf>
    <xf numFmtId="1" fontId="41" fillId="0" borderId="1" xfId="0" applyNumberFormat="1" applyFont="1" applyBorder="1" applyAlignment="1">
      <alignment horizontal="center" vertical="center"/>
    </xf>
    <xf numFmtId="0" fontId="13" fillId="6" borderId="26" xfId="0" applyFont="1" applyFill="1" applyBorder="1" applyAlignment="1">
      <alignment horizontal="center" vertical="center" wrapText="1" readingOrder="1"/>
    </xf>
    <xf numFmtId="1" fontId="13" fillId="0" borderId="26" xfId="0" applyNumberFormat="1" applyFont="1" applyFill="1" applyBorder="1" applyAlignment="1">
      <alignment horizontal="center" vertical="center" wrapText="1" readingOrder="1"/>
    </xf>
    <xf numFmtId="0" fontId="0" fillId="0" borderId="1" xfId="0" applyFont="1" applyBorder="1" applyAlignment="1">
      <alignment horizontal="center" vertical="center"/>
    </xf>
    <xf numFmtId="0" fontId="0" fillId="7" borderId="1" xfId="0" applyFont="1" applyFill="1" applyBorder="1" applyAlignment="1">
      <alignment horizontal="center" vertical="center"/>
    </xf>
    <xf numFmtId="43" fontId="11" fillId="0" borderId="1" xfId="0" applyNumberFormat="1" applyFont="1" applyBorder="1" applyAlignment="1">
      <alignment horizontal="center" vertical="center"/>
    </xf>
    <xf numFmtId="0" fontId="11" fillId="0" borderId="1" xfId="0" applyFont="1" applyBorder="1"/>
    <xf numFmtId="43" fontId="11" fillId="0" borderId="1" xfId="2" applyFont="1" applyBorder="1" applyAlignment="1">
      <alignment horizontal="center" vertical="center"/>
    </xf>
    <xf numFmtId="3" fontId="42" fillId="0" borderId="1" xfId="0" applyNumberFormat="1" applyFont="1" applyFill="1" applyBorder="1" applyAlignment="1">
      <alignment horizontal="center" vertical="center" wrapText="1"/>
    </xf>
    <xf numFmtId="3" fontId="42" fillId="7" borderId="1" xfId="0" applyNumberFormat="1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 wrapText="1"/>
    </xf>
    <xf numFmtId="173" fontId="0" fillId="0" borderId="1" xfId="0" applyNumberFormat="1" applyFont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/>
    </xf>
    <xf numFmtId="0" fontId="28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28" fillId="0" borderId="1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7" borderId="1" xfId="0" applyFont="1" applyFill="1" applyBorder="1" applyAlignment="1">
      <alignment horizontal="center" vertical="center"/>
    </xf>
    <xf numFmtId="168" fontId="8" fillId="7" borderId="1" xfId="4" applyNumberFormat="1" applyFont="1" applyFill="1" applyBorder="1" applyAlignment="1">
      <alignment horizontal="center" vertical="center" wrapText="1"/>
    </xf>
    <xf numFmtId="43" fontId="8" fillId="7" borderId="1" xfId="2" applyFont="1" applyFill="1" applyBorder="1" applyAlignment="1">
      <alignment horizontal="center" vertical="center"/>
    </xf>
    <xf numFmtId="165" fontId="8" fillId="7" borderId="1" xfId="4" applyFont="1" applyFill="1" applyBorder="1" applyAlignment="1">
      <alignment horizontal="center" vertical="center"/>
    </xf>
    <xf numFmtId="43" fontId="8" fillId="7" borderId="1" xfId="7" applyNumberFormat="1" applyFont="1" applyFill="1" applyBorder="1" applyAlignment="1">
      <alignment horizontal="center" vertical="center"/>
    </xf>
    <xf numFmtId="41" fontId="8" fillId="7" borderId="1" xfId="3" applyFont="1" applyFill="1" applyBorder="1" applyAlignment="1">
      <alignment horizontal="center" vertical="center"/>
    </xf>
    <xf numFmtId="0" fontId="30" fillId="7" borderId="1" xfId="0" applyFont="1" applyFill="1" applyBorder="1" applyAlignment="1">
      <alignment horizontal="center" vertical="center" wrapText="1"/>
    </xf>
    <xf numFmtId="0" fontId="0" fillId="7" borderId="1" xfId="0" applyFont="1" applyFill="1" applyBorder="1" applyAlignment="1">
      <alignment horizontal="center" vertical="center" wrapText="1"/>
    </xf>
    <xf numFmtId="3" fontId="0" fillId="0" borderId="9" xfId="0" applyNumberFormat="1" applyFont="1" applyBorder="1" applyAlignment="1">
      <alignment horizontal="center" vertical="center"/>
    </xf>
    <xf numFmtId="3" fontId="0" fillId="0" borderId="14" xfId="0" applyNumberFormat="1" applyFont="1" applyBorder="1" applyAlignment="1">
      <alignment horizontal="center" vertical="center"/>
    </xf>
    <xf numFmtId="3" fontId="0" fillId="0" borderId="9" xfId="0" applyNumberFormat="1" applyBorder="1" applyAlignment="1">
      <alignment horizontal="center" vertical="center"/>
    </xf>
    <xf numFmtId="3" fontId="43" fillId="0" borderId="9" xfId="0" applyNumberFormat="1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43" fontId="8" fillId="7" borderId="1" xfId="2" applyFont="1" applyFill="1" applyBorder="1" applyAlignment="1">
      <alignment vertical="center"/>
    </xf>
    <xf numFmtId="3" fontId="0" fillId="7" borderId="1" xfId="0" applyNumberFormat="1" applyFont="1" applyFill="1" applyBorder="1" applyAlignment="1">
      <alignment vertical="center"/>
    </xf>
    <xf numFmtId="3" fontId="0" fillId="7" borderId="1" xfId="0" applyNumberFormat="1" applyFont="1" applyFill="1" applyBorder="1" applyAlignment="1">
      <alignment horizontal="center" vertical="center"/>
    </xf>
    <xf numFmtId="39" fontId="44" fillId="7" borderId="1" xfId="0" applyNumberFormat="1" applyFont="1" applyFill="1" applyBorder="1" applyAlignment="1">
      <alignment horizontal="center" vertical="center" wrapText="1"/>
    </xf>
    <xf numFmtId="43" fontId="11" fillId="7" borderId="1" xfId="0" applyNumberFormat="1" applyFont="1" applyFill="1" applyBorder="1" applyAlignment="1">
      <alignment horizontal="center" vertical="center"/>
    </xf>
    <xf numFmtId="43" fontId="0" fillId="7" borderId="1" xfId="0" applyNumberFormat="1" applyFont="1" applyFill="1" applyBorder="1"/>
    <xf numFmtId="39" fontId="45" fillId="7" borderId="1" xfId="0" applyNumberFormat="1" applyFont="1" applyFill="1" applyBorder="1" applyAlignment="1">
      <alignment horizontal="center" vertical="center" wrapText="1"/>
    </xf>
    <xf numFmtId="0" fontId="0" fillId="7" borderId="1" xfId="0" applyFont="1" applyFill="1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3" fontId="45" fillId="0" borderId="1" xfId="0" applyNumberFormat="1" applyFont="1" applyBorder="1" applyAlignment="1">
      <alignment horizontal="center" vertical="center"/>
    </xf>
    <xf numFmtId="39" fontId="45" fillId="0" borderId="1" xfId="0" applyNumberFormat="1" applyFont="1" applyBorder="1" applyAlignment="1">
      <alignment vertical="center"/>
    </xf>
    <xf numFmtId="10" fontId="23" fillId="11" borderId="1" xfId="7" applyNumberFormat="1" applyFont="1" applyFill="1" applyBorder="1" applyAlignment="1">
      <alignment horizontal="center" vertical="center"/>
    </xf>
    <xf numFmtId="10" fontId="0" fillId="11" borderId="1" xfId="0" applyNumberFormat="1" applyFont="1" applyFill="1" applyBorder="1" applyAlignment="1">
      <alignment horizontal="center" vertical="center"/>
    </xf>
    <xf numFmtId="10" fontId="8" fillId="11" borderId="1" xfId="7" applyNumberFormat="1" applyFont="1" applyFill="1" applyBorder="1" applyAlignment="1">
      <alignment horizontal="center" vertical="center"/>
    </xf>
    <xf numFmtId="10" fontId="8" fillId="6" borderId="1" xfId="7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vertical="top" wrapText="1"/>
    </xf>
    <xf numFmtId="0" fontId="12" fillId="3" borderId="1" xfId="0" applyFont="1" applyFill="1" applyBorder="1" applyAlignment="1">
      <alignment horizontal="center" vertical="top" wrapText="1"/>
    </xf>
    <xf numFmtId="0" fontId="12" fillId="3" borderId="1" xfId="0" applyFont="1" applyFill="1" applyBorder="1" applyAlignment="1">
      <alignment wrapText="1"/>
    </xf>
    <xf numFmtId="0" fontId="12" fillId="0" borderId="1" xfId="0" applyFont="1" applyFill="1" applyBorder="1" applyAlignment="1">
      <alignment wrapText="1"/>
    </xf>
    <xf numFmtId="0" fontId="12" fillId="0" borderId="1" xfId="0" applyFont="1" applyFill="1" applyBorder="1"/>
    <xf numFmtId="9" fontId="0" fillId="11" borderId="1" xfId="0" applyNumberFormat="1" applyFill="1" applyBorder="1" applyAlignment="1">
      <alignment horizontal="center"/>
    </xf>
    <xf numFmtId="9" fontId="8" fillId="11" borderId="1" xfId="7" applyFont="1" applyFill="1" applyBorder="1" applyAlignment="1">
      <alignment horizontal="center"/>
    </xf>
    <xf numFmtId="10" fontId="8" fillId="11" borderId="1" xfId="7" applyNumberFormat="1" applyFont="1" applyFill="1" applyBorder="1" applyAlignment="1">
      <alignment horizontal="center"/>
    </xf>
    <xf numFmtId="10" fontId="12" fillId="11" borderId="1" xfId="0" applyNumberFormat="1" applyFont="1" applyFill="1" applyBorder="1" applyAlignment="1">
      <alignment horizontal="center" vertical="top"/>
    </xf>
    <xf numFmtId="9" fontId="12" fillId="11" borderId="1" xfId="7" applyNumberFormat="1" applyFont="1" applyFill="1" applyBorder="1" applyAlignment="1">
      <alignment horizontal="center"/>
    </xf>
    <xf numFmtId="9" fontId="12" fillId="11" borderId="1" xfId="7" applyFont="1" applyFill="1" applyBorder="1" applyAlignment="1">
      <alignment horizontal="center"/>
    </xf>
    <xf numFmtId="0" fontId="12" fillId="7" borderId="1" xfId="0" applyFont="1" applyFill="1" applyBorder="1" applyAlignment="1">
      <alignment wrapText="1"/>
    </xf>
    <xf numFmtId="9" fontId="8" fillId="6" borderId="1" xfId="7" applyFont="1" applyFill="1" applyBorder="1" applyAlignment="1">
      <alignment horizontal="center"/>
    </xf>
    <xf numFmtId="166" fontId="8" fillId="11" borderId="1" xfId="7" applyNumberFormat="1" applyFont="1" applyFill="1" applyBorder="1" applyAlignment="1">
      <alignment horizontal="center"/>
    </xf>
    <xf numFmtId="0" fontId="46" fillId="7" borderId="1" xfId="1" applyFont="1" applyFill="1" applyBorder="1" applyAlignment="1" applyProtection="1">
      <alignment wrapText="1"/>
    </xf>
    <xf numFmtId="0" fontId="47" fillId="7" borderId="1" xfId="1" applyFont="1" applyFill="1" applyBorder="1" applyAlignment="1" applyProtection="1">
      <alignment vertical="top" wrapText="1"/>
    </xf>
    <xf numFmtId="9" fontId="12" fillId="11" borderId="1" xfId="7" applyFont="1" applyFill="1" applyBorder="1" applyAlignment="1">
      <alignment horizontal="center" vertical="center"/>
    </xf>
    <xf numFmtId="9" fontId="0" fillId="6" borderId="1" xfId="0" applyNumberFormat="1" applyFill="1" applyBorder="1" applyAlignment="1">
      <alignment horizontal="center" vertical="center"/>
    </xf>
    <xf numFmtId="0" fontId="0" fillId="7" borderId="0" xfId="0" applyFill="1"/>
    <xf numFmtId="9" fontId="12" fillId="2" borderId="1" xfId="7" applyFont="1" applyFill="1" applyBorder="1" applyAlignment="1">
      <alignment horizontal="center" vertical="center"/>
    </xf>
    <xf numFmtId="166" fontId="8" fillId="6" borderId="1" xfId="7" applyNumberFormat="1" applyFont="1" applyFill="1" applyBorder="1" applyAlignment="1">
      <alignment horizontal="center" vertical="center"/>
    </xf>
    <xf numFmtId="166" fontId="8" fillId="11" borderId="1" xfId="7" applyNumberFormat="1" applyFont="1" applyFill="1" applyBorder="1" applyAlignment="1">
      <alignment horizontal="center" vertical="center"/>
    </xf>
    <xf numFmtId="0" fontId="12" fillId="0" borderId="1" xfId="0" applyFont="1" applyBorder="1" applyAlignment="1">
      <alignment wrapText="1"/>
    </xf>
    <xf numFmtId="0" fontId="12" fillId="7" borderId="1" xfId="0" applyFont="1" applyFill="1" applyBorder="1" applyAlignment="1">
      <alignment horizontal="center" vertical="center"/>
    </xf>
    <xf numFmtId="0" fontId="48" fillId="0" borderId="1" xfId="0" applyFont="1" applyFill="1" applyBorder="1" applyAlignment="1">
      <alignment vertical="center" wrapText="1"/>
    </xf>
    <xf numFmtId="0" fontId="48" fillId="0" borderId="1" xfId="0" applyFont="1" applyFill="1" applyBorder="1" applyAlignment="1">
      <alignment horizontal="center" vertical="center" wrapText="1"/>
    </xf>
    <xf numFmtId="0" fontId="0" fillId="7" borderId="1" xfId="0" applyFill="1" applyBorder="1"/>
    <xf numFmtId="0" fontId="0" fillId="0" borderId="1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 wrapText="1"/>
    </xf>
    <xf numFmtId="9" fontId="0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9" fillId="0" borderId="1" xfId="0" applyFont="1" applyFill="1" applyBorder="1" applyAlignment="1">
      <alignment horizontal="center" vertical="center"/>
    </xf>
    <xf numFmtId="0" fontId="49" fillId="0" borderId="2" xfId="0" applyFont="1" applyFill="1" applyBorder="1" applyAlignment="1">
      <alignment horizontal="center" vertical="center"/>
    </xf>
    <xf numFmtId="0" fontId="0" fillId="7" borderId="1" xfId="0" applyFont="1" applyFill="1" applyBorder="1" applyAlignment="1">
      <alignment horizontal="center" vertical="center" wrapText="1"/>
    </xf>
    <xf numFmtId="3" fontId="0" fillId="0" borderId="1" xfId="0" applyNumberFormat="1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166" fontId="20" fillId="11" borderId="1" xfId="7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50" fillId="0" borderId="0" xfId="0" applyFont="1"/>
    <xf numFmtId="0" fontId="51" fillId="0" borderId="1" xfId="0" applyFont="1" applyBorder="1" applyAlignment="1">
      <alignment vertical="center"/>
    </xf>
    <xf numFmtId="0" fontId="51" fillId="0" borderId="1" xfId="0" applyFont="1" applyFill="1" applyBorder="1" applyAlignment="1">
      <alignment horizontal="center" vertical="center" wrapText="1"/>
    </xf>
    <xf numFmtId="0" fontId="51" fillId="0" borderId="1" xfId="0" applyFont="1" applyBorder="1" applyAlignment="1">
      <alignment horizontal="center" vertical="center"/>
    </xf>
    <xf numFmtId="0" fontId="50" fillId="0" borderId="2" xfId="0" applyFont="1" applyFill="1" applyBorder="1" applyAlignment="1">
      <alignment horizontal="center" vertical="center" wrapText="1"/>
    </xf>
    <xf numFmtId="0" fontId="50" fillId="0" borderId="2" xfId="0" applyFont="1" applyFill="1" applyBorder="1" applyAlignment="1">
      <alignment horizontal="center" vertical="center"/>
    </xf>
    <xf numFmtId="0" fontId="50" fillId="0" borderId="1" xfId="0" applyFont="1" applyBorder="1"/>
    <xf numFmtId="0" fontId="50" fillId="0" borderId="1" xfId="0" applyFont="1" applyBorder="1" applyAlignment="1">
      <alignment horizontal="center" vertical="center"/>
    </xf>
    <xf numFmtId="0" fontId="50" fillId="6" borderId="1" xfId="0" applyFont="1" applyFill="1" applyBorder="1" applyAlignment="1">
      <alignment horizontal="center" vertical="center"/>
    </xf>
    <xf numFmtId="0" fontId="52" fillId="0" borderId="1" xfId="0" applyFont="1" applyBorder="1" applyAlignment="1">
      <alignment horizontal="center" vertical="center"/>
    </xf>
    <xf numFmtId="0" fontId="18" fillId="0" borderId="0" xfId="0" applyFont="1"/>
    <xf numFmtId="166" fontId="18" fillId="0" borderId="1" xfId="7" applyNumberFormat="1" applyFont="1" applyBorder="1" applyAlignment="1">
      <alignment horizontal="center" vertical="center"/>
    </xf>
    <xf numFmtId="166" fontId="50" fillId="0" borderId="1" xfId="0" applyNumberFormat="1" applyFont="1" applyFill="1" applyBorder="1" applyAlignment="1">
      <alignment horizontal="center" vertical="center" wrapText="1"/>
    </xf>
    <xf numFmtId="9" fontId="50" fillId="0" borderId="1" xfId="7" applyFont="1" applyBorder="1"/>
    <xf numFmtId="0" fontId="50" fillId="0" borderId="2" xfId="0" applyFont="1" applyFill="1" applyBorder="1" applyAlignment="1">
      <alignment horizontal="center" wrapText="1"/>
    </xf>
    <xf numFmtId="0" fontId="50" fillId="0" borderId="1" xfId="0" applyFont="1" applyFill="1" applyBorder="1" applyAlignment="1">
      <alignment horizontal="center" vertical="center"/>
    </xf>
    <xf numFmtId="0" fontId="50" fillId="0" borderId="3" xfId="0" applyFont="1" applyFill="1" applyBorder="1" applyAlignment="1">
      <alignment horizontal="center" vertical="center"/>
    </xf>
    <xf numFmtId="9" fontId="18" fillId="0" borderId="1" xfId="7" applyFont="1" applyBorder="1" applyAlignment="1">
      <alignment horizontal="center"/>
    </xf>
    <xf numFmtId="0" fontId="50" fillId="6" borderId="1" xfId="0" applyFont="1" applyFill="1" applyBorder="1"/>
    <xf numFmtId="0" fontId="50" fillId="7" borderId="2" xfId="0" applyFont="1" applyFill="1" applyBorder="1" applyAlignment="1">
      <alignment horizontal="center" wrapText="1"/>
    </xf>
    <xf numFmtId="0" fontId="50" fillId="7" borderId="1" xfId="0" applyFont="1" applyFill="1" applyBorder="1" applyAlignment="1">
      <alignment horizontal="center" vertical="center"/>
    </xf>
    <xf numFmtId="9" fontId="18" fillId="0" borderId="1" xfId="7" applyFont="1" applyBorder="1" applyAlignment="1">
      <alignment horizontal="center" vertical="center"/>
    </xf>
    <xf numFmtId="0" fontId="50" fillId="0" borderId="2" xfId="0" applyFont="1" applyBorder="1" applyAlignment="1">
      <alignment vertical="center" wrapText="1"/>
    </xf>
    <xf numFmtId="9" fontId="50" fillId="2" borderId="1" xfId="7" applyFont="1" applyFill="1" applyBorder="1" applyAlignment="1">
      <alignment horizontal="center" vertical="center"/>
    </xf>
    <xf numFmtId="0" fontId="50" fillId="6" borderId="2" xfId="0" applyFont="1" applyFill="1" applyBorder="1" applyAlignment="1">
      <alignment horizontal="center" wrapText="1"/>
    </xf>
    <xf numFmtId="0" fontId="50" fillId="6" borderId="1" xfId="0" applyFont="1" applyFill="1" applyBorder="1" applyAlignment="1">
      <alignment wrapText="1"/>
    </xf>
    <xf numFmtId="0" fontId="50" fillId="0" borderId="1" xfId="0" applyFont="1" applyBorder="1" applyAlignment="1">
      <alignment wrapText="1"/>
    </xf>
    <xf numFmtId="0" fontId="50" fillId="7" borderId="1" xfId="0" applyFont="1" applyFill="1" applyBorder="1" applyAlignment="1">
      <alignment wrapText="1"/>
    </xf>
    <xf numFmtId="0" fontId="50" fillId="0" borderId="3" xfId="0" applyFont="1" applyFill="1" applyBorder="1" applyAlignment="1">
      <alignment horizontal="center" vertical="center" wrapText="1"/>
    </xf>
    <xf numFmtId="9" fontId="50" fillId="9" borderId="1" xfId="7" applyFont="1" applyFill="1" applyBorder="1" applyAlignment="1">
      <alignment horizontal="center" vertical="center"/>
    </xf>
    <xf numFmtId="0" fontId="50" fillId="0" borderId="1" xfId="0" applyFont="1" applyFill="1" applyBorder="1" applyAlignment="1">
      <alignment horizontal="center" vertical="center" wrapText="1"/>
    </xf>
    <xf numFmtId="9" fontId="50" fillId="0" borderId="1" xfId="7" applyFont="1" applyFill="1" applyBorder="1" applyAlignment="1">
      <alignment horizontal="center" vertical="center" wrapText="1"/>
    </xf>
    <xf numFmtId="0" fontId="50" fillId="6" borderId="1" xfId="0" applyFont="1" applyFill="1" applyBorder="1" applyAlignment="1">
      <alignment horizontal="center" vertical="center" wrapText="1"/>
    </xf>
    <xf numFmtId="0" fontId="50" fillId="0" borderId="1" xfId="0" applyFont="1" applyBorder="1" applyAlignment="1">
      <alignment horizontal="center" vertical="center" wrapText="1"/>
    </xf>
    <xf numFmtId="43" fontId="50" fillId="0" borderId="1" xfId="2" applyFont="1" applyBorder="1"/>
    <xf numFmtId="0" fontId="50" fillId="0" borderId="1" xfId="0" applyFont="1" applyFill="1" applyBorder="1" applyAlignment="1">
      <alignment horizontal="center" wrapText="1"/>
    </xf>
    <xf numFmtId="0" fontId="50" fillId="0" borderId="1" xfId="3" applyNumberFormat="1" applyFont="1" applyFill="1" applyBorder="1" applyAlignment="1">
      <alignment horizontal="center" vertical="center"/>
    </xf>
    <xf numFmtId="0" fontId="39" fillId="0" borderId="1" xfId="0" applyFont="1" applyBorder="1" applyAlignment="1">
      <alignment horizontal="center" vertical="center"/>
    </xf>
    <xf numFmtId="9" fontId="53" fillId="0" borderId="1" xfId="7" applyFont="1" applyBorder="1" applyAlignment="1">
      <alignment horizontal="center" vertical="center"/>
    </xf>
    <xf numFmtId="0" fontId="50" fillId="6" borderId="11" xfId="0" applyFont="1" applyFill="1" applyBorder="1" applyAlignment="1">
      <alignment horizontal="center" wrapText="1"/>
    </xf>
    <xf numFmtId="0" fontId="50" fillId="0" borderId="11" xfId="0" applyFont="1" applyFill="1" applyBorder="1" applyAlignment="1">
      <alignment horizontal="center" wrapText="1"/>
    </xf>
    <xf numFmtId="0" fontId="50" fillId="0" borderId="11" xfId="3" applyNumberFormat="1" applyFont="1" applyFill="1" applyBorder="1" applyAlignment="1">
      <alignment horizontal="center" vertical="center"/>
    </xf>
    <xf numFmtId="9" fontId="50" fillId="2" borderId="1" xfId="0" applyNumberFormat="1" applyFont="1" applyFill="1" applyBorder="1" applyAlignment="1">
      <alignment horizontal="center" vertical="center"/>
    </xf>
    <xf numFmtId="0" fontId="50" fillId="0" borderId="11" xfId="0" applyFont="1" applyFill="1" applyBorder="1" applyAlignment="1">
      <alignment horizontal="center" vertical="center" wrapText="1"/>
    </xf>
    <xf numFmtId="0" fontId="50" fillId="0" borderId="1" xfId="0" applyFont="1" applyBorder="1" applyAlignment="1">
      <alignment vertical="center"/>
    </xf>
    <xf numFmtId="9" fontId="50" fillId="2" borderId="1" xfId="0" applyNumberFormat="1" applyFont="1" applyFill="1" applyBorder="1" applyAlignment="1">
      <alignment horizontal="center" vertical="center" wrapText="1"/>
    </xf>
    <xf numFmtId="0" fontId="50" fillId="0" borderId="2" xfId="0" applyFont="1" applyBorder="1" applyAlignment="1">
      <alignment horizontal="center" vertical="center" wrapText="1"/>
    </xf>
    <xf numFmtId="0" fontId="50" fillId="0" borderId="1" xfId="0" applyFont="1" applyFill="1" applyBorder="1"/>
    <xf numFmtId="9" fontId="18" fillId="2" borderId="1" xfId="7" applyFont="1" applyFill="1" applyBorder="1" applyAlignment="1">
      <alignment horizontal="center" vertical="center"/>
    </xf>
    <xf numFmtId="167" fontId="50" fillId="0" borderId="1" xfId="2" applyNumberFormat="1" applyFont="1" applyFill="1" applyBorder="1" applyAlignment="1">
      <alignment horizontal="center" vertical="center" wrapText="1"/>
    </xf>
    <xf numFmtId="167" fontId="50" fillId="0" borderId="1" xfId="2" applyNumberFormat="1" applyFont="1" applyBorder="1" applyAlignment="1">
      <alignment horizontal="center" vertical="center"/>
    </xf>
    <xf numFmtId="3" fontId="54" fillId="0" borderId="1" xfId="0" applyNumberFormat="1" applyFont="1" applyFill="1" applyBorder="1" applyAlignment="1">
      <alignment horizontal="center" vertical="center" wrapText="1"/>
    </xf>
    <xf numFmtId="167" fontId="50" fillId="0" borderId="1" xfId="0" applyNumberFormat="1" applyFont="1" applyBorder="1" applyAlignment="1">
      <alignment horizontal="center" vertical="center"/>
    </xf>
    <xf numFmtId="0" fontId="50" fillId="0" borderId="0" xfId="0" applyFont="1" applyAlignment="1">
      <alignment horizontal="center" vertical="center"/>
    </xf>
    <xf numFmtId="0" fontId="50" fillId="0" borderId="11" xfId="0" applyFont="1" applyBorder="1" applyAlignment="1">
      <alignment horizontal="center" vertical="center" wrapText="1"/>
    </xf>
    <xf numFmtId="167" fontId="50" fillId="0" borderId="1" xfId="0" applyNumberFormat="1" applyFont="1" applyBorder="1"/>
    <xf numFmtId="0" fontId="50" fillId="0" borderId="3" xfId="0" applyFont="1" applyBorder="1" applyAlignment="1">
      <alignment horizontal="center" vertical="center" wrapText="1"/>
    </xf>
    <xf numFmtId="0" fontId="50" fillId="0" borderId="1" xfId="0" applyFont="1" applyBorder="1" applyAlignment="1">
      <alignment horizontal="center" wrapText="1"/>
    </xf>
    <xf numFmtId="0" fontId="50" fillId="0" borderId="3" xfId="0" applyFont="1" applyBorder="1" applyAlignment="1">
      <alignment vertical="center" wrapText="1"/>
    </xf>
    <xf numFmtId="9" fontId="50" fillId="11" borderId="1" xfId="7" applyFont="1" applyFill="1" applyBorder="1" applyAlignment="1">
      <alignment horizontal="center" vertical="center"/>
    </xf>
    <xf numFmtId="9" fontId="50" fillId="6" borderId="1" xfId="7" applyFont="1" applyFill="1" applyBorder="1" applyAlignment="1">
      <alignment horizontal="center" vertical="center"/>
    </xf>
    <xf numFmtId="43" fontId="50" fillId="0" borderId="1" xfId="2" applyFont="1" applyBorder="1" applyAlignment="1">
      <alignment horizontal="center" vertical="center"/>
    </xf>
    <xf numFmtId="9" fontId="18" fillId="9" borderId="1" xfId="7" applyFont="1" applyFill="1" applyBorder="1" applyAlignment="1">
      <alignment horizontal="center" vertical="center"/>
    </xf>
    <xf numFmtId="0" fontId="50" fillId="0" borderId="1" xfId="7" applyNumberFormat="1" applyFont="1" applyFill="1" applyBorder="1" applyAlignment="1">
      <alignment horizontal="center" vertical="center"/>
    </xf>
    <xf numFmtId="9" fontId="18" fillId="9" borderId="1" xfId="0" applyNumberFormat="1" applyFont="1" applyFill="1" applyBorder="1" applyAlignment="1">
      <alignment horizontal="center" vertical="center"/>
    </xf>
    <xf numFmtId="167" fontId="50" fillId="0" borderId="1" xfId="2" applyNumberFormat="1" applyFont="1" applyBorder="1" applyAlignment="1">
      <alignment vertical="center"/>
    </xf>
    <xf numFmtId="9" fontId="50" fillId="9" borderId="1" xfId="0" applyNumberFormat="1" applyFont="1" applyFill="1" applyBorder="1" applyAlignment="1">
      <alignment horizontal="center" vertical="center"/>
    </xf>
    <xf numFmtId="0" fontId="50" fillId="0" borderId="3" xfId="0" applyFont="1" applyBorder="1" applyAlignment="1">
      <alignment horizontal="center"/>
    </xf>
    <xf numFmtId="9" fontId="50" fillId="0" borderId="1" xfId="0" applyNumberFormat="1" applyFont="1" applyBorder="1" applyAlignment="1">
      <alignment horizontal="center" vertical="center" wrapText="1"/>
    </xf>
    <xf numFmtId="9" fontId="50" fillId="0" borderId="1" xfId="0" applyNumberFormat="1" applyFont="1" applyBorder="1" applyAlignment="1">
      <alignment horizontal="center" vertical="center"/>
    </xf>
    <xf numFmtId="167" fontId="50" fillId="0" borderId="1" xfId="2" applyNumberFormat="1" applyFont="1" applyBorder="1"/>
    <xf numFmtId="0" fontId="50" fillId="0" borderId="11" xfId="0" applyFont="1" applyBorder="1"/>
    <xf numFmtId="43" fontId="50" fillId="0" borderId="1" xfId="2" applyFont="1" applyBorder="1" applyAlignment="1">
      <alignment vertical="center"/>
    </xf>
    <xf numFmtId="9" fontId="50" fillId="0" borderId="1" xfId="7" applyFont="1" applyBorder="1" applyAlignment="1">
      <alignment horizontal="center" vertical="center"/>
    </xf>
    <xf numFmtId="0" fontId="55" fillId="0" borderId="1" xfId="0" applyFont="1" applyFill="1" applyBorder="1" applyAlignment="1">
      <alignment horizontal="center" vertical="center" wrapText="1"/>
    </xf>
    <xf numFmtId="9" fontId="50" fillId="0" borderId="2" xfId="7" applyFont="1" applyFill="1" applyBorder="1" applyAlignment="1">
      <alignment horizontal="center" vertical="center" wrapText="1"/>
    </xf>
    <xf numFmtId="9" fontId="50" fillId="2" borderId="1" xfId="0" applyNumberFormat="1" applyFont="1" applyFill="1" applyBorder="1" applyAlignment="1">
      <alignment horizontal="center"/>
    </xf>
    <xf numFmtId="165" fontId="50" fillId="0" borderId="1" xfId="4" applyFont="1" applyBorder="1"/>
    <xf numFmtId="0" fontId="50" fillId="0" borderId="2" xfId="0" applyFont="1" applyBorder="1"/>
    <xf numFmtId="9" fontId="50" fillId="11" borderId="1" xfId="0" applyNumberFormat="1" applyFont="1" applyFill="1" applyBorder="1" applyAlignment="1">
      <alignment horizontal="center" vertical="center"/>
    </xf>
    <xf numFmtId="0" fontId="51" fillId="7" borderId="3" xfId="0" applyFont="1" applyFill="1" applyBorder="1" applyAlignment="1">
      <alignment horizontal="center" vertical="center" wrapText="1"/>
    </xf>
    <xf numFmtId="9" fontId="50" fillId="6" borderId="0" xfId="0" applyNumberFormat="1" applyFont="1" applyFill="1" applyAlignment="1">
      <alignment horizontal="center" vertical="center"/>
    </xf>
    <xf numFmtId="0" fontId="50" fillId="0" borderId="1" xfId="0" applyNumberFormat="1" applyFont="1" applyFill="1" applyBorder="1" applyAlignment="1">
      <alignment horizontal="center" vertical="center"/>
    </xf>
    <xf numFmtId="9" fontId="18" fillId="0" borderId="1" xfId="7" applyNumberFormat="1" applyFont="1" applyBorder="1" applyAlignment="1">
      <alignment horizontal="center" vertical="center"/>
    </xf>
    <xf numFmtId="0" fontId="50" fillId="0" borderId="2" xfId="0" applyNumberFormat="1" applyFont="1" applyFill="1" applyBorder="1" applyAlignment="1">
      <alignment horizontal="center" vertical="center"/>
    </xf>
    <xf numFmtId="0" fontId="50" fillId="0" borderId="0" xfId="0" applyFont="1" applyAlignment="1">
      <alignment horizontal="center" vertical="center" wrapText="1"/>
    </xf>
    <xf numFmtId="0" fontId="50" fillId="0" borderId="1" xfId="0" applyFont="1" applyBorder="1" applyAlignment="1">
      <alignment vertical="center" wrapText="1"/>
    </xf>
    <xf numFmtId="0" fontId="50" fillId="0" borderId="1" xfId="0" applyFont="1" applyBorder="1" applyAlignment="1">
      <alignment horizontal="left" vertical="center" wrapText="1"/>
    </xf>
    <xf numFmtId="9" fontId="50" fillId="0" borderId="3" xfId="7" applyFont="1" applyFill="1" applyBorder="1" applyAlignment="1">
      <alignment horizontal="center" vertical="center" wrapText="1"/>
    </xf>
    <xf numFmtId="0" fontId="50" fillId="0" borderId="3" xfId="0" applyFont="1" applyBorder="1" applyAlignment="1">
      <alignment horizontal="center" vertical="center"/>
    </xf>
    <xf numFmtId="1" fontId="50" fillId="12" borderId="1" xfId="0" applyNumberFormat="1" applyFont="1" applyFill="1" applyBorder="1" applyAlignment="1">
      <alignment horizontal="center" vertical="center" wrapText="1"/>
    </xf>
    <xf numFmtId="9" fontId="50" fillId="0" borderId="1" xfId="0" applyNumberFormat="1" applyFont="1" applyFill="1" applyBorder="1" applyAlignment="1">
      <alignment horizontal="center" vertical="center" wrapText="1"/>
    </xf>
    <xf numFmtId="1" fontId="50" fillId="0" borderId="1" xfId="0" applyNumberFormat="1" applyFont="1" applyFill="1" applyBorder="1" applyAlignment="1">
      <alignment horizontal="center" vertical="center" wrapText="1"/>
    </xf>
    <xf numFmtId="2" fontId="50" fillId="0" borderId="1" xfId="7" applyNumberFormat="1" applyFont="1" applyBorder="1" applyAlignment="1">
      <alignment horizontal="center" vertical="center"/>
    </xf>
    <xf numFmtId="0" fontId="56" fillId="0" borderId="0" xfId="0" applyFont="1" applyAlignment="1">
      <alignment horizontal="center" wrapText="1"/>
    </xf>
    <xf numFmtId="0" fontId="50" fillId="2" borderId="1" xfId="0" applyFont="1" applyFill="1" applyBorder="1" applyAlignment="1">
      <alignment horizontal="center" vertical="center"/>
    </xf>
    <xf numFmtId="0" fontId="50" fillId="0" borderId="13" xfId="0" applyFont="1" applyFill="1" applyBorder="1" applyAlignment="1">
      <alignment horizontal="center" vertical="center" wrapText="1"/>
    </xf>
    <xf numFmtId="0" fontId="50" fillId="0" borderId="13" xfId="0" applyFont="1" applyBorder="1"/>
    <xf numFmtId="9" fontId="39" fillId="2" borderId="1" xfId="0" applyNumberFormat="1" applyFont="1" applyFill="1" applyBorder="1" applyAlignment="1">
      <alignment horizontal="center" vertical="center"/>
    </xf>
    <xf numFmtId="0" fontId="50" fillId="0" borderId="13" xfId="0" applyFont="1" applyFill="1" applyBorder="1" applyAlignment="1">
      <alignment horizontal="center" vertical="center"/>
    </xf>
    <xf numFmtId="9" fontId="50" fillId="0" borderId="1" xfId="0" applyNumberFormat="1" applyFont="1" applyFill="1" applyBorder="1" applyAlignment="1">
      <alignment horizontal="center" vertical="center"/>
    </xf>
    <xf numFmtId="9" fontId="53" fillId="2" borderId="1" xfId="7" applyFont="1" applyFill="1" applyBorder="1" applyAlignment="1">
      <alignment horizontal="center" vertical="center"/>
    </xf>
    <xf numFmtId="1" fontId="50" fillId="0" borderId="1" xfId="0" applyNumberFormat="1" applyFont="1" applyFill="1" applyBorder="1" applyAlignment="1">
      <alignment horizontal="center" vertical="center"/>
    </xf>
    <xf numFmtId="0" fontId="50" fillId="0" borderId="1" xfId="0" applyFont="1" applyBorder="1" applyAlignment="1">
      <alignment horizontal="left" wrapText="1"/>
    </xf>
    <xf numFmtId="0" fontId="50" fillId="0" borderId="11" xfId="0" applyFont="1" applyBorder="1" applyAlignment="1">
      <alignment horizontal="center" vertical="center"/>
    </xf>
    <xf numFmtId="3" fontId="50" fillId="0" borderId="1" xfId="0" applyNumberFormat="1" applyFont="1" applyBorder="1" applyAlignment="1">
      <alignment horizontal="center" vertical="center"/>
    </xf>
    <xf numFmtId="0" fontId="50" fillId="0" borderId="13" xfId="0" applyFont="1" applyBorder="1" applyAlignment="1">
      <alignment horizontal="center"/>
    </xf>
    <xf numFmtId="0" fontId="50" fillId="0" borderId="13" xfId="0" applyFont="1" applyBorder="1" applyAlignment="1">
      <alignment horizontal="center" wrapText="1"/>
    </xf>
    <xf numFmtId="9" fontId="39" fillId="9" borderId="1" xfId="7" applyFont="1" applyFill="1" applyBorder="1" applyAlignment="1">
      <alignment horizontal="center" vertical="center"/>
    </xf>
    <xf numFmtId="9" fontId="18" fillId="11" borderId="0" xfId="7" applyFont="1" applyFill="1" applyAlignment="1">
      <alignment horizontal="center" vertical="center"/>
    </xf>
    <xf numFmtId="0" fontId="50" fillId="7" borderId="1" xfId="0" applyFont="1" applyFill="1" applyBorder="1"/>
    <xf numFmtId="166" fontId="51" fillId="3" borderId="1" xfId="7" applyNumberFormat="1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30" fillId="7" borderId="1" xfId="0" applyFont="1" applyFill="1" applyBorder="1" applyAlignment="1">
      <alignment horizontal="center" vertical="center" wrapText="1"/>
    </xf>
    <xf numFmtId="0" fontId="50" fillId="7" borderId="1" xfId="0" applyFont="1" applyFill="1" applyBorder="1" applyAlignment="1">
      <alignment horizontal="center" vertical="center" wrapText="1"/>
    </xf>
    <xf numFmtId="0" fontId="50" fillId="0" borderId="1" xfId="0" applyFont="1" applyBorder="1" applyAlignment="1">
      <alignment horizontal="center" vertical="center"/>
    </xf>
    <xf numFmtId="0" fontId="30" fillId="6" borderId="1" xfId="0" applyFont="1" applyFill="1" applyBorder="1" applyAlignment="1">
      <alignment horizontal="center" vertical="center" wrapText="1"/>
    </xf>
    <xf numFmtId="0" fontId="30" fillId="2" borderId="1" xfId="0" applyFont="1" applyFill="1" applyBorder="1" applyAlignment="1">
      <alignment horizontal="center" vertical="center" wrapText="1"/>
    </xf>
    <xf numFmtId="170" fontId="13" fillId="0" borderId="1" xfId="7" applyNumberFormat="1" applyFont="1" applyBorder="1" applyAlignment="1">
      <alignment horizontal="center" vertical="center"/>
    </xf>
    <xf numFmtId="166" fontId="0" fillId="11" borderId="1" xfId="0" applyNumberFormat="1" applyFill="1" applyBorder="1" applyAlignment="1">
      <alignment horizontal="center"/>
    </xf>
    <xf numFmtId="166" fontId="0" fillId="11" borderId="1" xfId="0" applyNumberFormat="1" applyFill="1" applyBorder="1" applyAlignment="1">
      <alignment horizontal="center" vertical="center"/>
    </xf>
    <xf numFmtId="166" fontId="12" fillId="2" borderId="1" xfId="7" applyNumberFormat="1" applyFont="1" applyFill="1" applyBorder="1" applyAlignment="1">
      <alignment horizontal="center"/>
    </xf>
    <xf numFmtId="9" fontId="12" fillId="2" borderId="1" xfId="7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 wrapText="1"/>
    </xf>
    <xf numFmtId="9" fontId="0" fillId="0" borderId="1" xfId="0" applyNumberFormat="1" applyFont="1" applyFill="1" applyBorder="1" applyAlignment="1">
      <alignment horizontal="center" vertical="center" wrapText="1"/>
    </xf>
    <xf numFmtId="0" fontId="0" fillId="7" borderId="1" xfId="0" applyFont="1" applyFill="1" applyBorder="1" applyAlignment="1">
      <alignment horizontal="center" vertical="center" wrapText="1"/>
    </xf>
    <xf numFmtId="0" fontId="50" fillId="0" borderId="1" xfId="0" applyFont="1" applyBorder="1" applyAlignment="1">
      <alignment horizontal="center" vertical="center"/>
    </xf>
    <xf numFmtId="0" fontId="0" fillId="7" borderId="1" xfId="0" applyFont="1" applyFill="1" applyBorder="1" applyAlignment="1">
      <alignment horizontal="center" vertical="center"/>
    </xf>
    <xf numFmtId="0" fontId="50" fillId="0" borderId="1" xfId="0" applyFont="1" applyBorder="1" applyAlignment="1">
      <alignment horizontal="center" vertical="center"/>
    </xf>
    <xf numFmtId="0" fontId="4" fillId="6" borderId="2" xfId="0" applyFont="1" applyFill="1" applyBorder="1" applyAlignment="1">
      <alignment horizontal="center" vertical="center"/>
    </xf>
    <xf numFmtId="0" fontId="6" fillId="12" borderId="1" xfId="0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 wrapText="1"/>
    </xf>
    <xf numFmtId="0" fontId="6" fillId="7" borderId="15" xfId="0" applyFont="1" applyFill="1" applyBorder="1" applyAlignment="1">
      <alignment horizontal="center" vertical="center" wrapText="1"/>
    </xf>
    <xf numFmtId="0" fontId="13" fillId="7" borderId="26" xfId="0" applyFont="1" applyFill="1" applyBorder="1" applyAlignment="1">
      <alignment horizontal="center" vertical="center" wrapText="1" readingOrder="1"/>
    </xf>
    <xf numFmtId="166" fontId="34" fillId="7" borderId="1" xfId="7" applyNumberFormat="1" applyFont="1" applyFill="1" applyBorder="1" applyAlignment="1">
      <alignment horizontal="center" vertical="center"/>
    </xf>
    <xf numFmtId="0" fontId="13" fillId="7" borderId="26" xfId="0" applyFont="1" applyFill="1" applyBorder="1" applyAlignment="1">
      <alignment horizontal="center" vertical="center" wrapText="1"/>
    </xf>
    <xf numFmtId="166" fontId="13" fillId="7" borderId="1" xfId="7" applyNumberFormat="1" applyFont="1" applyFill="1" applyBorder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 wrapText="1"/>
    </xf>
    <xf numFmtId="0" fontId="7" fillId="13" borderId="1" xfId="0" applyNumberFormat="1" applyFont="1" applyFill="1" applyBorder="1" applyAlignment="1">
      <alignment horizontal="center" vertical="center" wrapText="1"/>
    </xf>
    <xf numFmtId="171" fontId="0" fillId="0" borderId="0" xfId="0" applyNumberFormat="1"/>
    <xf numFmtId="0" fontId="0" fillId="0" borderId="1" xfId="0" applyNumberFormat="1" applyBorder="1" applyAlignment="1">
      <alignment horizontal="center" vertical="center"/>
    </xf>
    <xf numFmtId="0" fontId="0" fillId="0" borderId="16" xfId="0" applyFill="1" applyBorder="1" applyAlignment="1">
      <alignment horizontal="center" vertical="center" wrapText="1"/>
    </xf>
    <xf numFmtId="0" fontId="42" fillId="0" borderId="16" xfId="0" applyFont="1" applyFill="1" applyBorder="1" applyAlignment="1">
      <alignment horizontal="center" vertical="center" wrapText="1"/>
    </xf>
    <xf numFmtId="3" fontId="57" fillId="7" borderId="11" xfId="6" applyNumberFormat="1" applyFont="1" applyFill="1" applyBorder="1" applyAlignment="1">
      <alignment horizontal="center" vertical="center" wrapText="1"/>
    </xf>
    <xf numFmtId="3" fontId="58" fillId="0" borderId="2" xfId="0" applyNumberFormat="1" applyFont="1" applyBorder="1" applyAlignment="1">
      <alignment horizontal="center" vertical="center" wrapText="1"/>
    </xf>
    <xf numFmtId="166" fontId="0" fillId="0" borderId="1" xfId="0" applyNumberFormat="1" applyFont="1" applyFill="1" applyBorder="1" applyAlignment="1">
      <alignment horizontal="center" vertical="center" wrapText="1"/>
    </xf>
    <xf numFmtId="9" fontId="29" fillId="3" borderId="1" xfId="7" applyNumberFormat="1" applyFont="1" applyFill="1" applyBorder="1" applyAlignment="1">
      <alignment horizontal="center" vertical="center"/>
    </xf>
    <xf numFmtId="9" fontId="0" fillId="2" borderId="1" xfId="0" applyNumberFormat="1" applyFont="1" applyFill="1" applyBorder="1" applyAlignment="1">
      <alignment horizontal="center" vertical="center"/>
    </xf>
    <xf numFmtId="9" fontId="20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Border="1"/>
    <xf numFmtId="0" fontId="12" fillId="0" borderId="1" xfId="0" applyFont="1" applyBorder="1" applyAlignment="1">
      <alignment horizontal="center"/>
    </xf>
    <xf numFmtId="0" fontId="0" fillId="0" borderId="1" xfId="0" applyFont="1" applyFill="1" applyBorder="1" applyAlignment="1">
      <alignment horizontal="center" vertical="center" wrapText="1"/>
    </xf>
    <xf numFmtId="166" fontId="0" fillId="0" borderId="1" xfId="0" applyNumberFormat="1" applyFont="1" applyFill="1" applyBorder="1" applyAlignment="1">
      <alignment horizontal="center" vertical="center" wrapText="1"/>
    </xf>
    <xf numFmtId="9" fontId="0" fillId="0" borderId="1" xfId="0" applyNumberFormat="1" applyFont="1" applyFill="1" applyBorder="1" applyAlignment="1">
      <alignment horizontal="center" vertical="center" wrapText="1"/>
    </xf>
    <xf numFmtId="0" fontId="0" fillId="7" borderId="1" xfId="0" applyFont="1" applyFill="1" applyBorder="1" applyAlignment="1">
      <alignment horizontal="center" vertical="center"/>
    </xf>
    <xf numFmtId="9" fontId="8" fillId="11" borderId="1" xfId="7" applyNumberFormat="1" applyFont="1" applyFill="1" applyBorder="1" applyAlignment="1">
      <alignment horizontal="center"/>
    </xf>
    <xf numFmtId="166" fontId="8" fillId="0" borderId="0" xfId="7" applyNumberFormat="1" applyFont="1"/>
    <xf numFmtId="2" fontId="0" fillId="0" borderId="1" xfId="0" applyNumberFormat="1" applyFont="1" applyFill="1" applyBorder="1" applyAlignment="1">
      <alignment horizontal="left" vertical="center" wrapText="1"/>
    </xf>
    <xf numFmtId="2" fontId="13" fillId="0" borderId="1" xfId="7" applyNumberFormat="1" applyFont="1" applyBorder="1" applyAlignment="1">
      <alignment horizontal="center" vertical="center"/>
    </xf>
    <xf numFmtId="0" fontId="12" fillId="0" borderId="1" xfId="0" applyNumberFormat="1" applyFont="1" applyBorder="1"/>
    <xf numFmtId="17" fontId="12" fillId="0" borderId="1" xfId="0" applyNumberFormat="1" applyFont="1" applyBorder="1"/>
    <xf numFmtId="39" fontId="45" fillId="0" borderId="1" xfId="0" applyNumberFormat="1" applyFont="1" applyBorder="1" applyAlignment="1">
      <alignment horizontal="center" vertical="center"/>
    </xf>
    <xf numFmtId="164" fontId="12" fillId="0" borderId="1" xfId="5" applyFont="1" applyFill="1" applyBorder="1" applyAlignment="1">
      <alignment horizontal="center" vertical="center" wrapText="1"/>
    </xf>
    <xf numFmtId="10" fontId="34" fillId="0" borderId="1" xfId="7" applyNumberFormat="1" applyFont="1" applyBorder="1" applyAlignment="1">
      <alignment horizontal="center" vertical="center"/>
    </xf>
    <xf numFmtId="9" fontId="8" fillId="0" borderId="11" xfId="7" applyFont="1" applyBorder="1" applyAlignment="1">
      <alignment horizontal="center" vertical="center" wrapText="1"/>
    </xf>
    <xf numFmtId="9" fontId="8" fillId="0" borderId="2" xfId="7" applyFont="1" applyBorder="1" applyAlignment="1">
      <alignment horizontal="center" vertical="center" wrapText="1"/>
    </xf>
    <xf numFmtId="167" fontId="8" fillId="0" borderId="11" xfId="2" applyNumberFormat="1" applyFont="1" applyBorder="1" applyAlignment="1">
      <alignment horizontal="center" vertical="center" wrapText="1"/>
    </xf>
    <xf numFmtId="167" fontId="8" fillId="0" borderId="2" xfId="2" applyNumberFormat="1" applyFont="1" applyBorder="1" applyAlignment="1">
      <alignment horizontal="center" vertical="center" wrapText="1"/>
    </xf>
    <xf numFmtId="0" fontId="30" fillId="7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9" fontId="8" fillId="0" borderId="1" xfId="7" applyFont="1" applyFill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 wrapText="1"/>
    </xf>
    <xf numFmtId="0" fontId="12" fillId="12" borderId="1" xfId="0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 wrapText="1"/>
    </xf>
    <xf numFmtId="9" fontId="0" fillId="0" borderId="1" xfId="0" applyNumberFormat="1" applyFont="1" applyFill="1" applyBorder="1" applyAlignment="1">
      <alignment horizontal="center" vertical="center"/>
    </xf>
    <xf numFmtId="0" fontId="12" fillId="19" borderId="1" xfId="0" applyFont="1" applyFill="1" applyBorder="1" applyAlignment="1">
      <alignment horizontal="center" vertical="center" wrapText="1"/>
    </xf>
    <xf numFmtId="9" fontId="0" fillId="0" borderId="1" xfId="0" applyNumberFormat="1" applyFont="1" applyFill="1" applyBorder="1" applyAlignment="1">
      <alignment horizontal="center" vertical="center" wrapText="1"/>
    </xf>
    <xf numFmtId="9" fontId="8" fillId="0" borderId="1" xfId="7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12" fillId="16" borderId="1" xfId="0" applyFont="1" applyFill="1" applyBorder="1" applyAlignment="1">
      <alignment horizontal="center" vertical="center" wrapText="1"/>
    </xf>
    <xf numFmtId="0" fontId="59" fillId="12" borderId="1" xfId="0" applyFont="1" applyFill="1" applyBorder="1" applyAlignment="1">
      <alignment horizontal="center" vertical="center" wrapText="1"/>
    </xf>
    <xf numFmtId="0" fontId="12" fillId="17" borderId="1" xfId="0" applyFont="1" applyFill="1" applyBorder="1" applyAlignment="1">
      <alignment horizontal="center" vertical="center" wrapText="1"/>
    </xf>
    <xf numFmtId="166" fontId="8" fillId="0" borderId="1" xfId="7" applyNumberFormat="1" applyFont="1" applyFill="1" applyBorder="1" applyAlignment="1">
      <alignment horizontal="center" vertical="center" wrapText="1"/>
    </xf>
    <xf numFmtId="0" fontId="12" fillId="18" borderId="1" xfId="0" applyFont="1" applyFill="1" applyBorder="1" applyAlignment="1">
      <alignment horizontal="center" vertical="center" wrapText="1"/>
    </xf>
    <xf numFmtId="0" fontId="0" fillId="20" borderId="1" xfId="0" applyFont="1" applyFill="1" applyBorder="1" applyAlignment="1">
      <alignment horizontal="center" vertical="center" wrapText="1"/>
    </xf>
    <xf numFmtId="0" fontId="12" fillId="21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12" fillId="15" borderId="1" xfId="0" applyFont="1" applyFill="1" applyBorder="1" applyAlignment="1">
      <alignment horizontal="center" vertical="center" wrapText="1"/>
    </xf>
    <xf numFmtId="0" fontId="0" fillId="7" borderId="1" xfId="0" applyFont="1" applyFill="1" applyBorder="1" applyAlignment="1">
      <alignment horizontal="center" vertical="center" wrapText="1"/>
    </xf>
    <xf numFmtId="9" fontId="8" fillId="0" borderId="1" xfId="7" applyNumberFormat="1" applyFont="1" applyFill="1" applyBorder="1" applyAlignment="1">
      <alignment horizontal="center" vertical="center"/>
    </xf>
    <xf numFmtId="10" fontId="0" fillId="0" borderId="1" xfId="0" applyNumberFormat="1" applyFont="1" applyBorder="1" applyAlignment="1">
      <alignment horizontal="center" vertical="center"/>
    </xf>
    <xf numFmtId="9" fontId="0" fillId="0" borderId="1" xfId="0" applyNumberFormat="1" applyFont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center" vertical="center" wrapText="1"/>
    </xf>
    <xf numFmtId="166" fontId="0" fillId="0" borderId="1" xfId="0" applyNumberFormat="1" applyFont="1" applyFill="1" applyBorder="1" applyAlignment="1">
      <alignment horizontal="center" vertical="center" wrapText="1"/>
    </xf>
    <xf numFmtId="166" fontId="0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21" fillId="11" borderId="1" xfId="0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/>
    </xf>
    <xf numFmtId="0" fontId="21" fillId="0" borderId="16" xfId="0" applyFont="1" applyBorder="1" applyAlignment="1">
      <alignment horizontal="center" vertical="center" wrapText="1"/>
    </xf>
    <xf numFmtId="0" fontId="21" fillId="0" borderId="20" xfId="0" applyFont="1" applyBorder="1" applyAlignment="1">
      <alignment horizontal="center" vertical="center" wrapText="1"/>
    </xf>
    <xf numFmtId="0" fontId="21" fillId="0" borderId="13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left" vertical="center" wrapText="1"/>
    </xf>
    <xf numFmtId="0" fontId="12" fillId="11" borderId="1" xfId="0" applyFont="1" applyFill="1" applyBorder="1" applyAlignment="1">
      <alignment horizontal="center" vertical="center" wrapText="1"/>
    </xf>
    <xf numFmtId="10" fontId="0" fillId="0" borderId="1" xfId="0" applyNumberFormat="1" applyFont="1" applyFill="1" applyBorder="1" applyAlignment="1">
      <alignment horizontal="center" vertical="center" wrapText="1"/>
    </xf>
    <xf numFmtId="0" fontId="0" fillId="0" borderId="13" xfId="0" applyFont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/>
    </xf>
    <xf numFmtId="166" fontId="8" fillId="0" borderId="1" xfId="7" applyNumberFormat="1" applyFont="1" applyFill="1" applyBorder="1" applyAlignment="1">
      <alignment horizontal="center" vertical="center"/>
    </xf>
    <xf numFmtId="1" fontId="0" fillId="0" borderId="11" xfId="0" applyNumberFormat="1" applyFont="1" applyBorder="1" applyAlignment="1">
      <alignment horizontal="center" vertical="center" wrapText="1"/>
    </xf>
    <xf numFmtId="1" fontId="0" fillId="0" borderId="3" xfId="0" applyNumberFormat="1" applyFont="1" applyBorder="1" applyAlignment="1">
      <alignment horizontal="center" vertical="center" wrapText="1"/>
    </xf>
    <xf numFmtId="1" fontId="0" fillId="0" borderId="2" xfId="0" applyNumberFormat="1" applyFont="1" applyBorder="1" applyAlignment="1">
      <alignment horizontal="center" vertical="center" wrapText="1"/>
    </xf>
    <xf numFmtId="9" fontId="8" fillId="0" borderId="3" xfId="7" applyFont="1" applyBorder="1" applyAlignment="1">
      <alignment horizontal="center" vertical="center" wrapText="1"/>
    </xf>
    <xf numFmtId="167" fontId="8" fillId="0" borderId="3" xfId="2" applyNumberFormat="1" applyFont="1" applyBorder="1" applyAlignment="1">
      <alignment horizontal="center" vertical="center" wrapText="1"/>
    </xf>
    <xf numFmtId="10" fontId="8" fillId="0" borderId="11" xfId="7" applyNumberFormat="1" applyFont="1" applyBorder="1" applyAlignment="1">
      <alignment horizontal="center" vertical="center" wrapText="1"/>
    </xf>
    <xf numFmtId="10" fontId="8" fillId="0" borderId="3" xfId="7" applyNumberFormat="1" applyFont="1" applyBorder="1" applyAlignment="1">
      <alignment horizontal="center" vertical="center" wrapText="1"/>
    </xf>
    <xf numFmtId="10" fontId="8" fillId="0" borderId="2" xfId="7" applyNumberFormat="1" applyFont="1" applyBorder="1" applyAlignment="1">
      <alignment horizontal="center" vertical="center" wrapText="1"/>
    </xf>
    <xf numFmtId="0" fontId="0" fillId="0" borderId="11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10" fontId="0" fillId="0" borderId="11" xfId="0" applyNumberFormat="1" applyFont="1" applyFill="1" applyBorder="1" applyAlignment="1">
      <alignment horizontal="center" vertical="center" wrapText="1"/>
    </xf>
    <xf numFmtId="10" fontId="0" fillId="0" borderId="17" xfId="0" applyNumberFormat="1" applyFont="1" applyFill="1" applyBorder="1" applyAlignment="1">
      <alignment horizontal="center" vertical="center" wrapText="1"/>
    </xf>
    <xf numFmtId="0" fontId="0" fillId="0" borderId="18" xfId="0" applyFont="1" applyFill="1" applyBorder="1" applyAlignment="1">
      <alignment horizontal="center" vertical="center" wrapText="1"/>
    </xf>
    <xf numFmtId="0" fontId="0" fillId="0" borderId="19" xfId="0" applyFont="1" applyFill="1" applyBorder="1" applyAlignment="1">
      <alignment horizontal="center" vertical="center" wrapText="1"/>
    </xf>
    <xf numFmtId="10" fontId="0" fillId="0" borderId="28" xfId="0" applyNumberFormat="1" applyFont="1" applyFill="1" applyBorder="1" applyAlignment="1">
      <alignment horizontal="center" vertical="center" wrapText="1"/>
    </xf>
    <xf numFmtId="10" fontId="0" fillId="0" borderId="30" xfId="0" applyNumberFormat="1" applyFont="1" applyFill="1" applyBorder="1" applyAlignment="1">
      <alignment horizontal="center" vertical="center" wrapText="1"/>
    </xf>
    <xf numFmtId="0" fontId="0" fillId="0" borderId="28" xfId="0" applyFont="1" applyFill="1" applyBorder="1" applyAlignment="1">
      <alignment horizontal="center" vertical="center" wrapText="1"/>
    </xf>
    <xf numFmtId="0" fontId="0" fillId="0" borderId="30" xfId="0" applyFont="1" applyFill="1" applyBorder="1" applyAlignment="1">
      <alignment horizontal="center" vertical="center" wrapText="1"/>
    </xf>
    <xf numFmtId="0" fontId="0" fillId="0" borderId="29" xfId="0" applyFont="1" applyFill="1" applyBorder="1" applyAlignment="1">
      <alignment horizontal="center" vertical="center" wrapText="1"/>
    </xf>
    <xf numFmtId="43" fontId="8" fillId="0" borderId="11" xfId="2" applyFont="1" applyBorder="1" applyAlignment="1">
      <alignment horizontal="center" vertical="center" wrapText="1"/>
    </xf>
    <xf numFmtId="43" fontId="8" fillId="0" borderId="3" xfId="2" applyFont="1" applyBorder="1" applyAlignment="1">
      <alignment horizontal="center" vertical="center" wrapText="1"/>
    </xf>
    <xf numFmtId="43" fontId="8" fillId="0" borderId="2" xfId="2" applyFont="1" applyBorder="1" applyAlignment="1">
      <alignment horizontal="center" vertical="center" wrapText="1"/>
    </xf>
    <xf numFmtId="0" fontId="0" fillId="0" borderId="17" xfId="0" applyFont="1" applyFill="1" applyBorder="1" applyAlignment="1">
      <alignment horizontal="center" vertical="center" wrapText="1"/>
    </xf>
    <xf numFmtId="9" fontId="0" fillId="0" borderId="11" xfId="0" applyNumberFormat="1" applyFont="1" applyBorder="1" applyAlignment="1">
      <alignment horizontal="center" vertical="center" wrapText="1"/>
    </xf>
    <xf numFmtId="9" fontId="0" fillId="0" borderId="3" xfId="0" applyNumberFormat="1" applyFont="1" applyBorder="1" applyAlignment="1">
      <alignment horizontal="center" vertical="center" wrapText="1"/>
    </xf>
    <xf numFmtId="9" fontId="0" fillId="0" borderId="2" xfId="0" applyNumberFormat="1" applyFont="1" applyBorder="1" applyAlignment="1">
      <alignment horizontal="center" vertical="center" wrapText="1"/>
    </xf>
    <xf numFmtId="9" fontId="0" fillId="0" borderId="17" xfId="0" applyNumberFormat="1" applyFont="1" applyFill="1" applyBorder="1" applyAlignment="1">
      <alignment horizontal="center" vertical="center" wrapText="1"/>
    </xf>
    <xf numFmtId="169" fontId="8" fillId="0" borderId="11" xfId="2" applyNumberFormat="1" applyFont="1" applyBorder="1" applyAlignment="1">
      <alignment horizontal="center" vertical="center" wrapText="1"/>
    </xf>
    <xf numFmtId="169" fontId="8" fillId="0" borderId="3" xfId="2" applyNumberFormat="1" applyFont="1" applyBorder="1" applyAlignment="1">
      <alignment horizontal="center" vertical="center" wrapText="1"/>
    </xf>
    <xf numFmtId="169" fontId="8" fillId="0" borderId="2" xfId="2" applyNumberFormat="1" applyFont="1" applyBorder="1" applyAlignment="1">
      <alignment horizontal="center" vertical="center" wrapText="1"/>
    </xf>
    <xf numFmtId="0" fontId="8" fillId="0" borderId="11" xfId="3" applyNumberFormat="1" applyFont="1" applyFill="1" applyBorder="1" applyAlignment="1">
      <alignment horizontal="center" vertical="center"/>
    </xf>
    <xf numFmtId="0" fontId="8" fillId="0" borderId="3" xfId="3" applyNumberFormat="1" applyFont="1" applyFill="1" applyBorder="1" applyAlignment="1">
      <alignment horizontal="center" vertical="center"/>
    </xf>
    <xf numFmtId="0" fontId="8" fillId="0" borderId="2" xfId="3" applyNumberFormat="1" applyFont="1" applyFill="1" applyBorder="1" applyAlignment="1">
      <alignment horizontal="center" vertical="center"/>
    </xf>
    <xf numFmtId="0" fontId="12" fillId="14" borderId="11" xfId="0" applyFont="1" applyFill="1" applyBorder="1" applyAlignment="1">
      <alignment horizontal="center" vertical="center" wrapText="1"/>
    </xf>
    <xf numFmtId="0" fontId="12" fillId="14" borderId="3" xfId="0" applyFont="1" applyFill="1" applyBorder="1" applyAlignment="1">
      <alignment horizontal="center" vertical="center" wrapText="1"/>
    </xf>
    <xf numFmtId="0" fontId="12" fillId="14" borderId="2" xfId="0" applyFont="1" applyFill="1" applyBorder="1" applyAlignment="1">
      <alignment horizontal="center" vertical="center" wrapText="1"/>
    </xf>
    <xf numFmtId="0" fontId="50" fillId="0" borderId="11" xfId="0" applyFont="1" applyBorder="1" applyAlignment="1">
      <alignment horizontal="center" vertical="center" wrapText="1"/>
    </xf>
    <xf numFmtId="0" fontId="50" fillId="0" borderId="3" xfId="0" applyFont="1" applyBorder="1" applyAlignment="1">
      <alignment horizontal="center" vertical="center" wrapText="1"/>
    </xf>
    <xf numFmtId="0" fontId="50" fillId="0" borderId="2" xfId="0" applyFont="1" applyBorder="1" applyAlignment="1">
      <alignment horizontal="center" vertical="center" wrapText="1"/>
    </xf>
    <xf numFmtId="0" fontId="50" fillId="13" borderId="11" xfId="0" applyFont="1" applyFill="1" applyBorder="1" applyAlignment="1">
      <alignment horizontal="center" vertical="center" wrapText="1"/>
    </xf>
    <xf numFmtId="0" fontId="50" fillId="13" borderId="3" xfId="0" applyFont="1" applyFill="1" applyBorder="1" applyAlignment="1">
      <alignment horizontal="center" vertical="center" wrapText="1"/>
    </xf>
    <xf numFmtId="0" fontId="50" fillId="13" borderId="2" xfId="0" applyFont="1" applyFill="1" applyBorder="1" applyAlignment="1">
      <alignment horizontal="center" vertical="center" wrapText="1"/>
    </xf>
    <xf numFmtId="0" fontId="50" fillId="7" borderId="11" xfId="0" applyFont="1" applyFill="1" applyBorder="1" applyAlignment="1">
      <alignment horizontal="center" vertical="center" wrapText="1"/>
    </xf>
    <xf numFmtId="0" fontId="50" fillId="7" borderId="3" xfId="0" applyFont="1" applyFill="1" applyBorder="1" applyAlignment="1">
      <alignment horizontal="center" vertical="center" wrapText="1"/>
    </xf>
    <xf numFmtId="0" fontId="50" fillId="7" borderId="2" xfId="0" applyFont="1" applyFill="1" applyBorder="1" applyAlignment="1">
      <alignment horizontal="center" vertical="center" wrapText="1"/>
    </xf>
    <xf numFmtId="0" fontId="56" fillId="0" borderId="11" xfId="0" applyFont="1" applyBorder="1" applyAlignment="1">
      <alignment horizontal="center" vertical="center" wrapText="1"/>
    </xf>
    <xf numFmtId="0" fontId="56" fillId="0" borderId="2" xfId="0" applyFont="1" applyBorder="1" applyAlignment="1">
      <alignment horizontal="center" vertical="center" wrapText="1"/>
    </xf>
    <xf numFmtId="0" fontId="50" fillId="0" borderId="1" xfId="0" applyFont="1" applyBorder="1" applyAlignment="1">
      <alignment horizontal="center" vertical="center" wrapText="1"/>
    </xf>
    <xf numFmtId="9" fontId="50" fillId="0" borderId="11" xfId="7" applyFont="1" applyBorder="1" applyAlignment="1">
      <alignment horizontal="center" vertical="center" wrapText="1"/>
    </xf>
    <xf numFmtId="9" fontId="50" fillId="0" borderId="3" xfId="7" applyFont="1" applyBorder="1" applyAlignment="1">
      <alignment horizontal="center" vertical="center" wrapText="1"/>
    </xf>
    <xf numFmtId="9" fontId="50" fillId="0" borderId="2" xfId="7" applyFont="1" applyBorder="1" applyAlignment="1">
      <alignment horizontal="center" vertical="center" wrapText="1"/>
    </xf>
    <xf numFmtId="0" fontId="50" fillId="0" borderId="1" xfId="0" applyFont="1" applyBorder="1" applyAlignment="1">
      <alignment horizontal="center" vertical="center"/>
    </xf>
    <xf numFmtId="9" fontId="50" fillId="0" borderId="11" xfId="7" applyFont="1" applyBorder="1" applyAlignment="1">
      <alignment horizontal="center" vertical="center"/>
    </xf>
    <xf numFmtId="9" fontId="50" fillId="0" borderId="3" xfId="7" applyFont="1" applyBorder="1" applyAlignment="1">
      <alignment horizontal="center" vertical="center"/>
    </xf>
    <xf numFmtId="9" fontId="50" fillId="0" borderId="2" xfId="7" applyFont="1" applyBorder="1" applyAlignment="1">
      <alignment horizontal="center" vertical="center"/>
    </xf>
    <xf numFmtId="0" fontId="51" fillId="27" borderId="21" xfId="0" applyFont="1" applyFill="1" applyBorder="1" applyAlignment="1">
      <alignment horizontal="center" vertical="center" wrapText="1"/>
    </xf>
    <xf numFmtId="0" fontId="51" fillId="27" borderId="22" xfId="0" applyFont="1" applyFill="1" applyBorder="1" applyAlignment="1">
      <alignment horizontal="center" vertical="center" wrapText="1"/>
    </xf>
    <xf numFmtId="0" fontId="51" fillId="27" borderId="23" xfId="0" applyFont="1" applyFill="1" applyBorder="1" applyAlignment="1">
      <alignment horizontal="center" vertical="center" wrapText="1"/>
    </xf>
    <xf numFmtId="0" fontId="51" fillId="7" borderId="1" xfId="0" applyFont="1" applyFill="1" applyBorder="1" applyAlignment="1">
      <alignment horizontal="center" vertical="center" wrapText="1"/>
    </xf>
    <xf numFmtId="0" fontId="51" fillId="4" borderId="11" xfId="0" applyFont="1" applyFill="1" applyBorder="1" applyAlignment="1">
      <alignment horizontal="center" vertical="center" wrapText="1"/>
    </xf>
    <xf numFmtId="0" fontId="51" fillId="4" borderId="3" xfId="0" applyFont="1" applyFill="1" applyBorder="1" applyAlignment="1">
      <alignment horizontal="center" vertical="center" wrapText="1"/>
    </xf>
    <xf numFmtId="0" fontId="51" fillId="4" borderId="2" xfId="0" applyFont="1" applyFill="1" applyBorder="1" applyAlignment="1">
      <alignment horizontal="center" vertical="center" wrapText="1"/>
    </xf>
    <xf numFmtId="0" fontId="51" fillId="28" borderId="11" xfId="0" applyFont="1" applyFill="1" applyBorder="1" applyAlignment="1">
      <alignment horizontal="center" vertical="center" wrapText="1"/>
    </xf>
    <xf numFmtId="0" fontId="51" fillId="28" borderId="3" xfId="0" applyFont="1" applyFill="1" applyBorder="1" applyAlignment="1">
      <alignment horizontal="center" vertical="center" wrapText="1"/>
    </xf>
    <xf numFmtId="0" fontId="51" fillId="28" borderId="2" xfId="0" applyFont="1" applyFill="1" applyBorder="1" applyAlignment="1">
      <alignment horizontal="center" vertical="center" wrapText="1"/>
    </xf>
    <xf numFmtId="0" fontId="50" fillId="0" borderId="11" xfId="0" applyFont="1" applyFill="1" applyBorder="1" applyAlignment="1">
      <alignment horizontal="center" vertical="center" wrapText="1"/>
    </xf>
    <xf numFmtId="0" fontId="50" fillId="0" borderId="2" xfId="0" applyFont="1" applyFill="1" applyBorder="1" applyAlignment="1">
      <alignment horizontal="center" vertical="center" wrapText="1"/>
    </xf>
    <xf numFmtId="0" fontId="51" fillId="29" borderId="11" xfId="0" applyFont="1" applyFill="1" applyBorder="1" applyAlignment="1">
      <alignment horizontal="center" vertical="center" wrapText="1"/>
    </xf>
    <xf numFmtId="0" fontId="51" fillId="29" borderId="3" xfId="0" applyFont="1" applyFill="1" applyBorder="1" applyAlignment="1">
      <alignment horizontal="center" vertical="center" wrapText="1"/>
    </xf>
    <xf numFmtId="9" fontId="50" fillId="0" borderId="11" xfId="0" applyNumberFormat="1" applyFont="1" applyFill="1" applyBorder="1" applyAlignment="1">
      <alignment horizontal="center" vertical="center" wrapText="1"/>
    </xf>
    <xf numFmtId="9" fontId="50" fillId="0" borderId="3" xfId="0" applyNumberFormat="1" applyFont="1" applyFill="1" applyBorder="1" applyAlignment="1">
      <alignment horizontal="center" vertical="center" wrapText="1"/>
    </xf>
    <xf numFmtId="9" fontId="50" fillId="0" borderId="2" xfId="0" applyNumberFormat="1" applyFont="1" applyFill="1" applyBorder="1" applyAlignment="1">
      <alignment horizontal="center" vertical="center" wrapText="1"/>
    </xf>
    <xf numFmtId="0" fontId="50" fillId="0" borderId="3" xfId="0" applyFont="1" applyFill="1" applyBorder="1" applyAlignment="1">
      <alignment horizontal="center" vertical="center" wrapText="1"/>
    </xf>
    <xf numFmtId="0" fontId="50" fillId="0" borderId="1" xfId="0" applyFont="1" applyBorder="1" applyAlignment="1">
      <alignment horizontal="center"/>
    </xf>
    <xf numFmtId="0" fontId="51" fillId="0" borderId="16" xfId="0" applyFont="1" applyBorder="1" applyAlignment="1">
      <alignment horizontal="center" vertical="center" wrapText="1"/>
    </xf>
    <xf numFmtId="0" fontId="51" fillId="0" borderId="20" xfId="0" applyFont="1" applyBorder="1" applyAlignment="1">
      <alignment horizontal="center" vertical="center" wrapText="1"/>
    </xf>
    <xf numFmtId="0" fontId="51" fillId="0" borderId="13" xfId="0" applyFont="1" applyBorder="1" applyAlignment="1">
      <alignment horizontal="center" vertical="center" wrapText="1"/>
    </xf>
    <xf numFmtId="0" fontId="39" fillId="0" borderId="11" xfId="0" applyFont="1" applyBorder="1" applyAlignment="1">
      <alignment horizontal="center" vertical="center" wrapText="1"/>
    </xf>
    <xf numFmtId="0" fontId="39" fillId="0" borderId="3" xfId="0" applyFont="1" applyBorder="1" applyAlignment="1">
      <alignment horizontal="center" vertical="center" wrapText="1"/>
    </xf>
    <xf numFmtId="0" fontId="39" fillId="0" borderId="2" xfId="0" applyFont="1" applyBorder="1" applyAlignment="1">
      <alignment horizontal="center" vertical="center" wrapText="1"/>
    </xf>
    <xf numFmtId="0" fontId="51" fillId="0" borderId="1" xfId="0" applyFont="1" applyFill="1" applyBorder="1" applyAlignment="1">
      <alignment horizontal="center" vertical="center" wrapText="1"/>
    </xf>
    <xf numFmtId="0" fontId="51" fillId="0" borderId="1" xfId="0" applyFont="1" applyBorder="1" applyAlignment="1">
      <alignment horizontal="center" vertical="center" wrapText="1"/>
    </xf>
    <xf numFmtId="0" fontId="51" fillId="0" borderId="11" xfId="0" applyFont="1" applyBorder="1" applyAlignment="1">
      <alignment horizontal="center" vertical="center" wrapText="1"/>
    </xf>
    <xf numFmtId="0" fontId="51" fillId="0" borderId="2" xfId="0" applyFont="1" applyBorder="1" applyAlignment="1">
      <alignment horizontal="center" vertical="center" wrapText="1"/>
    </xf>
    <xf numFmtId="0" fontId="51" fillId="0" borderId="1" xfId="0" applyFont="1" applyBorder="1" applyAlignment="1">
      <alignment horizontal="center" vertical="center"/>
    </xf>
    <xf numFmtId="0" fontId="51" fillId="11" borderId="1" xfId="0" applyFont="1" applyFill="1" applyBorder="1" applyAlignment="1">
      <alignment horizontal="center" vertical="center" wrapText="1"/>
    </xf>
    <xf numFmtId="9" fontId="50" fillId="0" borderId="11" xfId="7" applyFont="1" applyFill="1" applyBorder="1" applyAlignment="1">
      <alignment horizontal="center" vertical="center" wrapText="1"/>
    </xf>
    <xf numFmtId="9" fontId="50" fillId="0" borderId="3" xfId="7" applyFont="1" applyFill="1" applyBorder="1" applyAlignment="1">
      <alignment horizontal="center" vertical="center" wrapText="1"/>
    </xf>
    <xf numFmtId="9" fontId="50" fillId="0" borderId="2" xfId="7" applyFont="1" applyFill="1" applyBorder="1" applyAlignment="1">
      <alignment horizontal="center" vertical="center" wrapText="1"/>
    </xf>
    <xf numFmtId="0" fontId="39" fillId="0" borderId="1" xfId="0" applyFont="1" applyBorder="1" applyAlignment="1">
      <alignment horizontal="center" vertical="center" wrapText="1"/>
    </xf>
    <xf numFmtId="0" fontId="50" fillId="0" borderId="1" xfId="0" applyFont="1" applyFill="1" applyBorder="1" applyAlignment="1">
      <alignment horizontal="center" vertical="center" wrapText="1"/>
    </xf>
    <xf numFmtId="0" fontId="51" fillId="24" borderId="21" xfId="0" applyFont="1" applyFill="1" applyBorder="1" applyAlignment="1">
      <alignment horizontal="center" vertical="center" wrapText="1"/>
    </xf>
    <xf numFmtId="0" fontId="51" fillId="24" borderId="22" xfId="0" applyFont="1" applyFill="1" applyBorder="1" applyAlignment="1">
      <alignment horizontal="center" vertical="center" wrapText="1"/>
    </xf>
    <xf numFmtId="0" fontId="51" fillId="24" borderId="23" xfId="0" applyFont="1" applyFill="1" applyBorder="1" applyAlignment="1">
      <alignment horizontal="center" vertical="center" wrapText="1"/>
    </xf>
    <xf numFmtId="0" fontId="51" fillId="18" borderId="1" xfId="0" applyFont="1" applyFill="1" applyBorder="1" applyAlignment="1">
      <alignment horizontal="center" vertical="center" wrapText="1"/>
    </xf>
    <xf numFmtId="0" fontId="51" fillId="25" borderId="11" xfId="0" applyFont="1" applyFill="1" applyBorder="1" applyAlignment="1">
      <alignment horizontal="center" vertical="center" wrapText="1"/>
    </xf>
    <xf numFmtId="0" fontId="51" fillId="25" borderId="3" xfId="0" applyFont="1" applyFill="1" applyBorder="1" applyAlignment="1">
      <alignment horizontal="center" vertical="center" wrapText="1"/>
    </xf>
    <xf numFmtId="0" fontId="51" fillId="25" borderId="2" xfId="0" applyFont="1" applyFill="1" applyBorder="1" applyAlignment="1">
      <alignment horizontal="center" vertical="center" wrapText="1"/>
    </xf>
    <xf numFmtId="0" fontId="51" fillId="26" borderId="11" xfId="0" applyFont="1" applyFill="1" applyBorder="1" applyAlignment="1">
      <alignment horizontal="center" vertical="center" wrapText="1"/>
    </xf>
    <xf numFmtId="0" fontId="51" fillId="26" borderId="3" xfId="0" applyFont="1" applyFill="1" applyBorder="1" applyAlignment="1">
      <alignment horizontal="center" vertical="center" wrapText="1"/>
    </xf>
    <xf numFmtId="0" fontId="51" fillId="26" borderId="2" xfId="0" applyFont="1" applyFill="1" applyBorder="1" applyAlignment="1">
      <alignment horizontal="center" vertical="center" wrapText="1"/>
    </xf>
    <xf numFmtId="0" fontId="51" fillId="19" borderId="11" xfId="0" applyFont="1" applyFill="1" applyBorder="1" applyAlignment="1">
      <alignment horizontal="center" vertical="center" wrapText="1"/>
    </xf>
    <xf numFmtId="0" fontId="51" fillId="19" borderId="3" xfId="0" applyFont="1" applyFill="1" applyBorder="1" applyAlignment="1">
      <alignment horizontal="center" vertical="center" wrapText="1"/>
    </xf>
    <xf numFmtId="0" fontId="51" fillId="19" borderId="2" xfId="0" applyFont="1" applyFill="1" applyBorder="1" applyAlignment="1">
      <alignment horizontal="center" vertical="center" wrapText="1"/>
    </xf>
    <xf numFmtId="0" fontId="50" fillId="0" borderId="11" xfId="0" applyFont="1" applyBorder="1" applyAlignment="1">
      <alignment horizontal="center"/>
    </xf>
    <xf numFmtId="0" fontId="50" fillId="0" borderId="3" xfId="0" applyFont="1" applyBorder="1" applyAlignment="1">
      <alignment horizontal="center"/>
    </xf>
    <xf numFmtId="0" fontId="50" fillId="0" borderId="2" xfId="0" applyFont="1" applyBorder="1" applyAlignment="1">
      <alignment horizontal="center"/>
    </xf>
    <xf numFmtId="0" fontId="51" fillId="23" borderId="11" xfId="0" applyFont="1" applyFill="1" applyBorder="1" applyAlignment="1">
      <alignment horizontal="center" vertical="center" wrapText="1"/>
    </xf>
    <xf numFmtId="0" fontId="51" fillId="23" borderId="3" xfId="0" applyFont="1" applyFill="1" applyBorder="1" applyAlignment="1">
      <alignment horizontal="center" vertical="center" wrapText="1"/>
    </xf>
    <xf numFmtId="0" fontId="51" fillId="23" borderId="2" xfId="0" applyFont="1" applyFill="1" applyBorder="1" applyAlignment="1">
      <alignment horizontal="center" vertical="center" wrapText="1"/>
    </xf>
    <xf numFmtId="0" fontId="50" fillId="7" borderId="1" xfId="0" applyFont="1" applyFill="1" applyBorder="1" applyAlignment="1">
      <alignment horizontal="center" vertical="center" wrapText="1"/>
    </xf>
    <xf numFmtId="9" fontId="50" fillId="0" borderId="1" xfId="7" applyFont="1" applyFill="1" applyBorder="1" applyAlignment="1">
      <alignment horizontal="center" vertical="center" wrapText="1"/>
    </xf>
    <xf numFmtId="0" fontId="50" fillId="22" borderId="11" xfId="0" applyFont="1" applyFill="1" applyBorder="1" applyAlignment="1">
      <alignment horizontal="center" vertical="center" wrapText="1"/>
    </xf>
    <xf numFmtId="0" fontId="50" fillId="22" borderId="3" xfId="0" applyFont="1" applyFill="1" applyBorder="1" applyAlignment="1">
      <alignment horizontal="center" vertical="center" wrapText="1"/>
    </xf>
    <xf numFmtId="0" fontId="50" fillId="22" borderId="2" xfId="0" applyFont="1" applyFill="1" applyBorder="1" applyAlignment="1">
      <alignment horizontal="center" vertical="center" wrapText="1"/>
    </xf>
    <xf numFmtId="0" fontId="50" fillId="6" borderId="1" xfId="0" applyFont="1" applyFill="1" applyBorder="1" applyAlignment="1">
      <alignment horizontal="center" vertical="center" wrapText="1"/>
    </xf>
    <xf numFmtId="0" fontId="50" fillId="5" borderId="11" xfId="0" applyFont="1" applyFill="1" applyBorder="1" applyAlignment="1">
      <alignment horizontal="center" vertical="center" wrapText="1"/>
    </xf>
    <xf numFmtId="0" fontId="50" fillId="5" borderId="3" xfId="0" applyFont="1" applyFill="1" applyBorder="1" applyAlignment="1">
      <alignment horizontal="center" vertical="center" wrapText="1"/>
    </xf>
    <xf numFmtId="0" fontId="50" fillId="5" borderId="2" xfId="0" applyFont="1" applyFill="1" applyBorder="1" applyAlignment="1">
      <alignment horizontal="center" vertical="center" wrapText="1"/>
    </xf>
    <xf numFmtId="167" fontId="50" fillId="0" borderId="11" xfId="2" applyNumberFormat="1" applyFont="1" applyBorder="1" applyAlignment="1">
      <alignment horizontal="center" vertical="center"/>
    </xf>
    <xf numFmtId="167" fontId="50" fillId="0" borderId="2" xfId="2" applyNumberFormat="1" applyFont="1" applyBorder="1" applyAlignment="1">
      <alignment horizontal="center" vertical="center"/>
    </xf>
    <xf numFmtId="167" fontId="50" fillId="0" borderId="3" xfId="2" applyNumberFormat="1" applyFont="1" applyBorder="1" applyAlignment="1">
      <alignment horizontal="center" vertical="center"/>
    </xf>
    <xf numFmtId="43" fontId="50" fillId="0" borderId="11" xfId="2" applyFont="1" applyBorder="1" applyAlignment="1">
      <alignment horizontal="center" vertical="center"/>
    </xf>
    <xf numFmtId="43" fontId="50" fillId="0" borderId="2" xfId="2" applyFont="1" applyBorder="1" applyAlignment="1">
      <alignment horizontal="center" vertical="center"/>
    </xf>
    <xf numFmtId="43" fontId="50" fillId="0" borderId="3" xfId="2" applyFont="1" applyBorder="1" applyAlignment="1">
      <alignment horizontal="center" vertical="center"/>
    </xf>
    <xf numFmtId="0" fontId="50" fillId="0" borderId="11" xfId="0" applyFont="1" applyBorder="1" applyAlignment="1">
      <alignment horizontal="center" vertical="center"/>
    </xf>
    <xf numFmtId="0" fontId="50" fillId="0" borderId="3" xfId="0" applyFont="1" applyBorder="1" applyAlignment="1">
      <alignment horizontal="center" vertical="center"/>
    </xf>
    <xf numFmtId="0" fontId="50" fillId="0" borderId="2" xfId="0" applyFont="1" applyBorder="1" applyAlignment="1">
      <alignment horizontal="center" vertical="center"/>
    </xf>
    <xf numFmtId="0" fontId="50" fillId="0" borderId="3" xfId="0" applyFont="1" applyBorder="1"/>
    <xf numFmtId="0" fontId="50" fillId="0" borderId="2" xfId="0" applyFont="1" applyBorder="1"/>
    <xf numFmtId="2" fontId="50" fillId="0" borderId="11" xfId="7" applyNumberFormat="1" applyFont="1" applyBorder="1" applyAlignment="1">
      <alignment horizontal="center" vertical="center" wrapText="1"/>
    </xf>
    <xf numFmtId="2" fontId="50" fillId="0" borderId="2" xfId="7" applyNumberFormat="1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0" fillId="7" borderId="11" xfId="0" applyFont="1" applyFill="1" applyBorder="1" applyAlignment="1">
      <alignment horizontal="center" vertical="center" wrapText="1"/>
    </xf>
    <xf numFmtId="0" fontId="0" fillId="7" borderId="3" xfId="0" applyFont="1" applyFill="1" applyBorder="1" applyAlignment="1">
      <alignment horizontal="center" vertical="center" wrapText="1"/>
    </xf>
    <xf numFmtId="0" fontId="0" fillId="7" borderId="2" xfId="0" applyFont="1" applyFill="1" applyBorder="1" applyAlignment="1">
      <alignment horizontal="center" vertical="center" wrapText="1"/>
    </xf>
    <xf numFmtId="0" fontId="0" fillId="28" borderId="13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0" fillId="32" borderId="1" xfId="0" applyFont="1" applyFill="1" applyBorder="1" applyAlignment="1">
      <alignment horizontal="center" vertical="center" wrapText="1"/>
    </xf>
    <xf numFmtId="0" fontId="12" fillId="23" borderId="1" xfId="0" applyFont="1" applyFill="1" applyBorder="1" applyAlignment="1">
      <alignment horizontal="center" vertical="center" wrapText="1"/>
    </xf>
    <xf numFmtId="1" fontId="8" fillId="0" borderId="1" xfId="7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12" fillId="0" borderId="16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30" borderId="13" xfId="0" applyFont="1" applyFill="1" applyBorder="1" applyAlignment="1">
      <alignment horizontal="center" vertical="center" wrapText="1"/>
    </xf>
    <xf numFmtId="0" fontId="12" fillId="31" borderId="1" xfId="0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11" borderId="11" xfId="0" applyFont="1" applyFill="1" applyBorder="1" applyAlignment="1">
      <alignment horizontal="center" vertical="center" wrapText="1"/>
    </xf>
    <xf numFmtId="0" fontId="12" fillId="11" borderId="2" xfId="0" applyFont="1" applyFill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wrapText="1"/>
    </xf>
    <xf numFmtId="0" fontId="12" fillId="0" borderId="2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wrapText="1"/>
    </xf>
    <xf numFmtId="0" fontId="22" fillId="7" borderId="1" xfId="0" applyFont="1" applyFill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0" fillId="20" borderId="11" xfId="0" applyFont="1" applyFill="1" applyBorder="1" applyAlignment="1">
      <alignment horizontal="center" vertical="center" wrapText="1"/>
    </xf>
    <xf numFmtId="0" fontId="0" fillId="20" borderId="3" xfId="0" applyFont="1" applyFill="1" applyBorder="1" applyAlignment="1">
      <alignment horizontal="center" vertical="center" wrapText="1"/>
    </xf>
    <xf numFmtId="0" fontId="0" fillId="20" borderId="2" xfId="0" applyFont="1" applyFill="1" applyBorder="1" applyAlignment="1">
      <alignment horizontal="center" vertical="center" wrapText="1"/>
    </xf>
    <xf numFmtId="0" fontId="0" fillId="15" borderId="1" xfId="0" applyFont="1" applyFill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9" fontId="8" fillId="0" borderId="11" xfId="7" applyFont="1" applyBorder="1" applyAlignment="1">
      <alignment horizontal="center" vertical="center"/>
    </xf>
    <xf numFmtId="9" fontId="8" fillId="0" borderId="3" xfId="7" applyFont="1" applyBorder="1" applyAlignment="1">
      <alignment horizontal="center" vertical="center"/>
    </xf>
    <xf numFmtId="9" fontId="8" fillId="0" borderId="2" xfId="7" applyFont="1" applyBorder="1" applyAlignment="1">
      <alignment horizontal="center" vertical="center"/>
    </xf>
    <xf numFmtId="0" fontId="0" fillId="7" borderId="1" xfId="0" applyFont="1" applyFill="1" applyBorder="1" applyAlignment="1">
      <alignment horizontal="center" vertical="center"/>
    </xf>
    <xf numFmtId="9" fontId="8" fillId="0" borderId="1" xfId="7" applyFont="1" applyBorder="1" applyAlignment="1">
      <alignment horizontal="center" vertical="center" wrapText="1"/>
    </xf>
    <xf numFmtId="0" fontId="12" fillId="33" borderId="8" xfId="0" applyFont="1" applyFill="1" applyBorder="1" applyAlignment="1">
      <alignment horizontal="center"/>
    </xf>
    <xf numFmtId="0" fontId="12" fillId="33" borderId="25" xfId="0" applyFont="1" applyFill="1" applyBorder="1" applyAlignment="1">
      <alignment horizontal="center"/>
    </xf>
    <xf numFmtId="0" fontId="12" fillId="33" borderId="10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</cellXfs>
  <cellStyles count="8">
    <cellStyle name="Hipervínculo" xfId="1" builtinId="8"/>
    <cellStyle name="Millares" xfId="2" builtinId="3"/>
    <cellStyle name="Millares [0]" xfId="3" builtinId="6"/>
    <cellStyle name="Moneda" xfId="4" builtinId="4"/>
    <cellStyle name="Moneda [0]" xfId="5" builtinId="7"/>
    <cellStyle name="Normal" xfId="0" builtinId="0"/>
    <cellStyle name="Normal 2" xfId="6" xr:uid="{00000000-0005-0000-0000-000006000000}"/>
    <cellStyle name="Porcentaje" xfId="7" builtinId="5"/>
  </cellStyles>
  <dxfs count="12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CO"/>
              <a:t>Avances por Objetivos del Plan de Desarrollo Primero la Gente para una Cartagena Competitiva  y Sostenible. Junio 2019.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B050"/>
            </a:solidFill>
          </c:spPr>
          <c:invertIfNegative val="0"/>
          <c:dPt>
            <c:idx val="1"/>
            <c:invertIfNegative val="0"/>
            <c:bubble3D val="0"/>
            <c:spPr>
              <a:solidFill>
                <a:srgbClr val="FFFF00"/>
              </a:solidFill>
            </c:spPr>
            <c:extLst>
              <c:ext xmlns:c16="http://schemas.microsoft.com/office/drawing/2014/chart" uri="{C3380CC4-5D6E-409C-BE32-E72D297353CC}">
                <c16:uniqueId val="{00000000-EE37-4A9B-AADE-0A8DE4FD4AA3}"/>
              </c:ext>
            </c:extLst>
          </c:dPt>
          <c:dPt>
            <c:idx val="2"/>
            <c:invertIfNegative val="0"/>
            <c:bubble3D val="0"/>
            <c:spPr>
              <a:solidFill>
                <a:srgbClr val="FFFF00"/>
              </a:solidFill>
            </c:spPr>
            <c:extLst>
              <c:ext xmlns:c16="http://schemas.microsoft.com/office/drawing/2014/chart" uri="{C3380CC4-5D6E-409C-BE32-E72D297353CC}">
                <c16:uniqueId val="{00000001-EE37-4A9B-AADE-0A8DE4FD4AA3}"/>
              </c:ext>
            </c:extLst>
          </c:dPt>
          <c:dPt>
            <c:idx val="3"/>
            <c:invertIfNegative val="0"/>
            <c:bubble3D val="0"/>
            <c:spPr>
              <a:solidFill>
                <a:srgbClr val="FFFF00"/>
              </a:solidFill>
            </c:spPr>
            <c:extLst>
              <c:ext xmlns:c16="http://schemas.microsoft.com/office/drawing/2014/chart" uri="{C3380CC4-5D6E-409C-BE32-E72D297353CC}">
                <c16:uniqueId val="{00000002-EE37-4A9B-AADE-0A8DE4FD4AA3}"/>
              </c:ext>
            </c:extLst>
          </c:dPt>
          <c:dLbls>
            <c:dLbl>
              <c:idx val="0"/>
              <c:layout>
                <c:manualLayout>
                  <c:x val="4.3497954825490147E-3"/>
                  <c:y val="0.12796585427661633"/>
                </c:manualLayout>
              </c:layout>
              <c:spPr/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E37-4A9B-AADE-0A8DE4FD4AA3}"/>
                </c:ext>
              </c:extLst>
            </c:dLbl>
            <c:dLbl>
              <c:idx val="1"/>
              <c:layout>
                <c:manualLayout>
                  <c:x val="4.3272777177362637E-3"/>
                  <c:y val="0.14293813273340833"/>
                </c:manualLayout>
              </c:layout>
              <c:spPr/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E37-4A9B-AADE-0A8DE4FD4AA3}"/>
                </c:ext>
              </c:extLst>
            </c:dLbl>
            <c:dLbl>
              <c:idx val="2"/>
              <c:layout>
                <c:manualLayout>
                  <c:x val="-2.1716990688165601E-3"/>
                  <c:y val="0.20779440069991251"/>
                </c:manualLayout>
              </c:layout>
              <c:spPr/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E37-4A9B-AADE-0A8DE4FD4AA3}"/>
                </c:ext>
              </c:extLst>
            </c:dLbl>
            <c:dLbl>
              <c:idx val="3"/>
              <c:layout>
                <c:manualLayout>
                  <c:x val="0"/>
                  <c:y val="0.1887496350580091"/>
                </c:manualLayout>
              </c:layout>
              <c:spPr/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E37-4A9B-AADE-0A8DE4FD4AA3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'AVANCES  JUN - 2019'!$M$11:$M$14</c:f>
              <c:strCache>
                <c:ptCount val="4"/>
                <c:pt idx="0">
                  <c:v>OBJ 1 Superar la Desigualdad</c:v>
                </c:pt>
                <c:pt idx="1">
                  <c:v>OBJ 2 Adaptar el Territorio Para la Gente</c:v>
                </c:pt>
                <c:pt idx="2">
                  <c:v>OBJ 3 Construir Ciudadania y Fortalecer la Institucionalidad</c:v>
                </c:pt>
                <c:pt idx="3">
                  <c:v>Plan de Desarrollo</c:v>
                </c:pt>
              </c:strCache>
            </c:strRef>
          </c:cat>
          <c:val>
            <c:numRef>
              <c:f>'AVANCES  JUN - 2019'!$N$11:$N$14</c:f>
              <c:numCache>
                <c:formatCode>0.0%</c:formatCode>
                <c:ptCount val="4"/>
                <c:pt idx="0">
                  <c:v>0.7958352972808892</c:v>
                </c:pt>
                <c:pt idx="1">
                  <c:v>0.64528991237731059</c:v>
                </c:pt>
                <c:pt idx="2" formatCode="0%">
                  <c:v>0.71678891401236278</c:v>
                </c:pt>
                <c:pt idx="3">
                  <c:v>0.71930470789018752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E37-4A9B-AADE-0A8DE4FD4A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1061090512"/>
        <c:axId val="1"/>
      </c:barChart>
      <c:catAx>
        <c:axId val="10610905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06109051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gradFill>
      <a:gsLst>
        <a:gs pos="50468">
          <a:schemeClr val="accent6">
            <a:lumMod val="60000"/>
            <a:lumOff val="40000"/>
          </a:schemeClr>
        </a:gs>
        <a:gs pos="0">
          <a:schemeClr val="accent1">
            <a:lumMod val="5000"/>
            <a:lumOff val="95000"/>
          </a:schemeClr>
        </a:gs>
        <a:gs pos="74000">
          <a:schemeClr val="accent1">
            <a:lumMod val="45000"/>
            <a:lumOff val="55000"/>
          </a:schemeClr>
        </a:gs>
        <a:gs pos="83000">
          <a:schemeClr val="accent1">
            <a:lumMod val="45000"/>
            <a:lumOff val="55000"/>
          </a:schemeClr>
        </a:gs>
        <a:gs pos="100000">
          <a:schemeClr val="accent1">
            <a:lumMod val="30000"/>
            <a:lumOff val="70000"/>
          </a:schemeClr>
        </a:gs>
      </a:gsLst>
      <a:lin ang="5400000" scaled="1"/>
    </a:gradFill>
    <a:ln cap="rnd">
      <a:solidFill>
        <a:schemeClr val="accent4">
          <a:lumMod val="60000"/>
          <a:lumOff val="40000"/>
        </a:schemeClr>
      </a:solidFill>
      <a:beve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LINEA ESTRATEGICA CIUDAD Y DEPORTE JUNIO</a:t>
            </a:r>
            <a:r>
              <a:rPr lang="es-CO" baseline="0"/>
              <a:t> 2018 - JUNIO 2019.</a:t>
            </a:r>
            <a:endParaRPr lang="es-CO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'AVANCES 1 OBJETIVO'!$M$3</c:f>
              <c:strCache>
                <c:ptCount val="1"/>
                <c:pt idx="0">
                  <c:v>JUNIO  (2019)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'AVANCES 1 OBJETIVO'!$L$4:$L$11</c:f>
              <c:strCache>
                <c:ptCount val="8"/>
                <c:pt idx="0">
                  <c:v>LINEA ESTRATEGICA CIUDAD Y DEPORTE</c:v>
                </c:pt>
                <c:pt idx="1">
                  <c:v>Programa Escuela de iniciación y formación deportiva “Escuela deporte”</c:v>
                </c:pt>
                <c:pt idx="2">
                  <c:v>Programa Deporte juvenil</c:v>
                </c:pt>
                <c:pt idx="3">
                  <c:v>Programa Hábitos y estilos de vida saludable</c:v>
                </c:pt>
                <c:pt idx="4">
                  <c:v>Programa Infraestructura deportiva</c:v>
                </c:pt>
                <c:pt idx="5">
                  <c:v>Programa Deporte social y comunitario</c:v>
                </c:pt>
                <c:pt idx="6">
                  <c:v>Programa Deporte asociado</c:v>
                </c:pt>
                <c:pt idx="7">
                  <c:v>Programa Observatorio de ciencias aplicadas al deporte de Cartagena de indias</c:v>
                </c:pt>
              </c:strCache>
            </c:strRef>
          </c:cat>
          <c:val>
            <c:numRef>
              <c:f>'AVANCES 1 OBJETIVO'!$M$4:$M$11</c:f>
              <c:numCache>
                <c:formatCode>0.00%</c:formatCode>
                <c:ptCount val="8"/>
                <c:pt idx="0" formatCode="0.0%">
                  <c:v>0.79152629807348873</c:v>
                </c:pt>
                <c:pt idx="1">
                  <c:v>0.56823266219239377</c:v>
                </c:pt>
                <c:pt idx="2">
                  <c:v>0.77301500064657969</c:v>
                </c:pt>
                <c:pt idx="3">
                  <c:v>0.83398971475964578</c:v>
                </c:pt>
                <c:pt idx="4">
                  <c:v>0.66249999999999998</c:v>
                </c:pt>
                <c:pt idx="5">
                  <c:v>0.84685213527239145</c:v>
                </c:pt>
                <c:pt idx="6">
                  <c:v>0.96079457364341092</c:v>
                </c:pt>
                <c:pt idx="7">
                  <c:v>0.89529999999999998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47-4F30-B3C5-01FF19AC419C}"/>
            </c:ext>
          </c:extLst>
        </c:ser>
        <c:ser>
          <c:idx val="1"/>
          <c:order val="1"/>
          <c:tx>
            <c:strRef>
              <c:f>'AVANCES 1 OBJETIVO'!$N$3</c:f>
              <c:strCache>
                <c:ptCount val="1"/>
                <c:pt idx="0">
                  <c:v>JUNIO (2018)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1.5232443600160241E-2"/>
                  <c:y val="-2.66438243076854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747-4F30-B3C5-01FF19AC419C}"/>
                </c:ext>
              </c:extLst>
            </c:dLbl>
            <c:dLbl>
              <c:idx val="1"/>
              <c:layout>
                <c:manualLayout>
                  <c:x val="1.8001978800189375E-2"/>
                  <c:y val="5.328764861537031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747-4F30-B3C5-01FF19AC419C}"/>
                </c:ext>
              </c:extLst>
            </c:dLbl>
            <c:dLbl>
              <c:idx val="2"/>
              <c:layout>
                <c:manualLayout>
                  <c:x val="2.2156281600233026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747-4F30-B3C5-01FF19AC419C}"/>
                </c:ext>
              </c:extLst>
            </c:dLbl>
            <c:dLbl>
              <c:idx val="3"/>
              <c:layout>
                <c:manualLayout>
                  <c:x val="2.0771514000218511E-2"/>
                  <c:y val="-5.32876486153708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747-4F30-B3C5-01FF19AC419C}"/>
                </c:ext>
              </c:extLst>
            </c:dLbl>
            <c:dLbl>
              <c:idx val="4"/>
              <c:layout>
                <c:manualLayout>
                  <c:x val="1.523244360016013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747-4F30-B3C5-01FF19AC419C}"/>
                </c:ext>
              </c:extLst>
            </c:dLbl>
            <c:dLbl>
              <c:idx val="5"/>
              <c:layout>
                <c:manualLayout>
                  <c:x val="2.2156281600233078E-2"/>
                  <c:y val="-5.32876486153708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747-4F30-B3C5-01FF19AC419C}"/>
                </c:ext>
              </c:extLst>
            </c:dLbl>
            <c:dLbl>
              <c:idx val="6"/>
              <c:layout>
                <c:manualLayout>
                  <c:x val="1.6617211200174807E-2"/>
                  <c:y val="-2.66438243076854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747-4F30-B3C5-01FF19AC419C}"/>
                </c:ext>
              </c:extLst>
            </c:dLbl>
            <c:dLbl>
              <c:idx val="7"/>
              <c:layout>
                <c:manualLayout>
                  <c:x val="3.3234422400349718E-2"/>
                  <c:y val="-5.328764861537128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747-4F30-B3C5-01FF19AC419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'AVANCES 1 OBJETIVO'!$L$4:$L$11</c:f>
              <c:strCache>
                <c:ptCount val="8"/>
                <c:pt idx="0">
                  <c:v>LINEA ESTRATEGICA CIUDAD Y DEPORTE</c:v>
                </c:pt>
                <c:pt idx="1">
                  <c:v>Programa Escuela de iniciación y formación deportiva “Escuela deporte”</c:v>
                </c:pt>
                <c:pt idx="2">
                  <c:v>Programa Deporte juvenil</c:v>
                </c:pt>
                <c:pt idx="3">
                  <c:v>Programa Hábitos y estilos de vida saludable</c:v>
                </c:pt>
                <c:pt idx="4">
                  <c:v>Programa Infraestructura deportiva</c:v>
                </c:pt>
                <c:pt idx="5">
                  <c:v>Programa Deporte social y comunitario</c:v>
                </c:pt>
                <c:pt idx="6">
                  <c:v>Programa Deporte asociado</c:v>
                </c:pt>
                <c:pt idx="7">
                  <c:v>Programa Observatorio de ciencias aplicadas al deporte de Cartagena de indias</c:v>
                </c:pt>
              </c:strCache>
            </c:strRef>
          </c:cat>
          <c:val>
            <c:numRef>
              <c:f>'AVANCES 1 OBJETIVO'!$N$4:$N$11</c:f>
              <c:numCache>
                <c:formatCode>0.00%</c:formatCode>
                <c:ptCount val="8"/>
                <c:pt idx="0" formatCode="0.0%">
                  <c:v>0.64764131302200911</c:v>
                </c:pt>
                <c:pt idx="1">
                  <c:v>0.56285631810637227</c:v>
                </c:pt>
                <c:pt idx="2">
                  <c:v>0.67500000000000004</c:v>
                </c:pt>
                <c:pt idx="3">
                  <c:v>0.7114442854320171</c:v>
                </c:pt>
                <c:pt idx="4">
                  <c:v>0.54</c:v>
                </c:pt>
                <c:pt idx="5">
                  <c:v>0.81171217297630038</c:v>
                </c:pt>
                <c:pt idx="6">
                  <c:v>0.72895348837209306</c:v>
                </c:pt>
                <c:pt idx="7">
                  <c:v>0.50352292626728112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747-4F30-B3C5-01FF19AC41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73948880"/>
        <c:axId val="1373957616"/>
        <c:axId val="0"/>
      </c:bar3DChart>
      <c:catAx>
        <c:axId val="13739488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373957616"/>
        <c:crosses val="autoZero"/>
        <c:auto val="1"/>
        <c:lblAlgn val="ctr"/>
        <c:lblOffset val="100"/>
        <c:noMultiLvlLbl val="0"/>
      </c:catAx>
      <c:valAx>
        <c:axId val="1373957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3739488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 sz="1200" b="1"/>
              <a:t>LÍNEA ESTRATÉGICA EDUCACIÓN Y CONTROL AMBIENTAL JUNIO 2018 - JUNIO 2019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 w="6350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'AVANCES 2 OBJETIVO'!$H$2</c:f>
              <c:strCache>
                <c:ptCount val="1"/>
                <c:pt idx="0">
                  <c:v>JUNIO (2019)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'AVANCES 2 OBJETIVO'!$G$3:$G$6</c:f>
              <c:strCache>
                <c:ptCount val="4"/>
                <c:pt idx="0">
                  <c:v>LÍNEA ESTRATÉGICA EDUCACIÓN Y CONTROL AMBIENTAL</c:v>
                </c:pt>
                <c:pt idx="1">
                  <c:v>PROGRAMA MONITOREO AMBIENTAL</c:v>
                </c:pt>
                <c:pt idx="2">
                  <c:v>PROGRAMA CONTROL, VIGILANCIA YSEGUIMIENTO AMBIENTAL</c:v>
                </c:pt>
                <c:pt idx="3">
                  <c:v>PROGRAMA EDUCACIÓN Y CULTURA AMBIENTAL</c:v>
                </c:pt>
              </c:strCache>
            </c:strRef>
          </c:cat>
          <c:val>
            <c:numRef>
              <c:f>'AVANCES 2 OBJETIVO'!$H$3:$H$6</c:f>
              <c:numCache>
                <c:formatCode>0%</c:formatCode>
                <c:ptCount val="4"/>
                <c:pt idx="0">
                  <c:v>0.86592592592592588</c:v>
                </c:pt>
                <c:pt idx="1">
                  <c:v>0.68125000000000002</c:v>
                </c:pt>
                <c:pt idx="2">
                  <c:v>1</c:v>
                </c:pt>
                <c:pt idx="3">
                  <c:v>0.91652777777777772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71-44CF-9917-C4619897C540}"/>
            </c:ext>
          </c:extLst>
        </c:ser>
        <c:ser>
          <c:idx val="1"/>
          <c:order val="1"/>
          <c:tx>
            <c:strRef>
              <c:f>'AVANCES 2 OBJETIVO'!$I$2</c:f>
              <c:strCache>
                <c:ptCount val="1"/>
                <c:pt idx="0">
                  <c:v>JUNIO (2018)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'AVANCES 2 OBJETIVO'!$G$3:$G$6</c:f>
              <c:strCache>
                <c:ptCount val="4"/>
                <c:pt idx="0">
                  <c:v>LÍNEA ESTRATÉGICA EDUCACIÓN Y CONTROL AMBIENTAL</c:v>
                </c:pt>
                <c:pt idx="1">
                  <c:v>PROGRAMA MONITOREO AMBIENTAL</c:v>
                </c:pt>
                <c:pt idx="2">
                  <c:v>PROGRAMA CONTROL, VIGILANCIA YSEGUIMIENTO AMBIENTAL</c:v>
                </c:pt>
                <c:pt idx="3">
                  <c:v>PROGRAMA EDUCACIÓN Y CULTURA AMBIENTAL</c:v>
                </c:pt>
              </c:strCache>
            </c:strRef>
          </c:cat>
          <c:val>
            <c:numRef>
              <c:f>'AVANCES 2 OBJETIVO'!$I$3:$I$6</c:f>
              <c:numCache>
                <c:formatCode>0%</c:formatCode>
                <c:ptCount val="4"/>
                <c:pt idx="0">
                  <c:v>0.83560185185185187</c:v>
                </c:pt>
                <c:pt idx="1">
                  <c:v>0.625</c:v>
                </c:pt>
                <c:pt idx="2">
                  <c:v>1</c:v>
                </c:pt>
                <c:pt idx="3">
                  <c:v>0.88180555555555562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E71-44CF-9917-C4619897C5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61095504"/>
        <c:axId val="1"/>
        <c:axId val="0"/>
      </c:bar3DChart>
      <c:catAx>
        <c:axId val="1061095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06109550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LÍNEA ESTRATÉGICA GESTIÓN DEL RIESGO.  JUNIO 2018 - JUNIO 2019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 w="6350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'AVANCES 2 OBJETIVO'!$P$2</c:f>
              <c:strCache>
                <c:ptCount val="1"/>
                <c:pt idx="0">
                  <c:v>JUNIO (2019)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'AVANCES 2 OBJETIVO'!$O$3:$O$5</c:f>
              <c:strCache>
                <c:ptCount val="3"/>
                <c:pt idx="0">
                  <c:v>LÍNEA ESTRATÉGICA GESTIÓN DEL RIESGO</c:v>
                </c:pt>
                <c:pt idx="1">
                  <c:v>PROGRAMA GESTIÓN DEL RIESGO</c:v>
                </c:pt>
                <c:pt idx="2">
                  <c:v>PROGRAMA PLAN DE DRENAJES PLUVIALES</c:v>
                </c:pt>
              </c:strCache>
            </c:strRef>
          </c:cat>
          <c:val>
            <c:numRef>
              <c:f>'AVANCES 2 OBJETIVO'!$P$3:$P$5</c:f>
              <c:numCache>
                <c:formatCode>0%</c:formatCode>
                <c:ptCount val="3"/>
                <c:pt idx="0">
                  <c:v>0.61737996765249537</c:v>
                </c:pt>
                <c:pt idx="1">
                  <c:v>0.68762500000000004</c:v>
                </c:pt>
                <c:pt idx="2">
                  <c:v>0.54713493530499069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51-4490-BDB6-46B1353746BD}"/>
            </c:ext>
          </c:extLst>
        </c:ser>
        <c:ser>
          <c:idx val="1"/>
          <c:order val="1"/>
          <c:tx>
            <c:strRef>
              <c:f>'AVANCES 2 OBJETIVO'!$Q$2</c:f>
              <c:strCache>
                <c:ptCount val="1"/>
                <c:pt idx="0">
                  <c:v>JUNIO (2018)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'AVANCES 2 OBJETIVO'!$O$3:$O$5</c:f>
              <c:strCache>
                <c:ptCount val="3"/>
                <c:pt idx="0">
                  <c:v>LÍNEA ESTRATÉGICA GESTIÓN DEL RIESGO</c:v>
                </c:pt>
                <c:pt idx="1">
                  <c:v>PROGRAMA GESTIÓN DEL RIESGO</c:v>
                </c:pt>
                <c:pt idx="2">
                  <c:v>PROGRAMA PLAN DE DRENAJES PLUVIALES</c:v>
                </c:pt>
              </c:strCache>
            </c:strRef>
          </c:cat>
          <c:val>
            <c:numRef>
              <c:f>'AVANCES 2 OBJETIVO'!$Q$3:$Q$5</c:f>
              <c:numCache>
                <c:formatCode>0%</c:formatCode>
                <c:ptCount val="3"/>
                <c:pt idx="0">
                  <c:v>0.44429861111111113</c:v>
                </c:pt>
                <c:pt idx="1">
                  <c:v>0.55526388888888889</c:v>
                </c:pt>
                <c:pt idx="2">
                  <c:v>0.33333333333333331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951-4490-BDB6-46B1353746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56627296"/>
        <c:axId val="1"/>
        <c:axId val="0"/>
      </c:bar3DChart>
      <c:catAx>
        <c:axId val="10566272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05662729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 sz="1200" b="1"/>
              <a:t>LÍNEA ESTRATÉGICA DESARROLLO URBANO PARA LA COMPETITIVIDAD. JUNIO 2018 - JUNIO 2019.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 w="6350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'AVANCES 2 OBJETIVO'!$AB$2</c:f>
              <c:strCache>
                <c:ptCount val="1"/>
                <c:pt idx="0">
                  <c:v>JUNIO (2019)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'AVANCES 2 OBJETIVO'!$AA$3:$AA$6</c:f>
              <c:strCache>
                <c:ptCount val="4"/>
                <c:pt idx="0">
                  <c:v>LÍNEA ESTRATÉGICA DESARROLLO URBANO PARA LA COMPETITIVIDAD</c:v>
                </c:pt>
                <c:pt idx="1">
                  <c:v>PROGRAMA EQUIPAMIENTOS PARA LA COMPETITIVIDAD</c:v>
                </c:pt>
                <c:pt idx="2">
                  <c:v>PROGRAMA SISTEMA DE LAGOS Y CAÑOS COMO SOPORTE ESTRUCTURAL</c:v>
                </c:pt>
                <c:pt idx="3">
                  <c:v>PROGRANA CARTAGENA SOSTENIBLE YCOMPETITIVA</c:v>
                </c:pt>
              </c:strCache>
            </c:strRef>
          </c:cat>
          <c:val>
            <c:numRef>
              <c:f>'AVANCES 2 OBJETIVO'!$AB$3:$AB$6</c:f>
              <c:numCache>
                <c:formatCode>0%</c:formatCode>
                <c:ptCount val="4"/>
                <c:pt idx="0">
                  <c:v>0.59981521818358752</c:v>
                </c:pt>
                <c:pt idx="1">
                  <c:v>0.66777898788409606</c:v>
                </c:pt>
                <c:pt idx="2">
                  <c:v>0.61499999999999999</c:v>
                </c:pt>
                <c:pt idx="3">
                  <c:v>0.51666666666666661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B9-457B-8A4B-2A182E5A80AC}"/>
            </c:ext>
          </c:extLst>
        </c:ser>
        <c:ser>
          <c:idx val="1"/>
          <c:order val="1"/>
          <c:tx>
            <c:strRef>
              <c:f>'AVANCES 2 OBJETIVO'!$AC$2</c:f>
              <c:strCache>
                <c:ptCount val="1"/>
                <c:pt idx="0">
                  <c:v>JUNIO (2018)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'AVANCES 2 OBJETIVO'!$AA$3:$AA$6</c:f>
              <c:strCache>
                <c:ptCount val="4"/>
                <c:pt idx="0">
                  <c:v>LÍNEA ESTRATÉGICA DESARROLLO URBANO PARA LA COMPETITIVIDAD</c:v>
                </c:pt>
                <c:pt idx="1">
                  <c:v>PROGRAMA EQUIPAMIENTOS PARA LA COMPETITIVIDAD</c:v>
                </c:pt>
                <c:pt idx="2">
                  <c:v>PROGRAMA SISTEMA DE LAGOS Y CAÑOS COMO SOPORTE ESTRUCTURAL</c:v>
                </c:pt>
                <c:pt idx="3">
                  <c:v>PROGRANA CARTAGENA SOSTENIBLE YCOMPETITIVA</c:v>
                </c:pt>
              </c:strCache>
            </c:strRef>
          </c:cat>
          <c:val>
            <c:numRef>
              <c:f>'AVANCES 2 OBJETIVO'!$AC$3:$AC$6</c:f>
              <c:numCache>
                <c:formatCode>0%</c:formatCode>
                <c:ptCount val="4"/>
                <c:pt idx="0">
                  <c:v>0.51167883088530541</c:v>
                </c:pt>
                <c:pt idx="1">
                  <c:v>0.6033698259892496</c:v>
                </c:pt>
                <c:pt idx="2">
                  <c:v>0.41500000000000004</c:v>
                </c:pt>
                <c:pt idx="3">
                  <c:v>0.51666666666666661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0B9-457B-8A4B-2A182E5A80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35583008"/>
        <c:axId val="1"/>
        <c:axId val="0"/>
      </c:bar3DChart>
      <c:catAx>
        <c:axId val="1135583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13558300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 sz="1200" b="1"/>
              <a:t>LÍNEA ESTRATÉGICA VIVIENDA Y SERVICIOS PÚBLICOS. JUNIO 2018 -JUNIO 2019.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 w="6350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'AVANCES 2 OBJETIVO'!$AN$2</c:f>
              <c:strCache>
                <c:ptCount val="1"/>
                <c:pt idx="0">
                  <c:v>JUNIO (2019)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'AVANCES 2 OBJETIVO'!$AM$3:$AM$5</c:f>
              <c:strCache>
                <c:ptCount val="3"/>
                <c:pt idx="0">
                  <c:v>LÍNEA ESTRATÉGICA VIVIENDA YSERVICIOS PÚBLICOS</c:v>
                </c:pt>
                <c:pt idx="1">
                  <c:v>PROGRAMA VIVIENDA</c:v>
                </c:pt>
                <c:pt idx="2">
                  <c:v>PROGRAMA SERVICIOS PUBLICOS PARA LA GENTE</c:v>
                </c:pt>
              </c:strCache>
            </c:strRef>
          </c:cat>
          <c:val>
            <c:numRef>
              <c:f>'AVANCES 2 OBJETIVO'!$AN$3:$AN$5</c:f>
              <c:numCache>
                <c:formatCode>0%</c:formatCode>
                <c:ptCount val="3"/>
                <c:pt idx="0">
                  <c:v>0.54304910213243551</c:v>
                </c:pt>
                <c:pt idx="1">
                  <c:v>0.63237345679012347</c:v>
                </c:pt>
                <c:pt idx="2" formatCode="0.0%">
                  <c:v>0.4537247474747475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3A-4D45-B4BA-C505C4FC0A98}"/>
            </c:ext>
          </c:extLst>
        </c:ser>
        <c:ser>
          <c:idx val="1"/>
          <c:order val="1"/>
          <c:tx>
            <c:strRef>
              <c:f>'AVANCES 2 OBJETIVO'!$AO$2</c:f>
              <c:strCache>
                <c:ptCount val="1"/>
                <c:pt idx="0">
                  <c:v>JUNIO (2018)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'AVANCES 2 OBJETIVO'!$AM$3:$AM$5</c:f>
              <c:strCache>
                <c:ptCount val="3"/>
                <c:pt idx="0">
                  <c:v>LÍNEA ESTRATÉGICA VIVIENDA YSERVICIOS PÚBLICOS</c:v>
                </c:pt>
                <c:pt idx="1">
                  <c:v>PROGRAMA VIVIENDA</c:v>
                </c:pt>
                <c:pt idx="2">
                  <c:v>PROGRAMA SERVICIOS PUBLICOS PARA LA GENTE</c:v>
                </c:pt>
              </c:strCache>
            </c:strRef>
          </c:cat>
          <c:val>
            <c:numRef>
              <c:f>'AVANCES 2 OBJETIVO'!$AO$3:$AO$5</c:f>
              <c:numCache>
                <c:formatCode>0%</c:formatCode>
                <c:ptCount val="3"/>
                <c:pt idx="0">
                  <c:v>0.49740169552669555</c:v>
                </c:pt>
                <c:pt idx="1">
                  <c:v>0.5690277777777778</c:v>
                </c:pt>
                <c:pt idx="2" formatCode="0.0%">
                  <c:v>0.42577561327561325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23A-4D45-B4BA-C505C4FC0A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35584256"/>
        <c:axId val="1"/>
        <c:axId val="0"/>
      </c:bar3DChart>
      <c:catAx>
        <c:axId val="1135584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13558425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 sz="1200" b="1"/>
              <a:t>LÍNEA ESTRATÉGICA CARTAGENA TERRITORIO DE PAZ. JUNIO 2018 - JUNIO 2019.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 w="6350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'AVANCES 3 OBJETIVO'!$G$3</c:f>
              <c:strCache>
                <c:ptCount val="1"/>
                <c:pt idx="0">
                  <c:v>JUNIO (2019)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cat>
            <c:strRef>
              <c:f>'AVANCES 3 OBJETIVO'!$F$4:$F$7</c:f>
              <c:strCache>
                <c:ptCount val="4"/>
                <c:pt idx="0">
                  <c:v>LÍNEA ESTRATÉGICA CARTAGENA TERRITORIO DE PAZ</c:v>
                </c:pt>
                <c:pt idx="1">
                  <c:v>PROGRAMA VÍCTIMAS DEL CONFLICTO ARMADO INTEGRADAS</c:v>
                </c:pt>
                <c:pt idx="2">
                  <c:v>PROGRAMA FORTALECIMIENTO DEL PROCESO DE REINTEGRACIÓN
SOCIAL EN EL DISTRITO DE CARTAGENA</c:v>
                </c:pt>
                <c:pt idx="3">
                  <c:v>PROGRAMA DERECHOS HUMANOS</c:v>
                </c:pt>
              </c:strCache>
            </c:strRef>
          </c:cat>
          <c:val>
            <c:numRef>
              <c:f>'AVANCES 3 OBJETIVO'!$G$4:$G$7</c:f>
              <c:numCache>
                <c:formatCode>0%</c:formatCode>
                <c:ptCount val="4"/>
                <c:pt idx="0">
                  <c:v>0.71204940623846735</c:v>
                </c:pt>
                <c:pt idx="1">
                  <c:v>0.74013051960035769</c:v>
                </c:pt>
                <c:pt idx="2">
                  <c:v>0.56268436578171088</c:v>
                </c:pt>
                <c:pt idx="3" formatCode="0.0%">
                  <c:v>0.83333333333333337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0C-4C25-824D-9484CC4D960F}"/>
            </c:ext>
          </c:extLst>
        </c:ser>
        <c:ser>
          <c:idx val="1"/>
          <c:order val="1"/>
          <c:tx>
            <c:strRef>
              <c:f>'AVANCES 3 OBJETIVO'!$H$3</c:f>
              <c:strCache>
                <c:ptCount val="1"/>
                <c:pt idx="0">
                  <c:v>JUNIO (2018)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cat>
            <c:strRef>
              <c:f>'AVANCES 3 OBJETIVO'!$F$4:$F$7</c:f>
              <c:strCache>
                <c:ptCount val="4"/>
                <c:pt idx="0">
                  <c:v>LÍNEA ESTRATÉGICA CARTAGENA TERRITORIO DE PAZ</c:v>
                </c:pt>
                <c:pt idx="1">
                  <c:v>PROGRAMA VÍCTIMAS DEL CONFLICTO ARMADO INTEGRADAS</c:v>
                </c:pt>
                <c:pt idx="2">
                  <c:v>PROGRAMA FORTALECIMIENTO DEL PROCESO DE REINTEGRACIÓN
SOCIAL EN EL DISTRITO DE CARTAGENA</c:v>
                </c:pt>
                <c:pt idx="3">
                  <c:v>PROGRAMA DERECHOS HUMANOS</c:v>
                </c:pt>
              </c:strCache>
            </c:strRef>
          </c:cat>
          <c:val>
            <c:numRef>
              <c:f>'AVANCES 3 OBJETIVO'!$H$4:$H$7</c:f>
              <c:numCache>
                <c:formatCode>0%</c:formatCode>
                <c:ptCount val="4"/>
                <c:pt idx="0">
                  <c:v>0.52376334212444076</c:v>
                </c:pt>
                <c:pt idx="1">
                  <c:v>0.43421028730033906</c:v>
                </c:pt>
                <c:pt idx="2">
                  <c:v>0.47041307240631658</c:v>
                </c:pt>
                <c:pt idx="3" formatCode="0.0%">
                  <c:v>0.66666666666666663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0C-4C25-824D-9484CC4D96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35586336"/>
        <c:axId val="1"/>
        <c:axId val="0"/>
      </c:bar3DChart>
      <c:catAx>
        <c:axId val="1135586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135586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 sz="1200"/>
              <a:t>LINEA ESTRATEGICA PARTICIPACION Y FORTALECIMIENTO A LA</a:t>
            </a:r>
          </a:p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 sz="1200"/>
              <a:t>DESCENTRALIZACIÓN. JUNIO 2018 - JUNIO 2019.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 w="6350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'AVANCES 3 OBJETIVO'!$S$3</c:f>
              <c:strCache>
                <c:ptCount val="1"/>
                <c:pt idx="0">
                  <c:v>JUNIO (2019)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6.8817194978620612E-3"/>
                  <c:y val="-2.22454018141388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BA6-4BFE-8BC7-F4B2D8A51630}"/>
                </c:ext>
              </c:extLst>
            </c:dLbl>
            <c:dLbl>
              <c:idx val="3"/>
              <c:layout>
                <c:manualLayout>
                  <c:x val="1.5483868870189512E-2"/>
                  <c:y val="-3.707566969023268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BA6-4BFE-8BC7-F4B2D8A51630}"/>
                </c:ext>
              </c:extLst>
            </c:dLbl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'AVANCES 3 OBJETIVO'!$R$4:$R$7</c:f>
              <c:strCache>
                <c:ptCount val="4"/>
                <c:pt idx="0">
                  <c:v>LINEA ESTRATEGICA PARTICIPACION Y FORTALECIMIENTO A LA
DESCENTRALIZACIÓN</c:v>
                </c:pt>
                <c:pt idx="1">
                  <c:v>PROGRAMA FORTALECIMIENTO DEL SISTEMA DISTRITAL DE PLANEACIÓN Y
DESCENTRALIZACIÓN</c:v>
                </c:pt>
                <c:pt idx="2">
                  <c:v>PROGRAMA FORTALECIMIENTO DE ORGANIZACIONES DE PARTICIPACION</c:v>
                </c:pt>
                <c:pt idx="3">
                  <c:v>PROGRAMA PRESUPUESTO PARTICIPATIVO</c:v>
                </c:pt>
              </c:strCache>
            </c:strRef>
          </c:cat>
          <c:val>
            <c:numRef>
              <c:f>'AVANCES 3 OBJETIVO'!$S$4:$S$7</c:f>
              <c:numCache>
                <c:formatCode>0%</c:formatCode>
                <c:ptCount val="4"/>
                <c:pt idx="0">
                  <c:v>0.52395497763148136</c:v>
                </c:pt>
                <c:pt idx="1">
                  <c:v>0.53889789992741099</c:v>
                </c:pt>
                <c:pt idx="2" formatCode="0.0%">
                  <c:v>1</c:v>
                </c:pt>
                <c:pt idx="3">
                  <c:v>3.2967032967032968E-2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BA6-4BFE-8BC7-F4B2D8A51630}"/>
            </c:ext>
          </c:extLst>
        </c:ser>
        <c:ser>
          <c:idx val="1"/>
          <c:order val="1"/>
          <c:tx>
            <c:strRef>
              <c:f>'AVANCES 3 OBJETIVO'!$T$3</c:f>
              <c:strCache>
                <c:ptCount val="1"/>
                <c:pt idx="0">
                  <c:v>JUNIO (2018)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2.2365588368051699E-2"/>
                  <c:y val="-7.41513393804633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BA6-4BFE-8BC7-F4B2D8A51630}"/>
                </c:ext>
              </c:extLst>
            </c:dLbl>
            <c:dLbl>
              <c:idx val="1"/>
              <c:layout>
                <c:manualLayout>
                  <c:x val="1.892472861912067E-2"/>
                  <c:y val="-1.85378348451156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BA6-4BFE-8BC7-F4B2D8A51630}"/>
                </c:ext>
              </c:extLst>
            </c:dLbl>
            <c:dLbl>
              <c:idx val="2"/>
              <c:layout>
                <c:manualLayout>
                  <c:x val="2.0645158493586183E-2"/>
                  <c:y val="-1.11227009070693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BA6-4BFE-8BC7-F4B2D8A51630}"/>
                </c:ext>
              </c:extLst>
            </c:dLbl>
            <c:dLbl>
              <c:idx val="3"/>
              <c:layout>
                <c:manualLayout>
                  <c:x val="3.9569887112706849E-2"/>
                  <c:y val="-7.415133938046263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BA6-4BFE-8BC7-F4B2D8A51630}"/>
                </c:ext>
              </c:extLst>
            </c:dLbl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'AVANCES 3 OBJETIVO'!$R$4:$R$7</c:f>
              <c:strCache>
                <c:ptCount val="4"/>
                <c:pt idx="0">
                  <c:v>LINEA ESTRATEGICA PARTICIPACION Y FORTALECIMIENTO A LA
DESCENTRALIZACIÓN</c:v>
                </c:pt>
                <c:pt idx="1">
                  <c:v>PROGRAMA FORTALECIMIENTO DEL SISTEMA DISTRITAL DE PLANEACIÓN Y
DESCENTRALIZACIÓN</c:v>
                </c:pt>
                <c:pt idx="2">
                  <c:v>PROGRAMA FORTALECIMIENTO DE ORGANIZACIONES DE PARTICIPACION</c:v>
                </c:pt>
                <c:pt idx="3">
                  <c:v>PROGRAMA PRESUPUESTO PARTICIPATIVO</c:v>
                </c:pt>
              </c:strCache>
            </c:strRef>
          </c:cat>
          <c:val>
            <c:numRef>
              <c:f>'AVANCES 3 OBJETIVO'!$T$4:$T$7</c:f>
              <c:numCache>
                <c:formatCode>0%</c:formatCode>
                <c:ptCount val="4"/>
                <c:pt idx="0">
                  <c:v>0.4636817175582213</c:v>
                </c:pt>
                <c:pt idx="1">
                  <c:v>0.38829789992741109</c:v>
                </c:pt>
                <c:pt idx="2" formatCode="0.0%">
                  <c:v>1</c:v>
                </c:pt>
                <c:pt idx="3">
                  <c:v>2.7472527472527475E-3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BA6-4BFE-8BC7-F4B2D8A516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35582592"/>
        <c:axId val="1"/>
        <c:axId val="0"/>
      </c:bar3DChart>
      <c:catAx>
        <c:axId val="1135582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13558259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4" Type="http://schemas.openxmlformats.org/officeDocument/2006/relationships/chart" Target="../charts/chart6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209550</xdr:colOff>
      <xdr:row>1</xdr:row>
      <xdr:rowOff>304800</xdr:rowOff>
    </xdr:from>
    <xdr:to>
      <xdr:col>11</xdr:col>
      <xdr:colOff>704850</xdr:colOff>
      <xdr:row>10</xdr:row>
      <xdr:rowOff>352425</xdr:rowOff>
    </xdr:to>
    <xdr:graphicFrame macro="">
      <xdr:nvGraphicFramePr>
        <xdr:cNvPr id="24599728" name="2 Gráfico">
          <a:extLst>
            <a:ext uri="{FF2B5EF4-FFF2-40B4-BE49-F238E27FC236}">
              <a16:creationId xmlns:a16="http://schemas.microsoft.com/office/drawing/2014/main" id="{00000000-0008-0000-0300-0000B05C77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544285</xdr:colOff>
      <xdr:row>11</xdr:row>
      <xdr:rowOff>240844</xdr:rowOff>
    </xdr:from>
    <xdr:to>
      <xdr:col>16</xdr:col>
      <xdr:colOff>816428</xdr:colOff>
      <xdr:row>28</xdr:row>
      <xdr:rowOff>149677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495300</xdr:colOff>
      <xdr:row>7</xdr:row>
      <xdr:rowOff>371475</xdr:rowOff>
    </xdr:from>
    <xdr:to>
      <xdr:col>11</xdr:col>
      <xdr:colOff>352425</xdr:colOff>
      <xdr:row>23</xdr:row>
      <xdr:rowOff>95250</xdr:rowOff>
    </xdr:to>
    <xdr:graphicFrame macro="">
      <xdr:nvGraphicFramePr>
        <xdr:cNvPr id="24506438" name="Gráfico 1">
          <a:extLst>
            <a:ext uri="{FF2B5EF4-FFF2-40B4-BE49-F238E27FC236}">
              <a16:creationId xmlns:a16="http://schemas.microsoft.com/office/drawing/2014/main" id="{00000000-0008-0000-0500-000046F075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247650</xdr:colOff>
      <xdr:row>6</xdr:row>
      <xdr:rowOff>514350</xdr:rowOff>
    </xdr:from>
    <xdr:to>
      <xdr:col>18</xdr:col>
      <xdr:colOff>1628775</xdr:colOff>
      <xdr:row>23</xdr:row>
      <xdr:rowOff>95250</xdr:rowOff>
    </xdr:to>
    <xdr:graphicFrame macro="">
      <xdr:nvGraphicFramePr>
        <xdr:cNvPr id="24506439" name="Gráfico 2">
          <a:extLst>
            <a:ext uri="{FF2B5EF4-FFF2-40B4-BE49-F238E27FC236}">
              <a16:creationId xmlns:a16="http://schemas.microsoft.com/office/drawing/2014/main" id="{00000000-0008-0000-0500-000047F075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24</xdr:col>
      <xdr:colOff>809625</xdr:colOff>
      <xdr:row>6</xdr:row>
      <xdr:rowOff>161925</xdr:rowOff>
    </xdr:from>
    <xdr:to>
      <xdr:col>30</xdr:col>
      <xdr:colOff>190500</xdr:colOff>
      <xdr:row>19</xdr:row>
      <xdr:rowOff>47625</xdr:rowOff>
    </xdr:to>
    <xdr:graphicFrame macro="">
      <xdr:nvGraphicFramePr>
        <xdr:cNvPr id="24506440" name="Gráfico 3">
          <a:extLst>
            <a:ext uri="{FF2B5EF4-FFF2-40B4-BE49-F238E27FC236}">
              <a16:creationId xmlns:a16="http://schemas.microsoft.com/office/drawing/2014/main" id="{00000000-0008-0000-0500-000048F075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36</xdr:col>
      <xdr:colOff>304800</xdr:colOff>
      <xdr:row>5</xdr:row>
      <xdr:rowOff>171450</xdr:rowOff>
    </xdr:from>
    <xdr:to>
      <xdr:col>42</xdr:col>
      <xdr:colOff>285750</xdr:colOff>
      <xdr:row>15</xdr:row>
      <xdr:rowOff>190500</xdr:rowOff>
    </xdr:to>
    <xdr:graphicFrame macro="">
      <xdr:nvGraphicFramePr>
        <xdr:cNvPr id="24506441" name="Gráfico 4">
          <a:extLst>
            <a:ext uri="{FF2B5EF4-FFF2-40B4-BE49-F238E27FC236}">
              <a16:creationId xmlns:a16="http://schemas.microsoft.com/office/drawing/2014/main" id="{00000000-0008-0000-0500-000049F075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581025</xdr:colOff>
      <xdr:row>7</xdr:row>
      <xdr:rowOff>304800</xdr:rowOff>
    </xdr:from>
    <xdr:to>
      <xdr:col>9</xdr:col>
      <xdr:colOff>1276350</xdr:colOff>
      <xdr:row>12</xdr:row>
      <xdr:rowOff>295275</xdr:rowOff>
    </xdr:to>
    <xdr:graphicFrame macro="">
      <xdr:nvGraphicFramePr>
        <xdr:cNvPr id="24507421" name="Gráfico 1">
          <a:extLst>
            <a:ext uri="{FF2B5EF4-FFF2-40B4-BE49-F238E27FC236}">
              <a16:creationId xmlns:a16="http://schemas.microsoft.com/office/drawing/2014/main" id="{00000000-0008-0000-0600-00001DF475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866775</xdr:colOff>
      <xdr:row>7</xdr:row>
      <xdr:rowOff>314325</xdr:rowOff>
    </xdr:from>
    <xdr:to>
      <xdr:col>22</xdr:col>
      <xdr:colOff>219075</xdr:colOff>
      <xdr:row>12</xdr:row>
      <xdr:rowOff>495300</xdr:rowOff>
    </xdr:to>
    <xdr:graphicFrame macro="">
      <xdr:nvGraphicFramePr>
        <xdr:cNvPr id="24507422" name="Gráfico 2">
          <a:extLst>
            <a:ext uri="{FF2B5EF4-FFF2-40B4-BE49-F238E27FC236}">
              <a16:creationId xmlns:a16="http://schemas.microsoft.com/office/drawing/2014/main" id="{00000000-0008-0000-0600-00001EF475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Luz%20Marina\Downloads\Users\ADMIN\Downloads\informacion%20p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 indicativo-2017 PES - PR"/>
    </sheetNames>
    <sheetDataSet>
      <sheetData sheetId="0" refreshError="1">
        <row r="11">
          <cell r="V11">
            <v>121</v>
          </cell>
          <cell r="W11">
            <v>228</v>
          </cell>
        </row>
        <row r="12">
          <cell r="V12">
            <v>860</v>
          </cell>
          <cell r="W12">
            <v>374</v>
          </cell>
        </row>
        <row r="19">
          <cell r="V19">
            <v>109</v>
          </cell>
          <cell r="W19">
            <v>636</v>
          </cell>
        </row>
        <row r="20">
          <cell r="U20">
            <v>0</v>
          </cell>
          <cell r="V20">
            <v>23</v>
          </cell>
          <cell r="W20">
            <v>40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BB1038"/>
  <sheetViews>
    <sheetView zoomScale="70" zoomScaleNormal="70" workbookViewId="0">
      <pane xSplit="10" ySplit="2" topLeftCell="K406" activePane="bottomRight" state="frozen"/>
      <selection pane="topRight" activeCell="K1" sqref="K1"/>
      <selection pane="bottomLeft" activeCell="A3" sqref="A3"/>
      <selection pane="bottomRight" activeCell="K412" sqref="K412"/>
    </sheetView>
  </sheetViews>
  <sheetFormatPr baseColWidth="10" defaultRowHeight="15" x14ac:dyDescent="0.25"/>
  <cols>
    <col min="1" max="1" width="12.5703125" style="101" hidden="1" customWidth="1"/>
    <col min="2" max="2" width="21.42578125" style="101" hidden="1" customWidth="1"/>
    <col min="3" max="3" width="12.5703125" style="101" hidden="1" customWidth="1"/>
    <col min="4" max="4" width="19.140625" style="101" hidden="1" customWidth="1"/>
    <col min="5" max="5" width="24.28515625" style="101" bestFit="1" customWidth="1"/>
    <col min="6" max="6" width="102.140625" style="233" hidden="1" customWidth="1"/>
    <col min="7" max="7" width="145.7109375" style="101" hidden="1" customWidth="1"/>
    <col min="8" max="8" width="22.140625" style="122" hidden="1" customWidth="1"/>
    <col min="9" max="9" width="26.7109375" style="101" hidden="1" customWidth="1"/>
    <col min="10" max="10" width="19.85546875" style="101" customWidth="1"/>
    <col min="11" max="11" width="30.28515625" style="101" customWidth="1"/>
    <col min="12" max="12" width="62.5703125" style="101" hidden="1" customWidth="1"/>
    <col min="13" max="13" width="15.85546875" style="101" customWidth="1"/>
    <col min="14" max="14" width="13.85546875" style="101" customWidth="1"/>
    <col min="15" max="15" width="7.42578125" style="101" hidden="1" customWidth="1"/>
    <col min="16" max="16" width="8.7109375" style="101" customWidth="1"/>
    <col min="17" max="17" width="8.5703125" style="101" customWidth="1"/>
    <col min="18" max="18" width="10.28515625" style="101" customWidth="1"/>
    <col min="19" max="19" width="8.5703125" style="101" customWidth="1"/>
    <col min="20" max="20" width="8.140625" style="101" customWidth="1"/>
    <col min="21" max="22" width="9.140625" style="122" customWidth="1"/>
    <col min="23" max="24" width="11.42578125" style="101" customWidth="1"/>
    <col min="25" max="25" width="10.5703125" style="101" customWidth="1"/>
    <col min="26" max="26" width="10" style="101" customWidth="1"/>
    <col min="27" max="27" width="9.5703125" style="101" customWidth="1"/>
    <col min="28" max="28" width="9.85546875" style="101" customWidth="1"/>
    <col min="29" max="29" width="6.5703125" style="101" hidden="1" customWidth="1"/>
    <col min="30" max="30" width="8" style="101" hidden="1" customWidth="1"/>
    <col min="31" max="31" width="9.85546875" style="122" hidden="1" customWidth="1"/>
    <col min="32" max="32" width="14" style="101" customWidth="1"/>
    <col min="33" max="33" width="0.140625" style="101" customWidth="1"/>
    <col min="34" max="34" width="14.7109375" style="122" customWidth="1"/>
    <col min="35" max="35" width="19.85546875" style="122" customWidth="1"/>
    <col min="36" max="36" width="18" style="101" customWidth="1"/>
    <col min="37" max="37" width="20.5703125" style="101" hidden="1" customWidth="1"/>
    <col min="38" max="38" width="14.5703125" style="101" hidden="1" customWidth="1"/>
    <col min="39" max="39" width="16.5703125" style="101" hidden="1" customWidth="1"/>
    <col min="40" max="40" width="13.28515625" style="101" hidden="1" customWidth="1"/>
    <col min="41" max="41" width="16.28515625" style="101" hidden="1" customWidth="1"/>
    <col min="42" max="42" width="17.140625" style="101" hidden="1" customWidth="1"/>
    <col min="43" max="44" width="13.28515625" style="101" hidden="1" customWidth="1"/>
    <col min="45" max="45" width="13.42578125" style="101" hidden="1" customWidth="1"/>
    <col min="46" max="46" width="20" style="101" hidden="1" customWidth="1"/>
    <col min="47" max="47" width="18.140625" style="101" hidden="1" customWidth="1"/>
    <col min="48" max="48" width="11.42578125" style="101" customWidth="1"/>
    <col min="49" max="50" width="13.28515625" style="101" customWidth="1"/>
    <col min="51" max="16384" width="11.42578125" style="101"/>
  </cols>
  <sheetData>
    <row r="1" spans="1:48" ht="38.25" customHeight="1" x14ac:dyDescent="0.25">
      <c r="A1" s="632" t="s">
        <v>27</v>
      </c>
      <c r="B1" s="659" t="s">
        <v>0</v>
      </c>
      <c r="C1" s="659" t="s">
        <v>1</v>
      </c>
      <c r="D1" s="654" t="s">
        <v>2</v>
      </c>
      <c r="E1" s="654" t="s">
        <v>3</v>
      </c>
      <c r="F1" s="660" t="s">
        <v>5</v>
      </c>
      <c r="G1" s="654" t="s">
        <v>20</v>
      </c>
      <c r="H1" s="654" t="s">
        <v>33</v>
      </c>
      <c r="I1" s="654" t="s">
        <v>34</v>
      </c>
      <c r="J1" s="654" t="s">
        <v>4</v>
      </c>
      <c r="K1" s="654" t="s">
        <v>6</v>
      </c>
      <c r="L1" s="654" t="s">
        <v>2173</v>
      </c>
      <c r="M1" s="654" t="s">
        <v>2172</v>
      </c>
      <c r="N1" s="652" t="s">
        <v>31</v>
      </c>
      <c r="O1" s="656">
        <v>2016</v>
      </c>
      <c r="P1" s="657"/>
      <c r="Q1" s="657"/>
      <c r="R1" s="658"/>
      <c r="S1" s="655">
        <v>2017</v>
      </c>
      <c r="T1" s="655"/>
      <c r="U1" s="655"/>
      <c r="V1" s="655"/>
      <c r="W1" s="655">
        <v>2018</v>
      </c>
      <c r="X1" s="655"/>
      <c r="Y1" s="655"/>
      <c r="Z1" s="655"/>
      <c r="AA1" s="655">
        <v>2019</v>
      </c>
      <c r="AB1" s="655"/>
      <c r="AC1" s="655"/>
      <c r="AD1" s="655"/>
      <c r="AE1" s="652" t="s">
        <v>22</v>
      </c>
      <c r="AF1" s="653" t="s">
        <v>2139</v>
      </c>
      <c r="AG1" s="651" t="s">
        <v>7</v>
      </c>
      <c r="AH1" s="661" t="s">
        <v>23</v>
      </c>
      <c r="AI1" s="651" t="s">
        <v>24</v>
      </c>
      <c r="AJ1" s="651" t="s">
        <v>8</v>
      </c>
      <c r="AK1" s="651" t="s">
        <v>9</v>
      </c>
      <c r="AL1" s="651" t="s">
        <v>10</v>
      </c>
      <c r="AM1" s="651" t="s">
        <v>11</v>
      </c>
      <c r="AN1" s="651" t="s">
        <v>12</v>
      </c>
      <c r="AO1" s="651" t="s">
        <v>13</v>
      </c>
      <c r="AP1" s="651" t="s">
        <v>14</v>
      </c>
      <c r="AQ1" s="651" t="s">
        <v>15</v>
      </c>
      <c r="AR1" s="651" t="s">
        <v>16</v>
      </c>
      <c r="AS1" s="651" t="s">
        <v>17</v>
      </c>
      <c r="AT1" s="651" t="s">
        <v>18</v>
      </c>
      <c r="AU1" s="651" t="s">
        <v>19</v>
      </c>
    </row>
    <row r="2" spans="1:48" ht="45.75" customHeight="1" x14ac:dyDescent="0.25">
      <c r="A2" s="632"/>
      <c r="B2" s="659"/>
      <c r="C2" s="659"/>
      <c r="D2" s="654"/>
      <c r="E2" s="654"/>
      <c r="F2" s="660"/>
      <c r="G2" s="654"/>
      <c r="H2" s="654"/>
      <c r="I2" s="654"/>
      <c r="J2" s="654"/>
      <c r="K2" s="654"/>
      <c r="L2" s="654"/>
      <c r="M2" s="654"/>
      <c r="N2" s="652"/>
      <c r="O2" s="128" t="s">
        <v>2146</v>
      </c>
      <c r="P2" s="128" t="s">
        <v>2147</v>
      </c>
      <c r="Q2" s="128" t="s">
        <v>2145</v>
      </c>
      <c r="R2" s="128" t="s">
        <v>2188</v>
      </c>
      <c r="S2" s="129" t="s">
        <v>2146</v>
      </c>
      <c r="T2" s="129" t="s">
        <v>2147</v>
      </c>
      <c r="U2" s="277" t="s">
        <v>2145</v>
      </c>
      <c r="V2" s="293" t="s">
        <v>2188</v>
      </c>
      <c r="W2" s="129" t="s">
        <v>2146</v>
      </c>
      <c r="X2" s="129" t="s">
        <v>2147</v>
      </c>
      <c r="Y2" s="303" t="s">
        <v>2145</v>
      </c>
      <c r="Z2" s="130" t="s">
        <v>2188</v>
      </c>
      <c r="AA2" s="129" t="s">
        <v>2146</v>
      </c>
      <c r="AB2" s="129" t="s">
        <v>2147</v>
      </c>
      <c r="AC2" s="130" t="s">
        <v>2145</v>
      </c>
      <c r="AD2" s="130" t="s">
        <v>2188</v>
      </c>
      <c r="AE2" s="652"/>
      <c r="AF2" s="653"/>
      <c r="AG2" s="651"/>
      <c r="AH2" s="661"/>
      <c r="AI2" s="651"/>
      <c r="AJ2" s="651"/>
      <c r="AK2" s="651"/>
      <c r="AL2" s="651"/>
      <c r="AM2" s="651"/>
      <c r="AN2" s="651"/>
      <c r="AO2" s="651"/>
      <c r="AP2" s="651"/>
      <c r="AQ2" s="651"/>
      <c r="AR2" s="651"/>
      <c r="AS2" s="651"/>
      <c r="AT2" s="651"/>
      <c r="AU2" s="651"/>
    </row>
    <row r="3" spans="1:48" ht="60" x14ac:dyDescent="0.25">
      <c r="A3" s="632"/>
      <c r="B3" s="663" t="s">
        <v>26</v>
      </c>
      <c r="C3" s="634" t="s">
        <v>1891</v>
      </c>
      <c r="D3" s="647" t="s">
        <v>25</v>
      </c>
      <c r="E3" s="622" t="s">
        <v>28</v>
      </c>
      <c r="F3" s="622" t="s">
        <v>29</v>
      </c>
      <c r="G3" s="622" t="s">
        <v>30</v>
      </c>
      <c r="H3" s="648">
        <v>0.74</v>
      </c>
      <c r="I3" s="648">
        <v>0.66900000000000004</v>
      </c>
      <c r="J3" s="622" t="s">
        <v>32</v>
      </c>
      <c r="K3" s="247" t="s">
        <v>36</v>
      </c>
      <c r="L3" s="248" t="s">
        <v>40</v>
      </c>
      <c r="M3" s="138">
        <v>1</v>
      </c>
      <c r="N3" s="138">
        <v>0</v>
      </c>
      <c r="O3" s="138"/>
      <c r="P3" s="125"/>
      <c r="Q3" s="139">
        <v>0</v>
      </c>
      <c r="R3" s="139">
        <v>0</v>
      </c>
      <c r="S3" s="140">
        <v>0.8</v>
      </c>
      <c r="T3" s="132">
        <v>0</v>
      </c>
      <c r="U3" s="274">
        <v>0</v>
      </c>
      <c r="V3" s="290">
        <v>0</v>
      </c>
      <c r="W3" s="125"/>
      <c r="X3" s="125"/>
      <c r="Y3" s="125"/>
      <c r="Z3" s="441">
        <v>0</v>
      </c>
      <c r="AA3" s="125"/>
      <c r="AB3" s="125"/>
      <c r="AC3" s="125"/>
      <c r="AD3" s="125"/>
      <c r="AE3" s="681">
        <v>0.64300000000000002</v>
      </c>
      <c r="AF3" s="313">
        <f>+S3</f>
        <v>0.8</v>
      </c>
      <c r="AG3" s="125"/>
      <c r="AH3" s="312">
        <f>+(AF3/M3)</f>
        <v>0.8</v>
      </c>
      <c r="AI3" s="142">
        <f>+AH3</f>
        <v>0.8</v>
      </c>
      <c r="AJ3" s="125"/>
      <c r="AK3" s="667">
        <v>2647294477</v>
      </c>
      <c r="AL3" s="143"/>
      <c r="AM3" s="143"/>
      <c r="AN3" s="143"/>
      <c r="AO3" s="143"/>
      <c r="AP3" s="143"/>
      <c r="AQ3" s="143"/>
      <c r="AR3" s="143"/>
      <c r="AS3" s="143"/>
      <c r="AT3" s="667">
        <v>0</v>
      </c>
      <c r="AU3" s="617">
        <f>+AT3/AK3</f>
        <v>0</v>
      </c>
      <c r="AV3" s="144"/>
    </row>
    <row r="4" spans="1:48" ht="40.5" customHeight="1" x14ac:dyDescent="0.25">
      <c r="A4" s="632"/>
      <c r="B4" s="663"/>
      <c r="C4" s="634"/>
      <c r="D4" s="647"/>
      <c r="E4" s="622"/>
      <c r="F4" s="622"/>
      <c r="G4" s="622"/>
      <c r="H4" s="648"/>
      <c r="I4" s="648"/>
      <c r="J4" s="622"/>
      <c r="K4" s="248" t="s">
        <v>37</v>
      </c>
      <c r="L4" s="248" t="s">
        <v>41</v>
      </c>
      <c r="M4" s="138">
        <v>80</v>
      </c>
      <c r="N4" s="138">
        <v>0</v>
      </c>
      <c r="O4" s="138"/>
      <c r="P4" s="125"/>
      <c r="Q4" s="139">
        <v>0</v>
      </c>
      <c r="R4" s="139">
        <v>0</v>
      </c>
      <c r="S4" s="140">
        <v>0</v>
      </c>
      <c r="T4" s="132">
        <v>0</v>
      </c>
      <c r="U4" s="274">
        <v>0</v>
      </c>
      <c r="V4" s="290">
        <v>0</v>
      </c>
      <c r="W4" s="300">
        <v>0</v>
      </c>
      <c r="X4" s="300">
        <v>0</v>
      </c>
      <c r="Y4" s="300">
        <v>99</v>
      </c>
      <c r="Z4" s="441">
        <v>0</v>
      </c>
      <c r="AA4" s="125"/>
      <c r="AB4" s="125"/>
      <c r="AC4" s="125"/>
      <c r="AD4" s="125"/>
      <c r="AE4" s="676"/>
      <c r="AF4" s="141">
        <f>+Y4</f>
        <v>99</v>
      </c>
      <c r="AG4" s="125"/>
      <c r="AH4" s="314">
        <v>1</v>
      </c>
      <c r="AI4" s="598">
        <f t="shared" ref="AI4:AI67" si="0">+AH4</f>
        <v>1</v>
      </c>
      <c r="AJ4" s="125"/>
      <c r="AK4" s="668"/>
      <c r="AL4" s="143"/>
      <c r="AM4" s="143"/>
      <c r="AN4" s="143"/>
      <c r="AO4" s="143"/>
      <c r="AP4" s="143"/>
      <c r="AQ4" s="143"/>
      <c r="AR4" s="143"/>
      <c r="AS4" s="143"/>
      <c r="AT4" s="668"/>
      <c r="AU4" s="670"/>
      <c r="AV4" s="144"/>
    </row>
    <row r="5" spans="1:48" ht="63.75" customHeight="1" x14ac:dyDescent="0.25">
      <c r="A5" s="632"/>
      <c r="B5" s="663"/>
      <c r="C5" s="634"/>
      <c r="D5" s="647"/>
      <c r="E5" s="622"/>
      <c r="F5" s="622"/>
      <c r="G5" s="622"/>
      <c r="H5" s="648"/>
      <c r="I5" s="648"/>
      <c r="J5" s="622"/>
      <c r="K5" s="248" t="s">
        <v>38</v>
      </c>
      <c r="L5" s="248" t="s">
        <v>42</v>
      </c>
      <c r="M5" s="105">
        <v>14500</v>
      </c>
      <c r="N5" s="105">
        <v>12850</v>
      </c>
      <c r="O5" s="105"/>
      <c r="P5" s="125"/>
      <c r="Q5" s="139">
        <v>11525</v>
      </c>
      <c r="R5" s="139">
        <v>11525</v>
      </c>
      <c r="S5" s="145">
        <v>11043</v>
      </c>
      <c r="T5" s="132">
        <v>12102</v>
      </c>
      <c r="U5" s="274">
        <v>12411</v>
      </c>
      <c r="V5" s="290">
        <f>+U5</f>
        <v>12411</v>
      </c>
      <c r="W5" s="300">
        <v>12681</v>
      </c>
      <c r="X5" s="300">
        <v>12827</v>
      </c>
      <c r="Y5" s="300">
        <v>12677</v>
      </c>
      <c r="Z5" s="441">
        <v>12500</v>
      </c>
      <c r="AA5" s="575">
        <v>11641</v>
      </c>
      <c r="AB5" s="576">
        <v>12625</v>
      </c>
      <c r="AC5" s="125"/>
      <c r="AD5" s="125"/>
      <c r="AE5" s="676"/>
      <c r="AF5" s="147">
        <f>+AB5</f>
        <v>12625</v>
      </c>
      <c r="AG5" s="125"/>
      <c r="AH5" s="314">
        <f>+(AF5/M5)</f>
        <v>0.87068965517241381</v>
      </c>
      <c r="AI5" s="598">
        <f t="shared" si="0"/>
        <v>0.87068965517241381</v>
      </c>
      <c r="AJ5" s="125"/>
      <c r="AK5" s="668"/>
      <c r="AL5" s="143"/>
      <c r="AM5" s="143"/>
      <c r="AN5" s="143"/>
      <c r="AO5" s="143"/>
      <c r="AP5" s="143"/>
      <c r="AQ5" s="143"/>
      <c r="AR5" s="143"/>
      <c r="AS5" s="143"/>
      <c r="AT5" s="668"/>
      <c r="AU5" s="670"/>
      <c r="AV5" s="144"/>
    </row>
    <row r="6" spans="1:48" ht="49.5" customHeight="1" x14ac:dyDescent="0.25">
      <c r="A6" s="632"/>
      <c r="B6" s="663"/>
      <c r="C6" s="634"/>
      <c r="D6" s="647"/>
      <c r="E6" s="622"/>
      <c r="F6" s="622"/>
      <c r="G6" s="622"/>
      <c r="H6" s="648"/>
      <c r="I6" s="648"/>
      <c r="J6" s="622"/>
      <c r="K6" s="248" t="s">
        <v>39</v>
      </c>
      <c r="L6" s="248" t="s">
        <v>43</v>
      </c>
      <c r="M6" s="105">
        <v>100</v>
      </c>
      <c r="N6" s="105">
        <v>0</v>
      </c>
      <c r="O6" s="105"/>
      <c r="P6" s="125"/>
      <c r="Q6" s="139">
        <v>0</v>
      </c>
      <c r="R6" s="139">
        <v>5</v>
      </c>
      <c r="S6" s="145">
        <v>4</v>
      </c>
      <c r="T6" s="132">
        <v>0</v>
      </c>
      <c r="U6" s="274">
        <v>5</v>
      </c>
      <c r="V6" s="290">
        <v>7</v>
      </c>
      <c r="W6" s="300">
        <v>2</v>
      </c>
      <c r="X6" s="300">
        <v>0</v>
      </c>
      <c r="Y6" s="300">
        <v>0</v>
      </c>
      <c r="Z6" s="441">
        <v>0</v>
      </c>
      <c r="AA6" s="575">
        <v>0</v>
      </c>
      <c r="AB6" s="575">
        <v>6</v>
      </c>
      <c r="AC6" s="125"/>
      <c r="AD6" s="125"/>
      <c r="AE6" s="677"/>
      <c r="AF6" s="141">
        <f>+P6+Q6+R6+S6+T6+U6+V6+W6+X6+Y6+Z6+AA6+AB6</f>
        <v>29</v>
      </c>
      <c r="AG6" s="125"/>
      <c r="AH6" s="314">
        <f>+(AF6/M6)</f>
        <v>0.28999999999999998</v>
      </c>
      <c r="AI6" s="598">
        <f t="shared" si="0"/>
        <v>0.28999999999999998</v>
      </c>
      <c r="AJ6" s="125"/>
      <c r="AK6" s="668"/>
      <c r="AL6" s="143"/>
      <c r="AM6" s="143"/>
      <c r="AN6" s="143"/>
      <c r="AO6" s="143"/>
      <c r="AP6" s="143"/>
      <c r="AQ6" s="143"/>
      <c r="AR6" s="143"/>
      <c r="AS6" s="143"/>
      <c r="AT6" s="668"/>
      <c r="AU6" s="670"/>
      <c r="AV6" s="144"/>
    </row>
    <row r="7" spans="1:48" ht="34.5" customHeight="1" x14ac:dyDescent="0.25">
      <c r="A7" s="632"/>
      <c r="B7" s="663"/>
      <c r="C7" s="634"/>
      <c r="D7" s="647"/>
      <c r="E7" s="622"/>
      <c r="F7" s="622"/>
      <c r="G7" s="622"/>
      <c r="H7" s="648"/>
      <c r="I7" s="648"/>
      <c r="J7" s="622"/>
      <c r="K7" s="43"/>
      <c r="L7" s="43"/>
      <c r="M7" s="105"/>
      <c r="N7" s="105"/>
      <c r="O7" s="105"/>
      <c r="P7" s="125"/>
      <c r="Q7" s="125"/>
      <c r="R7" s="125"/>
      <c r="S7" s="125"/>
      <c r="T7" s="132"/>
      <c r="U7" s="274"/>
      <c r="V7" s="290"/>
      <c r="W7" s="125"/>
      <c r="X7" s="125"/>
      <c r="Y7" s="125"/>
      <c r="Z7" s="125"/>
      <c r="AA7" s="125"/>
      <c r="AB7" s="125"/>
      <c r="AC7" s="125"/>
      <c r="AD7" s="125"/>
      <c r="AE7" s="290"/>
      <c r="AF7" s="141"/>
      <c r="AG7" s="125"/>
      <c r="AH7" s="146">
        <f>AVERAGE(AH3:AH6)</f>
        <v>0.7401724137931035</v>
      </c>
      <c r="AI7" s="598">
        <f t="shared" si="0"/>
        <v>0.7401724137931035</v>
      </c>
      <c r="AJ7" s="125"/>
      <c r="AK7" s="669"/>
      <c r="AL7" s="143"/>
      <c r="AM7" s="143"/>
      <c r="AN7" s="143"/>
      <c r="AO7" s="143"/>
      <c r="AP7" s="143"/>
      <c r="AQ7" s="143"/>
      <c r="AR7" s="143"/>
      <c r="AS7" s="143"/>
      <c r="AT7" s="669"/>
      <c r="AU7" s="618"/>
      <c r="AV7" s="144"/>
    </row>
    <row r="8" spans="1:48" ht="30" x14ac:dyDescent="0.25">
      <c r="A8" s="632"/>
      <c r="B8" s="663"/>
      <c r="C8" s="634"/>
      <c r="D8" s="647"/>
      <c r="E8" s="622"/>
      <c r="F8" s="622" t="s">
        <v>44</v>
      </c>
      <c r="G8" s="622" t="s">
        <v>50</v>
      </c>
      <c r="H8" s="630">
        <v>0.59</v>
      </c>
      <c r="I8" s="662">
        <v>0.55400000000000005</v>
      </c>
      <c r="J8" s="625" t="s">
        <v>45</v>
      </c>
      <c r="K8" s="625" t="s">
        <v>46</v>
      </c>
      <c r="L8" s="249" t="s">
        <v>47</v>
      </c>
      <c r="M8" s="105">
        <v>21700</v>
      </c>
      <c r="N8" s="105">
        <v>20500</v>
      </c>
      <c r="O8" s="105"/>
      <c r="P8" s="125"/>
      <c r="Q8" s="132">
        <v>18466</v>
      </c>
      <c r="R8" s="132">
        <v>19898</v>
      </c>
      <c r="S8" s="145">
        <v>0</v>
      </c>
      <c r="T8" s="132">
        <v>19935</v>
      </c>
      <c r="U8" s="274">
        <v>20249</v>
      </c>
      <c r="V8" s="290">
        <v>20145</v>
      </c>
      <c r="W8" s="300">
        <v>20299</v>
      </c>
      <c r="X8" s="300">
        <v>20170</v>
      </c>
      <c r="Y8" s="300">
        <v>19910</v>
      </c>
      <c r="Z8" s="433">
        <v>19804</v>
      </c>
      <c r="AA8" s="575">
        <v>19286</v>
      </c>
      <c r="AB8" s="575">
        <v>20301</v>
      </c>
      <c r="AC8" s="125"/>
      <c r="AD8" s="125"/>
      <c r="AE8" s="291">
        <v>0.51200000000000001</v>
      </c>
      <c r="AF8" s="147">
        <f>+AB8</f>
        <v>20301</v>
      </c>
      <c r="AG8" s="125"/>
      <c r="AH8" s="314">
        <f>+AF8/M8</f>
        <v>0.93552995391705074</v>
      </c>
      <c r="AI8" s="598">
        <f t="shared" si="0"/>
        <v>0.93552995391705074</v>
      </c>
      <c r="AJ8" s="125"/>
      <c r="AK8" s="148">
        <f>61675572921+303205074413.94</f>
        <v>364880647334.94</v>
      </c>
      <c r="AL8" s="148"/>
      <c r="AM8" s="148"/>
      <c r="AN8" s="148"/>
      <c r="AO8" s="148"/>
      <c r="AP8" s="148"/>
      <c r="AQ8" s="148"/>
      <c r="AR8" s="148"/>
      <c r="AS8" s="148"/>
      <c r="AT8" s="148">
        <f>59442750707+281652841450.61</f>
        <v>341095592157.60999</v>
      </c>
      <c r="AU8" s="149">
        <f>+AT8/AK8</f>
        <v>0.93481414991161027</v>
      </c>
      <c r="AV8" s="144"/>
    </row>
    <row r="9" spans="1:48" ht="30" customHeight="1" x14ac:dyDescent="0.25">
      <c r="A9" s="632"/>
      <c r="B9" s="663"/>
      <c r="C9" s="634"/>
      <c r="D9" s="647"/>
      <c r="E9" s="622"/>
      <c r="F9" s="622"/>
      <c r="G9" s="622"/>
      <c r="H9" s="630"/>
      <c r="I9" s="662"/>
      <c r="J9" s="625"/>
      <c r="K9" s="625"/>
      <c r="L9" s="125"/>
      <c r="M9" s="105"/>
      <c r="N9" s="105"/>
      <c r="O9" s="105"/>
      <c r="P9" s="125"/>
      <c r="Q9" s="125"/>
      <c r="R9" s="125"/>
      <c r="S9" s="125"/>
      <c r="T9" s="125"/>
      <c r="U9" s="274"/>
      <c r="V9" s="290"/>
      <c r="W9" s="317"/>
      <c r="X9" s="318"/>
      <c r="Y9" s="318"/>
      <c r="Z9" s="125"/>
      <c r="AA9" s="125"/>
      <c r="AB9" s="125"/>
      <c r="AC9" s="125"/>
      <c r="AD9" s="125"/>
      <c r="AE9" s="290"/>
      <c r="AF9" s="141"/>
      <c r="AG9" s="125"/>
      <c r="AH9" s="150">
        <f>+AH8</f>
        <v>0.93552995391705074</v>
      </c>
      <c r="AI9" s="598">
        <f t="shared" si="0"/>
        <v>0.93552995391705074</v>
      </c>
      <c r="AJ9" s="125"/>
      <c r="AK9" s="143"/>
      <c r="AL9" s="143"/>
      <c r="AM9" s="143"/>
      <c r="AN9" s="143"/>
      <c r="AO9" s="143"/>
      <c r="AP9" s="143"/>
      <c r="AQ9" s="143"/>
      <c r="AR9" s="143"/>
      <c r="AS9" s="143"/>
      <c r="AT9" s="143"/>
      <c r="AU9" s="143"/>
      <c r="AV9" s="144"/>
    </row>
    <row r="10" spans="1:48" ht="70.5" customHeight="1" x14ac:dyDescent="0.25">
      <c r="A10" s="632"/>
      <c r="B10" s="663"/>
      <c r="C10" s="634"/>
      <c r="D10" s="647"/>
      <c r="E10" s="622"/>
      <c r="F10" s="646" t="s">
        <v>48</v>
      </c>
      <c r="G10" s="622" t="s">
        <v>51</v>
      </c>
      <c r="H10" s="662">
        <v>3.6999999999999998E-2</v>
      </c>
      <c r="I10" s="662">
        <v>4.9000000000000002E-2</v>
      </c>
      <c r="J10" s="625" t="s">
        <v>49</v>
      </c>
      <c r="K10" s="249" t="s">
        <v>52</v>
      </c>
      <c r="L10" s="249" t="s">
        <v>56</v>
      </c>
      <c r="M10" s="105">
        <v>77000</v>
      </c>
      <c r="N10" s="105">
        <v>76200</v>
      </c>
      <c r="O10" s="105"/>
      <c r="P10" s="125"/>
      <c r="Q10" s="139">
        <v>81825</v>
      </c>
      <c r="R10" s="139">
        <v>81825</v>
      </c>
      <c r="S10" s="151">
        <v>0</v>
      </c>
      <c r="T10" s="132">
        <v>89974</v>
      </c>
      <c r="U10" s="274">
        <f>+T10</f>
        <v>89974</v>
      </c>
      <c r="V10" s="290">
        <v>91373</v>
      </c>
      <c r="W10" s="300">
        <v>0</v>
      </c>
      <c r="X10" s="300">
        <v>0</v>
      </c>
      <c r="Y10" s="300">
        <v>98914</v>
      </c>
      <c r="Z10" s="443">
        <v>94630</v>
      </c>
      <c r="AA10" s="575">
        <v>95577</v>
      </c>
      <c r="AB10" s="575">
        <v>95577</v>
      </c>
      <c r="AC10" s="125"/>
      <c r="AD10" s="125"/>
      <c r="AE10" s="682">
        <v>4.9500000000000002E-2</v>
      </c>
      <c r="AF10" s="147">
        <f>+AB10</f>
        <v>95577</v>
      </c>
      <c r="AG10" s="125"/>
      <c r="AH10" s="314">
        <v>1</v>
      </c>
      <c r="AI10" s="598">
        <f t="shared" si="0"/>
        <v>1</v>
      </c>
      <c r="AJ10" s="125"/>
      <c r="AK10" s="619">
        <f>11596268335+2381400772+2</f>
        <v>13977669109</v>
      </c>
      <c r="AL10" s="143"/>
      <c r="AM10" s="143"/>
      <c r="AN10" s="143"/>
      <c r="AO10" s="143"/>
      <c r="AP10" s="143"/>
      <c r="AQ10" s="143"/>
      <c r="AR10" s="143"/>
      <c r="AS10" s="143"/>
      <c r="AT10" s="619">
        <f>8606324090+2355197060</f>
        <v>10961521150</v>
      </c>
      <c r="AU10" s="672">
        <f>+AT10/AK10</f>
        <v>0.78421667193008959</v>
      </c>
      <c r="AV10" s="144"/>
    </row>
    <row r="11" spans="1:48" ht="120.75" customHeight="1" x14ac:dyDescent="0.25">
      <c r="A11" s="632"/>
      <c r="B11" s="663"/>
      <c r="C11" s="634"/>
      <c r="D11" s="647"/>
      <c r="E11" s="622"/>
      <c r="F11" s="646"/>
      <c r="G11" s="622"/>
      <c r="H11" s="662"/>
      <c r="I11" s="662"/>
      <c r="J11" s="625"/>
      <c r="K11" s="249" t="s">
        <v>53</v>
      </c>
      <c r="L11" s="249" t="s">
        <v>57</v>
      </c>
      <c r="M11" s="105">
        <v>4000</v>
      </c>
      <c r="N11" s="105">
        <v>3700</v>
      </c>
      <c r="O11" s="105"/>
      <c r="P11" s="125"/>
      <c r="Q11" s="152">
        <v>4469</v>
      </c>
      <c r="R11" s="152">
        <v>4469</v>
      </c>
      <c r="S11" s="145">
        <v>0</v>
      </c>
      <c r="T11" s="132">
        <v>6104</v>
      </c>
      <c r="U11" s="274">
        <f>+T11</f>
        <v>6104</v>
      </c>
      <c r="V11" s="290">
        <v>6148</v>
      </c>
      <c r="W11" s="300">
        <v>268</v>
      </c>
      <c r="X11" s="300">
        <v>3901</v>
      </c>
      <c r="Y11" s="300">
        <v>3942</v>
      </c>
      <c r="Z11" s="444">
        <v>0</v>
      </c>
      <c r="AA11" s="575">
        <v>4755</v>
      </c>
      <c r="AB11" s="575">
        <v>4755</v>
      </c>
      <c r="AC11" s="125"/>
      <c r="AD11" s="125"/>
      <c r="AE11" s="683"/>
      <c r="AF11" s="147">
        <f>+AB11</f>
        <v>4755</v>
      </c>
      <c r="AG11" s="125"/>
      <c r="AH11" s="314">
        <v>1</v>
      </c>
      <c r="AI11" s="598">
        <f t="shared" si="0"/>
        <v>1</v>
      </c>
      <c r="AJ11" s="125"/>
      <c r="AK11" s="671"/>
      <c r="AL11" s="143"/>
      <c r="AM11" s="143"/>
      <c r="AN11" s="143"/>
      <c r="AO11" s="143"/>
      <c r="AP11" s="143"/>
      <c r="AQ11" s="143"/>
      <c r="AR11" s="143"/>
      <c r="AS11" s="143"/>
      <c r="AT11" s="671"/>
      <c r="AU11" s="673"/>
      <c r="AV11" s="144"/>
    </row>
    <row r="12" spans="1:48" ht="30" x14ac:dyDescent="0.25">
      <c r="A12" s="632"/>
      <c r="B12" s="663"/>
      <c r="C12" s="634"/>
      <c r="D12" s="647"/>
      <c r="E12" s="622"/>
      <c r="F12" s="646"/>
      <c r="G12" s="622"/>
      <c r="H12" s="662"/>
      <c r="I12" s="662"/>
      <c r="J12" s="625"/>
      <c r="K12" s="249" t="s">
        <v>54</v>
      </c>
      <c r="L12" s="249" t="s">
        <v>58</v>
      </c>
      <c r="M12" s="105">
        <v>5000</v>
      </c>
      <c r="N12" s="105">
        <v>2600</v>
      </c>
      <c r="O12" s="105"/>
      <c r="P12" s="125"/>
      <c r="Q12" s="139">
        <v>2220</v>
      </c>
      <c r="R12" s="139">
        <v>2220</v>
      </c>
      <c r="S12" s="145">
        <v>0</v>
      </c>
      <c r="T12" s="132">
        <v>2220</v>
      </c>
      <c r="U12" s="274">
        <f>+T12</f>
        <v>2220</v>
      </c>
      <c r="V12" s="290">
        <v>2221</v>
      </c>
      <c r="W12" s="300">
        <v>250</v>
      </c>
      <c r="X12" s="300">
        <v>275</v>
      </c>
      <c r="Y12" s="300">
        <f>266+1571</f>
        <v>1837</v>
      </c>
      <c r="Z12" s="443">
        <v>0</v>
      </c>
      <c r="AA12" s="575">
        <v>201</v>
      </c>
      <c r="AB12" s="575">
        <v>218</v>
      </c>
      <c r="AC12" s="125"/>
      <c r="AD12" s="125"/>
      <c r="AE12" s="683"/>
      <c r="AF12" s="141">
        <f>+V12+W12+X12+Y12+AA12+AB12</f>
        <v>5002</v>
      </c>
      <c r="AG12" s="125"/>
      <c r="AH12" s="312">
        <f>+(AF12/M12)</f>
        <v>1.0004</v>
      </c>
      <c r="AI12" s="223">
        <f t="shared" si="0"/>
        <v>1.0004</v>
      </c>
      <c r="AJ12" s="125"/>
      <c r="AK12" s="671"/>
      <c r="AL12" s="143"/>
      <c r="AM12" s="143"/>
      <c r="AN12" s="143"/>
      <c r="AO12" s="143"/>
      <c r="AP12" s="143"/>
      <c r="AQ12" s="143"/>
      <c r="AR12" s="143"/>
      <c r="AS12" s="143"/>
      <c r="AT12" s="671"/>
      <c r="AU12" s="673"/>
      <c r="AV12" s="144"/>
    </row>
    <row r="13" spans="1:48" ht="63" customHeight="1" x14ac:dyDescent="0.25">
      <c r="A13" s="632"/>
      <c r="B13" s="663"/>
      <c r="C13" s="634"/>
      <c r="D13" s="647"/>
      <c r="E13" s="622"/>
      <c r="F13" s="646"/>
      <c r="G13" s="622"/>
      <c r="H13" s="662"/>
      <c r="I13" s="662"/>
      <c r="J13" s="625"/>
      <c r="K13" s="249" t="s">
        <v>55</v>
      </c>
      <c r="L13" s="249" t="s">
        <v>59</v>
      </c>
      <c r="M13" s="105">
        <v>1</v>
      </c>
      <c r="N13" s="105">
        <v>0</v>
      </c>
      <c r="O13" s="105"/>
      <c r="P13" s="125"/>
      <c r="Q13" s="139">
        <v>0</v>
      </c>
      <c r="R13" s="139">
        <v>0</v>
      </c>
      <c r="S13" s="151">
        <v>0</v>
      </c>
      <c r="T13" s="132">
        <v>0</v>
      </c>
      <c r="U13" s="274">
        <v>0.3</v>
      </c>
      <c r="V13" s="290">
        <v>0.8</v>
      </c>
      <c r="W13" s="300">
        <v>0.2</v>
      </c>
      <c r="X13" s="300">
        <v>0</v>
      </c>
      <c r="Y13" s="300">
        <v>0</v>
      </c>
      <c r="Z13" s="444">
        <v>0</v>
      </c>
      <c r="AA13" s="125"/>
      <c r="AB13" s="125"/>
      <c r="AC13" s="125"/>
      <c r="AD13" s="125"/>
      <c r="AE13" s="683"/>
      <c r="AF13" s="147">
        <f>+V13+W13</f>
        <v>1</v>
      </c>
      <c r="AG13" s="125"/>
      <c r="AH13" s="314">
        <f>+(AF13/M13)</f>
        <v>1</v>
      </c>
      <c r="AI13" s="598">
        <f t="shared" si="0"/>
        <v>1</v>
      </c>
      <c r="AJ13" s="125"/>
      <c r="AK13" s="620"/>
      <c r="AL13" s="143"/>
      <c r="AM13" s="143"/>
      <c r="AN13" s="143"/>
      <c r="AO13" s="143"/>
      <c r="AP13" s="143"/>
      <c r="AQ13" s="143"/>
      <c r="AR13" s="143"/>
      <c r="AS13" s="143"/>
      <c r="AT13" s="620"/>
      <c r="AU13" s="674"/>
      <c r="AV13" s="144"/>
    </row>
    <row r="14" spans="1:48" ht="33.75" customHeight="1" x14ac:dyDescent="0.25">
      <c r="A14" s="632"/>
      <c r="B14" s="663"/>
      <c r="C14" s="634"/>
      <c r="D14" s="647"/>
      <c r="E14" s="622"/>
      <c r="F14" s="646"/>
      <c r="G14" s="622"/>
      <c r="H14" s="662"/>
      <c r="I14" s="662"/>
      <c r="J14" s="625"/>
      <c r="K14" s="249"/>
      <c r="L14" s="249"/>
      <c r="M14" s="105"/>
      <c r="N14" s="105"/>
      <c r="O14" s="105"/>
      <c r="P14" s="125"/>
      <c r="Q14" s="125"/>
      <c r="R14" s="125"/>
      <c r="S14" s="125"/>
      <c r="T14" s="125"/>
      <c r="U14" s="274"/>
      <c r="V14" s="290"/>
      <c r="W14" s="125"/>
      <c r="X14" s="125"/>
      <c r="Y14" s="125"/>
      <c r="Z14" s="125"/>
      <c r="AA14" s="125"/>
      <c r="AB14" s="125"/>
      <c r="AC14" s="125"/>
      <c r="AD14" s="125"/>
      <c r="AE14" s="683"/>
      <c r="AF14" s="141"/>
      <c r="AG14" s="125"/>
      <c r="AH14" s="153">
        <f>AVERAGE(AH10:AH13)</f>
        <v>1.0001</v>
      </c>
      <c r="AI14" s="223">
        <f t="shared" si="0"/>
        <v>1.0001</v>
      </c>
      <c r="AJ14" s="125"/>
      <c r="AK14" s="143"/>
      <c r="AL14" s="143"/>
      <c r="AM14" s="143"/>
      <c r="AN14" s="143"/>
      <c r="AO14" s="143"/>
      <c r="AP14" s="143"/>
      <c r="AQ14" s="143"/>
      <c r="AR14" s="143"/>
      <c r="AS14" s="143"/>
      <c r="AT14" s="143"/>
      <c r="AU14" s="143"/>
      <c r="AV14" s="144"/>
    </row>
    <row r="15" spans="1:48" ht="60" x14ac:dyDescent="0.25">
      <c r="A15" s="632"/>
      <c r="B15" s="663"/>
      <c r="C15" s="634"/>
      <c r="D15" s="647"/>
      <c r="E15" s="622"/>
      <c r="F15" s="646"/>
      <c r="G15" s="622"/>
      <c r="H15" s="662"/>
      <c r="I15" s="662"/>
      <c r="J15" s="625" t="s">
        <v>60</v>
      </c>
      <c r="K15" s="249" t="s">
        <v>61</v>
      </c>
      <c r="L15" s="125" t="s">
        <v>65</v>
      </c>
      <c r="M15" s="105">
        <v>4200</v>
      </c>
      <c r="N15" s="105">
        <v>3649</v>
      </c>
      <c r="O15" s="105"/>
      <c r="P15" s="125"/>
      <c r="Q15" s="152">
        <v>0</v>
      </c>
      <c r="R15" s="152">
        <v>3881</v>
      </c>
      <c r="S15" s="145">
        <v>0</v>
      </c>
      <c r="T15" s="132">
        <v>4193</v>
      </c>
      <c r="U15" s="274">
        <f>+T15</f>
        <v>4193</v>
      </c>
      <c r="V15" s="290">
        <f>+U15</f>
        <v>4193</v>
      </c>
      <c r="W15" s="300">
        <v>3423</v>
      </c>
      <c r="X15" s="300">
        <v>3694</v>
      </c>
      <c r="Y15" s="300">
        <v>3694</v>
      </c>
      <c r="Z15" s="441">
        <v>0</v>
      </c>
      <c r="AA15" s="575">
        <v>219</v>
      </c>
      <c r="AB15" s="575">
        <v>162</v>
      </c>
      <c r="AC15" s="125"/>
      <c r="AD15" s="125"/>
      <c r="AE15" s="683"/>
      <c r="AF15" s="319">
        <f>+Y15+AA15+AB15</f>
        <v>4075</v>
      </c>
      <c r="AG15" s="125"/>
      <c r="AH15" s="314">
        <f>+(AF15/M15)</f>
        <v>0.97023809523809523</v>
      </c>
      <c r="AI15" s="598">
        <f t="shared" si="0"/>
        <v>0.97023809523809523</v>
      </c>
      <c r="AJ15" s="125"/>
      <c r="AK15" s="619">
        <v>1162586573</v>
      </c>
      <c r="AL15" s="143"/>
      <c r="AM15" s="143"/>
      <c r="AN15" s="143"/>
      <c r="AO15" s="143"/>
      <c r="AP15" s="143"/>
      <c r="AQ15" s="143"/>
      <c r="AR15" s="143"/>
      <c r="AS15" s="143"/>
      <c r="AT15" s="619">
        <v>880846502</v>
      </c>
      <c r="AU15" s="672">
        <f>+AT15/AK15</f>
        <v>0.75766099700172607</v>
      </c>
      <c r="AV15" s="144"/>
    </row>
    <row r="16" spans="1:48" ht="45" x14ac:dyDescent="0.25">
      <c r="A16" s="632"/>
      <c r="B16" s="663"/>
      <c r="C16" s="634"/>
      <c r="D16" s="647"/>
      <c r="E16" s="622"/>
      <c r="F16" s="646"/>
      <c r="G16" s="622"/>
      <c r="H16" s="662"/>
      <c r="I16" s="662"/>
      <c r="J16" s="625"/>
      <c r="K16" s="249" t="s">
        <v>62</v>
      </c>
      <c r="L16" s="125" t="s">
        <v>66</v>
      </c>
      <c r="M16" s="105">
        <v>5</v>
      </c>
      <c r="N16" s="105">
        <v>0</v>
      </c>
      <c r="O16" s="105"/>
      <c r="P16" s="125"/>
      <c r="Q16" s="139">
        <v>0</v>
      </c>
      <c r="R16" s="139">
        <v>0</v>
      </c>
      <c r="S16" s="145">
        <v>0</v>
      </c>
      <c r="T16" s="132">
        <v>0</v>
      </c>
      <c r="U16" s="274">
        <v>0</v>
      </c>
      <c r="V16" s="290">
        <v>0</v>
      </c>
      <c r="W16" s="300">
        <v>5</v>
      </c>
      <c r="X16" s="300">
        <v>0</v>
      </c>
      <c r="Y16" s="300">
        <v>0</v>
      </c>
      <c r="Z16" s="441">
        <v>0</v>
      </c>
      <c r="AA16" s="575">
        <v>1</v>
      </c>
      <c r="AB16" s="575">
        <v>5</v>
      </c>
      <c r="AC16" s="125"/>
      <c r="AD16" s="125"/>
      <c r="AE16" s="683"/>
      <c r="AF16" s="141">
        <f>+W16+X16+Y16</f>
        <v>5</v>
      </c>
      <c r="AG16" s="125"/>
      <c r="AH16" s="314">
        <f>+AF16/M16</f>
        <v>1</v>
      </c>
      <c r="AI16" s="598">
        <f t="shared" si="0"/>
        <v>1</v>
      </c>
      <c r="AJ16" s="125"/>
      <c r="AK16" s="671"/>
      <c r="AL16" s="143"/>
      <c r="AM16" s="143"/>
      <c r="AN16" s="143"/>
      <c r="AO16" s="143"/>
      <c r="AP16" s="143"/>
      <c r="AQ16" s="143"/>
      <c r="AR16" s="143"/>
      <c r="AS16" s="143"/>
      <c r="AT16" s="671"/>
      <c r="AU16" s="673"/>
      <c r="AV16" s="144"/>
    </row>
    <row r="17" spans="1:49" ht="45" x14ac:dyDescent="0.25">
      <c r="A17" s="632"/>
      <c r="B17" s="663"/>
      <c r="C17" s="634"/>
      <c r="D17" s="647"/>
      <c r="E17" s="622"/>
      <c r="F17" s="646"/>
      <c r="G17" s="622"/>
      <c r="H17" s="662"/>
      <c r="I17" s="662"/>
      <c r="J17" s="625"/>
      <c r="K17" s="249" t="s">
        <v>63</v>
      </c>
      <c r="L17" s="125" t="s">
        <v>67</v>
      </c>
      <c r="M17" s="105">
        <v>800</v>
      </c>
      <c r="N17" s="105">
        <v>520</v>
      </c>
      <c r="O17" s="105"/>
      <c r="P17" s="125"/>
      <c r="Q17" s="152">
        <v>363</v>
      </c>
      <c r="R17" s="152">
        <v>363</v>
      </c>
      <c r="S17" s="145">
        <v>0</v>
      </c>
      <c r="T17" s="132">
        <v>0</v>
      </c>
      <c r="U17" s="274">
        <v>0</v>
      </c>
      <c r="V17" s="290">
        <v>0</v>
      </c>
      <c r="W17" s="300">
        <v>207</v>
      </c>
      <c r="X17" s="300">
        <v>162</v>
      </c>
      <c r="Y17" s="300">
        <v>283</v>
      </c>
      <c r="Z17" s="575">
        <v>188</v>
      </c>
      <c r="AA17" s="575">
        <v>0</v>
      </c>
      <c r="AB17" s="575">
        <v>298</v>
      </c>
      <c r="AC17" s="125"/>
      <c r="AD17" s="125"/>
      <c r="AE17" s="684"/>
      <c r="AF17" s="361">
        <f>+R17+W17+X17+Y17+Z17+AA17</f>
        <v>1203</v>
      </c>
      <c r="AG17" s="125"/>
      <c r="AH17" s="314">
        <v>1</v>
      </c>
      <c r="AI17" s="598">
        <f t="shared" si="0"/>
        <v>1</v>
      </c>
      <c r="AJ17" s="125"/>
      <c r="AK17" s="671"/>
      <c r="AL17" s="143"/>
      <c r="AM17" s="143"/>
      <c r="AN17" s="143"/>
      <c r="AO17" s="143"/>
      <c r="AP17" s="143"/>
      <c r="AQ17" s="143"/>
      <c r="AR17" s="143"/>
      <c r="AS17" s="143"/>
      <c r="AT17" s="671"/>
      <c r="AU17" s="673"/>
      <c r="AV17" s="144"/>
    </row>
    <row r="18" spans="1:49" ht="30" x14ac:dyDescent="0.25">
      <c r="A18" s="632"/>
      <c r="B18" s="663"/>
      <c r="C18" s="634"/>
      <c r="D18" s="647"/>
      <c r="E18" s="622"/>
      <c r="F18" s="622" t="s">
        <v>44</v>
      </c>
      <c r="G18" s="622" t="s">
        <v>50</v>
      </c>
      <c r="H18" s="630">
        <v>0.59</v>
      </c>
      <c r="I18" s="630">
        <v>0.55400000000000005</v>
      </c>
      <c r="J18" s="625"/>
      <c r="K18" s="249" t="s">
        <v>64</v>
      </c>
      <c r="L18" s="125" t="s">
        <v>68</v>
      </c>
      <c r="M18" s="105">
        <v>12000</v>
      </c>
      <c r="N18" s="105">
        <v>7442</v>
      </c>
      <c r="O18" s="105"/>
      <c r="P18" s="125"/>
      <c r="Q18" s="139">
        <v>11580</v>
      </c>
      <c r="R18" s="139">
        <v>11580</v>
      </c>
      <c r="S18" s="145">
        <v>0</v>
      </c>
      <c r="T18" s="132">
        <v>18502</v>
      </c>
      <c r="U18" s="274">
        <f>+T18</f>
        <v>18502</v>
      </c>
      <c r="V18" s="290">
        <v>18884</v>
      </c>
      <c r="W18" s="300">
        <v>18888</v>
      </c>
      <c r="X18" s="300">
        <v>18888</v>
      </c>
      <c r="Y18" s="300">
        <v>20353</v>
      </c>
      <c r="Z18" s="441">
        <v>0</v>
      </c>
      <c r="AA18" s="125">
        <v>2156</v>
      </c>
      <c r="AB18" s="125">
        <v>22696</v>
      </c>
      <c r="AC18" s="125"/>
      <c r="AD18" s="125"/>
      <c r="AE18" s="292">
        <v>0.51</v>
      </c>
      <c r="AF18" s="141">
        <f>+AB18</f>
        <v>22696</v>
      </c>
      <c r="AG18" s="125"/>
      <c r="AH18" s="314">
        <v>1</v>
      </c>
      <c r="AI18" s="598">
        <f t="shared" si="0"/>
        <v>1</v>
      </c>
      <c r="AJ18" s="125"/>
      <c r="AK18" s="620"/>
      <c r="AL18" s="143"/>
      <c r="AM18" s="143"/>
      <c r="AN18" s="143"/>
      <c r="AO18" s="143"/>
      <c r="AP18" s="143"/>
      <c r="AQ18" s="143"/>
      <c r="AR18" s="143"/>
      <c r="AS18" s="143"/>
      <c r="AT18" s="620"/>
      <c r="AU18" s="674"/>
      <c r="AV18" s="144"/>
    </row>
    <row r="19" spans="1:49" ht="62.25" customHeight="1" x14ac:dyDescent="0.25">
      <c r="A19" s="632"/>
      <c r="B19" s="663"/>
      <c r="C19" s="634"/>
      <c r="D19" s="647"/>
      <c r="E19" s="622"/>
      <c r="F19" s="622"/>
      <c r="G19" s="622"/>
      <c r="H19" s="630"/>
      <c r="I19" s="630"/>
      <c r="J19" s="625"/>
      <c r="K19" s="249"/>
      <c r="L19" s="125"/>
      <c r="M19" s="105"/>
      <c r="N19" s="105"/>
      <c r="O19" s="105"/>
      <c r="P19" s="125"/>
      <c r="Q19" s="125"/>
      <c r="R19" s="125"/>
      <c r="S19" s="125"/>
      <c r="T19" s="125"/>
      <c r="U19" s="274"/>
      <c r="V19" s="290"/>
      <c r="W19" s="125"/>
      <c r="X19" s="125"/>
      <c r="Y19" s="125"/>
      <c r="Z19" s="125"/>
      <c r="AA19" s="125"/>
      <c r="AB19" s="125"/>
      <c r="AC19" s="125"/>
      <c r="AD19" s="125"/>
      <c r="AE19" s="290"/>
      <c r="AF19" s="141"/>
      <c r="AG19" s="125"/>
      <c r="AH19" s="150">
        <f>AVERAGE(AH15:AH18)</f>
        <v>0.99255952380952384</v>
      </c>
      <c r="AI19" s="598">
        <f t="shared" si="0"/>
        <v>0.99255952380952384</v>
      </c>
      <c r="AJ19" s="125"/>
      <c r="AK19" s="143"/>
      <c r="AL19" s="143"/>
      <c r="AM19" s="143"/>
      <c r="AN19" s="143"/>
      <c r="AO19" s="143"/>
      <c r="AP19" s="143"/>
      <c r="AQ19" s="143"/>
      <c r="AR19" s="143"/>
      <c r="AS19" s="143"/>
      <c r="AT19" s="143"/>
      <c r="AU19" s="143"/>
      <c r="AV19" s="144"/>
    </row>
    <row r="20" spans="1:49" ht="47.25" customHeight="1" x14ac:dyDescent="0.25">
      <c r="A20" s="632"/>
      <c r="B20" s="663"/>
      <c r="C20" s="634"/>
      <c r="D20" s="647"/>
      <c r="E20" s="622"/>
      <c r="F20" s="622" t="s">
        <v>69</v>
      </c>
      <c r="G20" s="622" t="s">
        <v>70</v>
      </c>
      <c r="H20" s="648">
        <v>1.4999999999999999E-2</v>
      </c>
      <c r="I20" s="662">
        <v>2.7300000000000001E-2</v>
      </c>
      <c r="J20" s="625" t="s">
        <v>71</v>
      </c>
      <c r="K20" s="625" t="s">
        <v>73</v>
      </c>
      <c r="L20" s="622" t="s">
        <v>72</v>
      </c>
      <c r="M20" s="132">
        <v>800</v>
      </c>
      <c r="N20" s="132">
        <v>0</v>
      </c>
      <c r="O20" s="132"/>
      <c r="P20" s="125"/>
      <c r="Q20" s="152"/>
      <c r="R20" s="152"/>
      <c r="S20" s="132"/>
      <c r="T20" s="132"/>
      <c r="U20" s="274"/>
      <c r="V20" s="300">
        <v>2138</v>
      </c>
      <c r="W20" s="300">
        <v>0</v>
      </c>
      <c r="X20" s="300">
        <v>0</v>
      </c>
      <c r="Y20" s="300">
        <v>50</v>
      </c>
      <c r="Z20" s="300">
        <v>0</v>
      </c>
      <c r="AA20" s="300">
        <v>0</v>
      </c>
      <c r="AB20" s="300">
        <v>0</v>
      </c>
      <c r="AC20" s="300"/>
      <c r="AD20" s="300"/>
      <c r="AE20" s="304">
        <v>2.75E-2</v>
      </c>
      <c r="AF20" s="214">
        <f>+V20+Y20</f>
        <v>2188</v>
      </c>
      <c r="AG20" s="125"/>
      <c r="AH20" s="314">
        <v>1</v>
      </c>
      <c r="AI20" s="598">
        <f t="shared" si="0"/>
        <v>1</v>
      </c>
      <c r="AJ20" s="125"/>
      <c r="AK20" s="154">
        <v>0</v>
      </c>
      <c r="AL20" s="155"/>
      <c r="AM20" s="155"/>
      <c r="AN20" s="155"/>
      <c r="AO20" s="155"/>
      <c r="AP20" s="155"/>
      <c r="AQ20" s="155"/>
      <c r="AR20" s="155"/>
      <c r="AS20" s="155"/>
      <c r="AT20" s="154">
        <v>0</v>
      </c>
      <c r="AU20" s="156">
        <v>0</v>
      </c>
      <c r="AV20" s="144"/>
    </row>
    <row r="21" spans="1:49" ht="41.25" customHeight="1" x14ac:dyDescent="0.25">
      <c r="A21" s="632"/>
      <c r="B21" s="663"/>
      <c r="C21" s="634"/>
      <c r="D21" s="647"/>
      <c r="E21" s="622"/>
      <c r="F21" s="622"/>
      <c r="G21" s="622"/>
      <c r="H21" s="648"/>
      <c r="I21" s="662"/>
      <c r="J21" s="625"/>
      <c r="K21" s="625"/>
      <c r="L21" s="622"/>
      <c r="M21" s="105"/>
      <c r="N21" s="132"/>
      <c r="O21" s="132"/>
      <c r="P21" s="125"/>
      <c r="Q21" s="125"/>
      <c r="R21" s="125"/>
      <c r="S21" s="125"/>
      <c r="T21" s="125"/>
      <c r="U21" s="274"/>
      <c r="V21" s="290"/>
      <c r="W21" s="125"/>
      <c r="X21" s="125"/>
      <c r="Y21" s="125"/>
      <c r="Z21" s="125"/>
      <c r="AA21" s="125"/>
      <c r="AB21" s="125"/>
      <c r="AC21" s="125"/>
      <c r="AD21" s="125"/>
      <c r="AE21" s="290"/>
      <c r="AF21" s="141"/>
      <c r="AG21" s="125"/>
      <c r="AH21" s="150">
        <f>+AH20</f>
        <v>1</v>
      </c>
      <c r="AI21" s="598">
        <f t="shared" si="0"/>
        <v>1</v>
      </c>
      <c r="AJ21" s="125"/>
      <c r="AK21" s="143"/>
      <c r="AL21" s="143"/>
      <c r="AM21" s="143"/>
      <c r="AN21" s="143"/>
      <c r="AO21" s="143"/>
      <c r="AP21" s="143"/>
      <c r="AQ21" s="143"/>
      <c r="AR21" s="143"/>
      <c r="AS21" s="143"/>
      <c r="AT21" s="143"/>
      <c r="AU21" s="143"/>
      <c r="AV21" s="144"/>
    </row>
    <row r="22" spans="1:49" ht="60" customHeight="1" x14ac:dyDescent="0.25">
      <c r="A22" s="632"/>
      <c r="B22" s="663"/>
      <c r="C22" s="634"/>
      <c r="D22" s="647"/>
      <c r="E22" s="622"/>
      <c r="F22" s="622" t="s">
        <v>74</v>
      </c>
      <c r="G22" s="622" t="s">
        <v>50</v>
      </c>
      <c r="H22" s="636">
        <v>0.55400000000000005</v>
      </c>
      <c r="I22" s="636">
        <v>0.59</v>
      </c>
      <c r="J22" s="625" t="s">
        <v>75</v>
      </c>
      <c r="K22" s="249" t="s">
        <v>76</v>
      </c>
      <c r="L22" s="125" t="s">
        <v>78</v>
      </c>
      <c r="M22" s="99">
        <v>1</v>
      </c>
      <c r="N22" s="132">
        <v>0</v>
      </c>
      <c r="O22" s="132"/>
      <c r="P22" s="125"/>
      <c r="Q22" s="139">
        <v>0</v>
      </c>
      <c r="R22" s="139">
        <v>0</v>
      </c>
      <c r="S22" s="145">
        <v>0.15</v>
      </c>
      <c r="T22" s="132">
        <v>0.3</v>
      </c>
      <c r="U22" s="274">
        <v>0</v>
      </c>
      <c r="V22" s="290">
        <v>0.3</v>
      </c>
      <c r="W22" s="300">
        <v>0</v>
      </c>
      <c r="X22" s="300">
        <v>0</v>
      </c>
      <c r="Y22" s="300">
        <v>0.2</v>
      </c>
      <c r="Z22" s="125">
        <v>0.1</v>
      </c>
      <c r="AA22" s="125">
        <v>0.05</v>
      </c>
      <c r="AB22" s="125">
        <v>0.05</v>
      </c>
      <c r="AC22" s="125"/>
      <c r="AD22" s="125"/>
      <c r="AE22" s="685">
        <v>0.51300000000000001</v>
      </c>
      <c r="AF22" s="141">
        <f>+V22+W22+X22+Y22+AA22+AB22+Z22</f>
        <v>0.70000000000000007</v>
      </c>
      <c r="AG22" s="125"/>
      <c r="AH22" s="314">
        <f>+(AF22/M22)</f>
        <v>0.70000000000000007</v>
      </c>
      <c r="AI22" s="598">
        <f t="shared" si="0"/>
        <v>0.70000000000000007</v>
      </c>
      <c r="AJ22" s="125"/>
      <c r="AK22" s="619">
        <v>4793168003</v>
      </c>
      <c r="AL22" s="148"/>
      <c r="AM22" s="148"/>
      <c r="AN22" s="148"/>
      <c r="AO22" s="148"/>
      <c r="AP22" s="148"/>
      <c r="AQ22" s="148"/>
      <c r="AR22" s="148"/>
      <c r="AS22" s="148"/>
      <c r="AT22" s="619">
        <v>3926260575</v>
      </c>
      <c r="AU22" s="672">
        <f>+AT22/AK22</f>
        <v>0.81913685740674835</v>
      </c>
      <c r="AV22" s="144"/>
      <c r="AW22" s="157"/>
    </row>
    <row r="23" spans="1:49" ht="30" x14ac:dyDescent="0.25">
      <c r="A23" s="632"/>
      <c r="B23" s="663"/>
      <c r="C23" s="634"/>
      <c r="D23" s="647"/>
      <c r="E23" s="622"/>
      <c r="F23" s="622"/>
      <c r="G23" s="622"/>
      <c r="H23" s="636"/>
      <c r="I23" s="636"/>
      <c r="J23" s="625"/>
      <c r="K23" s="249" t="s">
        <v>77</v>
      </c>
      <c r="L23" s="125" t="s">
        <v>79</v>
      </c>
      <c r="M23" s="99">
        <v>432</v>
      </c>
      <c r="N23" s="132">
        <v>0</v>
      </c>
      <c r="O23" s="132"/>
      <c r="P23" s="125"/>
      <c r="Q23" s="139">
        <v>0</v>
      </c>
      <c r="R23" s="139">
        <v>38</v>
      </c>
      <c r="S23" s="158">
        <v>0</v>
      </c>
      <c r="T23" s="132">
        <v>0</v>
      </c>
      <c r="U23" s="274">
        <v>0</v>
      </c>
      <c r="V23" s="290">
        <v>57</v>
      </c>
      <c r="W23" s="300">
        <v>9</v>
      </c>
      <c r="X23" s="300">
        <v>0</v>
      </c>
      <c r="Y23" s="300">
        <v>0</v>
      </c>
      <c r="Z23" s="125">
        <v>0</v>
      </c>
      <c r="AA23" s="125">
        <v>0</v>
      </c>
      <c r="AB23" s="125">
        <v>0</v>
      </c>
      <c r="AC23" s="125"/>
      <c r="AD23" s="125"/>
      <c r="AE23" s="686"/>
      <c r="AF23" s="147">
        <f>+R23+V23+W23+X23</f>
        <v>104</v>
      </c>
      <c r="AG23" s="125"/>
      <c r="AH23" s="314">
        <f>+(AF23/M23)</f>
        <v>0.24074074074074073</v>
      </c>
      <c r="AI23" s="598">
        <f t="shared" si="0"/>
        <v>0.24074074074074073</v>
      </c>
      <c r="AJ23" s="125"/>
      <c r="AK23" s="671"/>
      <c r="AL23" s="143"/>
      <c r="AM23" s="143"/>
      <c r="AN23" s="143"/>
      <c r="AO23" s="143"/>
      <c r="AP23" s="143"/>
      <c r="AQ23" s="143"/>
      <c r="AR23" s="143"/>
      <c r="AS23" s="143"/>
      <c r="AT23" s="671"/>
      <c r="AU23" s="673"/>
      <c r="AV23" s="144"/>
    </row>
    <row r="24" spans="1:49" ht="56.25" customHeight="1" x14ac:dyDescent="0.25">
      <c r="A24" s="632"/>
      <c r="B24" s="663"/>
      <c r="C24" s="634"/>
      <c r="D24" s="647"/>
      <c r="E24" s="622"/>
      <c r="F24" s="622"/>
      <c r="G24" s="622"/>
      <c r="H24" s="636"/>
      <c r="I24" s="636"/>
      <c r="J24" s="625"/>
      <c r="K24" s="125"/>
      <c r="L24" s="125"/>
      <c r="M24" s="105"/>
      <c r="N24" s="132"/>
      <c r="O24" s="132"/>
      <c r="P24" s="125"/>
      <c r="Q24" s="125"/>
      <c r="R24" s="125"/>
      <c r="S24" s="125"/>
      <c r="T24" s="125"/>
      <c r="U24" s="274"/>
      <c r="V24" s="290"/>
      <c r="W24" s="125"/>
      <c r="X24" s="125"/>
      <c r="Y24" s="125"/>
      <c r="Z24" s="125"/>
      <c r="AA24" s="125"/>
      <c r="AB24" s="125"/>
      <c r="AC24" s="125"/>
      <c r="AD24" s="125"/>
      <c r="AE24" s="290"/>
      <c r="AF24" s="141"/>
      <c r="AG24" s="125"/>
      <c r="AH24" s="150">
        <f>AVERAGE(AH22:AH23)</f>
        <v>0.47037037037037038</v>
      </c>
      <c r="AI24" s="598">
        <f t="shared" si="0"/>
        <v>0.47037037037037038</v>
      </c>
      <c r="AJ24" s="125"/>
      <c r="AK24" s="620"/>
      <c r="AL24" s="143"/>
      <c r="AM24" s="143"/>
      <c r="AN24" s="143"/>
      <c r="AO24" s="143"/>
      <c r="AP24" s="143"/>
      <c r="AQ24" s="143"/>
      <c r="AR24" s="143"/>
      <c r="AS24" s="143"/>
      <c r="AT24" s="620"/>
      <c r="AU24" s="674"/>
      <c r="AV24" s="144"/>
    </row>
    <row r="25" spans="1:49" ht="56.25" customHeight="1" x14ac:dyDescent="0.25">
      <c r="A25" s="632"/>
      <c r="B25" s="663"/>
      <c r="C25" s="634"/>
      <c r="D25" s="647"/>
      <c r="E25" s="622"/>
      <c r="F25" s="132"/>
      <c r="G25" s="132"/>
      <c r="H25" s="159"/>
      <c r="I25" s="159"/>
      <c r="J25" s="132"/>
      <c r="K25" s="125"/>
      <c r="L25" s="125"/>
      <c r="M25" s="105"/>
      <c r="N25" s="132"/>
      <c r="O25" s="132"/>
      <c r="P25" s="125"/>
      <c r="Q25" s="125"/>
      <c r="R25" s="125"/>
      <c r="S25" s="125"/>
      <c r="T25" s="125"/>
      <c r="U25" s="274"/>
      <c r="V25" s="290"/>
      <c r="W25" s="125"/>
      <c r="X25" s="125"/>
      <c r="Y25" s="125"/>
      <c r="Z25" s="125"/>
      <c r="AA25" s="125"/>
      <c r="AB25" s="125"/>
      <c r="AC25" s="125"/>
      <c r="AD25" s="125"/>
      <c r="AE25" s="290"/>
      <c r="AF25" s="141"/>
      <c r="AG25" s="125"/>
      <c r="AH25" s="160">
        <f>+(AH7+AH9+AH14+AH19+AH21+AH24)/6</f>
        <v>0.85645537698167473</v>
      </c>
      <c r="AI25" s="598">
        <f t="shared" si="0"/>
        <v>0.85645537698167473</v>
      </c>
      <c r="AJ25" s="125"/>
      <c r="AK25" s="143"/>
      <c r="AL25" s="143"/>
      <c r="AM25" s="143"/>
      <c r="AN25" s="143"/>
      <c r="AO25" s="143"/>
      <c r="AP25" s="143"/>
      <c r="AQ25" s="143"/>
      <c r="AR25" s="143"/>
      <c r="AS25" s="143"/>
      <c r="AT25" s="143"/>
      <c r="AU25" s="143"/>
      <c r="AV25" s="144"/>
    </row>
    <row r="26" spans="1:49" ht="130.5" customHeight="1" x14ac:dyDescent="0.25">
      <c r="A26" s="632"/>
      <c r="B26" s="663"/>
      <c r="C26" s="634"/>
      <c r="D26" s="647"/>
      <c r="E26" s="622" t="s">
        <v>80</v>
      </c>
      <c r="F26" s="646" t="s">
        <v>81</v>
      </c>
      <c r="G26" s="622" t="s">
        <v>82</v>
      </c>
      <c r="H26" s="622">
        <v>6.2</v>
      </c>
      <c r="I26" s="622">
        <v>5.17</v>
      </c>
      <c r="J26" s="622" t="s">
        <v>83</v>
      </c>
      <c r="K26" s="249" t="s">
        <v>84</v>
      </c>
      <c r="L26" s="249" t="s">
        <v>86</v>
      </c>
      <c r="M26" s="105">
        <v>35</v>
      </c>
      <c r="N26" s="105">
        <v>13</v>
      </c>
      <c r="O26" s="105"/>
      <c r="P26" s="95"/>
      <c r="Q26" s="132">
        <v>0</v>
      </c>
      <c r="R26" s="132">
        <v>6</v>
      </c>
      <c r="S26" s="161">
        <v>0</v>
      </c>
      <c r="T26" s="132">
        <v>0</v>
      </c>
      <c r="U26" s="274">
        <v>0</v>
      </c>
      <c r="V26" s="290">
        <v>0</v>
      </c>
      <c r="W26" s="125">
        <v>0</v>
      </c>
      <c r="X26" s="125">
        <v>11</v>
      </c>
      <c r="Y26" s="125">
        <v>11</v>
      </c>
      <c r="Z26" s="442">
        <v>11</v>
      </c>
      <c r="AA26" s="125">
        <v>0</v>
      </c>
      <c r="AB26" s="125">
        <v>0</v>
      </c>
      <c r="AC26" s="125"/>
      <c r="AD26" s="125"/>
      <c r="AE26" s="675" t="s">
        <v>956</v>
      </c>
      <c r="AF26" s="141">
        <f>+Z26+R26</f>
        <v>17</v>
      </c>
      <c r="AG26" s="125"/>
      <c r="AH26" s="314">
        <f>+(AF26/M26)</f>
        <v>0.48571428571428571</v>
      </c>
      <c r="AI26" s="598">
        <f t="shared" si="0"/>
        <v>0.48571428571428571</v>
      </c>
      <c r="AJ26" s="125"/>
      <c r="AK26" s="619">
        <v>3110014590</v>
      </c>
      <c r="AL26" s="148"/>
      <c r="AM26" s="148"/>
      <c r="AN26" s="148"/>
      <c r="AO26" s="148"/>
      <c r="AP26" s="148"/>
      <c r="AQ26" s="148"/>
      <c r="AR26" s="148"/>
      <c r="AS26" s="148"/>
      <c r="AT26" s="619">
        <v>2383167909</v>
      </c>
      <c r="AU26" s="672">
        <f>+AT26/AK26</f>
        <v>0.76628833725181977</v>
      </c>
      <c r="AV26" s="144"/>
    </row>
    <row r="27" spans="1:49" ht="60" x14ac:dyDescent="0.25">
      <c r="A27" s="632"/>
      <c r="B27" s="663"/>
      <c r="C27" s="634"/>
      <c r="D27" s="647"/>
      <c r="E27" s="622"/>
      <c r="F27" s="646"/>
      <c r="G27" s="622"/>
      <c r="H27" s="622"/>
      <c r="I27" s="622"/>
      <c r="J27" s="622"/>
      <c r="K27" s="249" t="s">
        <v>85</v>
      </c>
      <c r="L27" s="249" t="s">
        <v>87</v>
      </c>
      <c r="M27" s="105">
        <v>25</v>
      </c>
      <c r="N27" s="105">
        <v>15</v>
      </c>
      <c r="O27" s="105"/>
      <c r="P27" s="95"/>
      <c r="Q27" s="132">
        <v>0</v>
      </c>
      <c r="R27" s="132">
        <v>6</v>
      </c>
      <c r="S27" s="161">
        <v>0</v>
      </c>
      <c r="T27" s="132">
        <v>0</v>
      </c>
      <c r="U27" s="274">
        <v>0</v>
      </c>
      <c r="V27" s="290">
        <v>0</v>
      </c>
      <c r="W27" s="125">
        <v>0</v>
      </c>
      <c r="X27" s="125">
        <v>0</v>
      </c>
      <c r="Y27" s="125">
        <v>21</v>
      </c>
      <c r="Z27" s="441">
        <v>23</v>
      </c>
      <c r="AA27" s="125">
        <v>0</v>
      </c>
      <c r="AB27" s="125">
        <v>0</v>
      </c>
      <c r="AC27" s="125"/>
      <c r="AD27" s="125"/>
      <c r="AE27" s="677"/>
      <c r="AF27" s="141">
        <f>+V27+R27+Z27</f>
        <v>29</v>
      </c>
      <c r="AG27" s="125"/>
      <c r="AH27" s="314">
        <v>1</v>
      </c>
      <c r="AI27" s="598">
        <f t="shared" si="0"/>
        <v>1</v>
      </c>
      <c r="AJ27" s="125"/>
      <c r="AK27" s="671"/>
      <c r="AL27" s="143"/>
      <c r="AM27" s="143"/>
      <c r="AN27" s="143"/>
      <c r="AO27" s="143"/>
      <c r="AP27" s="143"/>
      <c r="AQ27" s="143"/>
      <c r="AR27" s="143"/>
      <c r="AS27" s="143"/>
      <c r="AT27" s="671"/>
      <c r="AU27" s="673"/>
      <c r="AV27" s="144"/>
    </row>
    <row r="28" spans="1:49" ht="120" customHeight="1" x14ac:dyDescent="0.25">
      <c r="A28" s="632"/>
      <c r="B28" s="663"/>
      <c r="C28" s="634"/>
      <c r="D28" s="647"/>
      <c r="E28" s="622"/>
      <c r="F28" s="125" t="s">
        <v>88</v>
      </c>
      <c r="G28" s="109" t="s">
        <v>89</v>
      </c>
      <c r="H28" s="105">
        <v>5.7</v>
      </c>
      <c r="I28" s="105">
        <v>5.09</v>
      </c>
      <c r="J28" s="622"/>
      <c r="K28" s="249" t="s">
        <v>92</v>
      </c>
      <c r="L28" s="249" t="s">
        <v>93</v>
      </c>
      <c r="M28" s="132">
        <v>2.64</v>
      </c>
      <c r="N28" s="132">
        <v>2.3199999999999998</v>
      </c>
      <c r="O28" s="132"/>
      <c r="P28" s="125"/>
      <c r="Q28" s="132">
        <v>0</v>
      </c>
      <c r="R28" s="132">
        <v>2.3199999999999998</v>
      </c>
      <c r="S28" s="161">
        <v>0</v>
      </c>
      <c r="T28" s="132">
        <v>2.4700000000000002</v>
      </c>
      <c r="U28" s="274">
        <v>0</v>
      </c>
      <c r="V28" s="290">
        <v>2.4700000000000002</v>
      </c>
      <c r="W28" s="300">
        <v>0</v>
      </c>
      <c r="X28" s="300">
        <v>2.42</v>
      </c>
      <c r="Y28" s="300">
        <v>2.42</v>
      </c>
      <c r="Z28" s="442">
        <v>2.42</v>
      </c>
      <c r="AA28" s="442">
        <v>2.42</v>
      </c>
      <c r="AB28" s="442">
        <v>2.42</v>
      </c>
      <c r="AC28" s="125"/>
      <c r="AD28" s="125"/>
      <c r="AE28" s="290" t="s">
        <v>956</v>
      </c>
      <c r="AF28" s="141">
        <f>+Y28</f>
        <v>2.42</v>
      </c>
      <c r="AG28" s="125"/>
      <c r="AH28" s="314">
        <f>+AF28/M28</f>
        <v>0.91666666666666663</v>
      </c>
      <c r="AI28" s="598">
        <f t="shared" si="0"/>
        <v>0.91666666666666663</v>
      </c>
      <c r="AJ28" s="125"/>
      <c r="AK28" s="671"/>
      <c r="AL28" s="143"/>
      <c r="AM28" s="143"/>
      <c r="AN28" s="143"/>
      <c r="AO28" s="143"/>
      <c r="AP28" s="143"/>
      <c r="AQ28" s="143"/>
      <c r="AR28" s="143"/>
      <c r="AS28" s="143"/>
      <c r="AT28" s="671"/>
      <c r="AU28" s="673"/>
      <c r="AV28" s="144"/>
    </row>
    <row r="29" spans="1:49" ht="45" x14ac:dyDescent="0.25">
      <c r="A29" s="632"/>
      <c r="B29" s="663"/>
      <c r="C29" s="634"/>
      <c r="D29" s="647"/>
      <c r="E29" s="622"/>
      <c r="F29" s="125" t="s">
        <v>90</v>
      </c>
      <c r="G29" s="109" t="s">
        <v>91</v>
      </c>
      <c r="H29" s="105">
        <v>5.7</v>
      </c>
      <c r="I29" s="105">
        <v>4.71</v>
      </c>
      <c r="J29" s="622"/>
      <c r="K29" s="249" t="s">
        <v>94</v>
      </c>
      <c r="L29" s="125" t="s">
        <v>95</v>
      </c>
      <c r="M29" s="132">
        <v>2.57</v>
      </c>
      <c r="N29" s="132">
        <v>2.1800000000000002</v>
      </c>
      <c r="O29" s="132"/>
      <c r="P29" s="125"/>
      <c r="Q29" s="132">
        <v>0</v>
      </c>
      <c r="R29" s="132">
        <v>2.1800000000000002</v>
      </c>
      <c r="S29" s="161">
        <v>0</v>
      </c>
      <c r="T29" s="132">
        <v>2.33</v>
      </c>
      <c r="U29" s="274">
        <v>0</v>
      </c>
      <c r="V29" s="290">
        <v>2.33</v>
      </c>
      <c r="W29" s="300">
        <v>0</v>
      </c>
      <c r="X29" s="300">
        <v>2.36</v>
      </c>
      <c r="Y29" s="300">
        <v>2.36</v>
      </c>
      <c r="Z29" s="442">
        <v>2.36</v>
      </c>
      <c r="AA29" s="575">
        <v>2.36</v>
      </c>
      <c r="AB29" s="575">
        <v>2.36</v>
      </c>
      <c r="AC29" s="125"/>
      <c r="AD29" s="125"/>
      <c r="AE29" s="290" t="s">
        <v>956</v>
      </c>
      <c r="AF29" s="141">
        <f>+Y29</f>
        <v>2.36</v>
      </c>
      <c r="AG29" s="125"/>
      <c r="AH29" s="314">
        <f>+AF29/M29</f>
        <v>0.91828793774319062</v>
      </c>
      <c r="AI29" s="598">
        <f t="shared" si="0"/>
        <v>0.91828793774319062</v>
      </c>
      <c r="AJ29" s="125"/>
      <c r="AK29" s="671"/>
      <c r="AL29" s="143"/>
      <c r="AM29" s="143"/>
      <c r="AN29" s="143"/>
      <c r="AO29" s="143"/>
      <c r="AP29" s="143"/>
      <c r="AQ29" s="143"/>
      <c r="AR29" s="143"/>
      <c r="AS29" s="143"/>
      <c r="AT29" s="671"/>
      <c r="AU29" s="673"/>
      <c r="AV29" s="144"/>
    </row>
    <row r="30" spans="1:49" ht="30" x14ac:dyDescent="0.25">
      <c r="A30" s="632"/>
      <c r="B30" s="663"/>
      <c r="C30" s="634"/>
      <c r="D30" s="647"/>
      <c r="E30" s="622"/>
      <c r="F30" s="125" t="s">
        <v>96</v>
      </c>
      <c r="G30" s="125" t="s">
        <v>82</v>
      </c>
      <c r="H30" s="99">
        <v>6.2</v>
      </c>
      <c r="I30" s="132">
        <v>5.17</v>
      </c>
      <c r="J30" s="622"/>
      <c r="K30" s="249" t="s">
        <v>97</v>
      </c>
      <c r="L30" s="125" t="s">
        <v>98</v>
      </c>
      <c r="M30" s="105">
        <v>2.71</v>
      </c>
      <c r="N30" s="132">
        <v>2.31</v>
      </c>
      <c r="O30" s="132"/>
      <c r="P30" s="125"/>
      <c r="Q30" s="132">
        <v>0</v>
      </c>
      <c r="R30" s="132">
        <v>2.31</v>
      </c>
      <c r="S30" s="161">
        <v>0</v>
      </c>
      <c r="T30" s="132">
        <v>2.39</v>
      </c>
      <c r="U30" s="274">
        <v>0</v>
      </c>
      <c r="V30" s="290">
        <v>2.39</v>
      </c>
      <c r="W30" s="300">
        <v>0</v>
      </c>
      <c r="X30" s="300">
        <v>2.38</v>
      </c>
      <c r="Y30" s="300">
        <v>2.38</v>
      </c>
      <c r="Z30" s="442">
        <v>2.38</v>
      </c>
      <c r="AA30" s="575">
        <v>2.38</v>
      </c>
      <c r="AB30" s="575">
        <v>2.38</v>
      </c>
      <c r="AC30" s="125"/>
      <c r="AD30" s="125"/>
      <c r="AE30" s="290" t="s">
        <v>956</v>
      </c>
      <c r="AF30" s="141">
        <f>+Y30</f>
        <v>2.38</v>
      </c>
      <c r="AG30" s="125"/>
      <c r="AH30" s="314">
        <f>+(AF30/M30)</f>
        <v>0.87822878228782286</v>
      </c>
      <c r="AI30" s="598">
        <f t="shared" si="0"/>
        <v>0.87822878228782286</v>
      </c>
      <c r="AJ30" s="125"/>
      <c r="AK30" s="671"/>
      <c r="AL30" s="143"/>
      <c r="AM30" s="143"/>
      <c r="AN30" s="143"/>
      <c r="AO30" s="143"/>
      <c r="AP30" s="143"/>
      <c r="AQ30" s="143"/>
      <c r="AR30" s="143"/>
      <c r="AS30" s="143"/>
      <c r="AT30" s="671"/>
      <c r="AU30" s="673"/>
      <c r="AV30" s="144"/>
    </row>
    <row r="31" spans="1:49" ht="75" customHeight="1" x14ac:dyDescent="0.25">
      <c r="A31" s="632"/>
      <c r="B31" s="663"/>
      <c r="C31" s="634"/>
      <c r="D31" s="647"/>
      <c r="E31" s="622"/>
      <c r="F31" s="622" t="s">
        <v>90</v>
      </c>
      <c r="G31" s="622" t="s">
        <v>91</v>
      </c>
      <c r="H31" s="640">
        <v>5.7</v>
      </c>
      <c r="I31" s="640">
        <v>4.71</v>
      </c>
      <c r="J31" s="622"/>
      <c r="K31" s="249" t="s">
        <v>99</v>
      </c>
      <c r="L31" s="125" t="s">
        <v>100</v>
      </c>
      <c r="M31" s="105">
        <v>104</v>
      </c>
      <c r="N31" s="132">
        <v>50</v>
      </c>
      <c r="O31" s="132"/>
      <c r="P31" s="125"/>
      <c r="Q31" s="139">
        <v>0</v>
      </c>
      <c r="R31" s="139">
        <v>31</v>
      </c>
      <c r="S31" s="161">
        <v>0</v>
      </c>
      <c r="T31" s="132">
        <v>0</v>
      </c>
      <c r="U31" s="274">
        <v>0</v>
      </c>
      <c r="V31" s="290">
        <v>46</v>
      </c>
      <c r="W31" s="300">
        <v>0</v>
      </c>
      <c r="X31" s="300">
        <v>0</v>
      </c>
      <c r="Y31" s="300">
        <v>0</v>
      </c>
      <c r="Z31" s="441">
        <v>0</v>
      </c>
      <c r="AA31" s="125">
        <v>0</v>
      </c>
      <c r="AB31" s="125">
        <v>0</v>
      </c>
      <c r="AC31" s="125"/>
      <c r="AD31" s="125"/>
      <c r="AE31" s="290" t="s">
        <v>956</v>
      </c>
      <c r="AF31" s="141">
        <f>+V31+R31</f>
        <v>77</v>
      </c>
      <c r="AG31" s="125"/>
      <c r="AH31" s="314">
        <f>+AF31/M31</f>
        <v>0.74038461538461542</v>
      </c>
      <c r="AI31" s="598">
        <f t="shared" si="0"/>
        <v>0.74038461538461542</v>
      </c>
      <c r="AJ31" s="125"/>
      <c r="AK31" s="620"/>
      <c r="AL31" s="143"/>
      <c r="AM31" s="143"/>
      <c r="AN31" s="143"/>
      <c r="AO31" s="143"/>
      <c r="AP31" s="143"/>
      <c r="AQ31" s="143"/>
      <c r="AR31" s="143"/>
      <c r="AS31" s="143"/>
      <c r="AT31" s="620"/>
      <c r="AU31" s="674"/>
      <c r="AV31" s="144"/>
    </row>
    <row r="32" spans="1:49" ht="30" customHeight="1" x14ac:dyDescent="0.25">
      <c r="A32" s="632"/>
      <c r="B32" s="663"/>
      <c r="C32" s="634"/>
      <c r="D32" s="647"/>
      <c r="E32" s="622"/>
      <c r="F32" s="622"/>
      <c r="G32" s="622"/>
      <c r="H32" s="640"/>
      <c r="I32" s="640"/>
      <c r="J32" s="622"/>
      <c r="K32" s="125"/>
      <c r="L32" s="125"/>
      <c r="M32" s="105"/>
      <c r="N32" s="132"/>
      <c r="O32" s="132"/>
      <c r="P32" s="125"/>
      <c r="Q32" s="125"/>
      <c r="R32" s="125"/>
      <c r="S32" s="125"/>
      <c r="T32" s="125"/>
      <c r="U32" s="274"/>
      <c r="V32" s="290"/>
      <c r="W32" s="125"/>
      <c r="X32" s="125"/>
      <c r="Y32" s="125"/>
      <c r="Z32" s="125"/>
      <c r="AA32" s="125"/>
      <c r="AB32" s="125"/>
      <c r="AC32" s="125"/>
      <c r="AD32" s="125"/>
      <c r="AE32" s="290"/>
      <c r="AF32" s="141"/>
      <c r="AG32" s="125"/>
      <c r="AH32" s="150">
        <f>AVERAGE(AH26:AH31)</f>
        <v>0.8232137146327636</v>
      </c>
      <c r="AI32" s="598">
        <f t="shared" si="0"/>
        <v>0.8232137146327636</v>
      </c>
      <c r="AJ32" s="125"/>
      <c r="AK32" s="143"/>
      <c r="AL32" s="143"/>
      <c r="AM32" s="143"/>
      <c r="AN32" s="143"/>
      <c r="AO32" s="143"/>
      <c r="AP32" s="143"/>
      <c r="AQ32" s="143"/>
      <c r="AR32" s="143"/>
      <c r="AS32" s="143"/>
      <c r="AT32" s="143"/>
      <c r="AU32" s="143"/>
      <c r="AV32" s="144"/>
    </row>
    <row r="33" spans="1:48" ht="69" customHeight="1" x14ac:dyDescent="0.25">
      <c r="A33" s="632"/>
      <c r="B33" s="663"/>
      <c r="C33" s="634"/>
      <c r="D33" s="647"/>
      <c r="E33" s="622"/>
      <c r="F33" s="646" t="s">
        <v>101</v>
      </c>
      <c r="G33" s="622" t="s">
        <v>102</v>
      </c>
      <c r="H33" s="622">
        <v>5.7</v>
      </c>
      <c r="I33" s="622">
        <v>5.04</v>
      </c>
      <c r="J33" s="622" t="s">
        <v>114</v>
      </c>
      <c r="K33" s="249" t="s">
        <v>103</v>
      </c>
      <c r="L33" s="125" t="s">
        <v>105</v>
      </c>
      <c r="M33" s="105">
        <v>1700</v>
      </c>
      <c r="N33" s="105">
        <v>500</v>
      </c>
      <c r="O33" s="105"/>
      <c r="P33" s="95"/>
      <c r="Q33" s="139">
        <v>0</v>
      </c>
      <c r="R33" s="139">
        <v>967</v>
      </c>
      <c r="S33" s="161">
        <v>0</v>
      </c>
      <c r="T33" s="161">
        <v>0</v>
      </c>
      <c r="U33" s="274">
        <v>0</v>
      </c>
      <c r="V33" s="290">
        <v>500</v>
      </c>
      <c r="W33" s="300">
        <v>0</v>
      </c>
      <c r="X33" s="300">
        <v>0</v>
      </c>
      <c r="Y33" s="300">
        <v>0</v>
      </c>
      <c r="Z33" s="441">
        <v>225</v>
      </c>
      <c r="AA33" s="125">
        <v>0</v>
      </c>
      <c r="AB33" s="125">
        <v>0</v>
      </c>
      <c r="AC33" s="125"/>
      <c r="AD33" s="125"/>
      <c r="AE33" s="687" t="s">
        <v>956</v>
      </c>
      <c r="AF33" s="141">
        <f>+R33+S33+V33+Z33</f>
        <v>1692</v>
      </c>
      <c r="AG33" s="125"/>
      <c r="AH33" s="314">
        <f>+(AF33/M33)</f>
        <v>0.99529411764705877</v>
      </c>
      <c r="AI33" s="598">
        <f t="shared" si="0"/>
        <v>0.99529411764705877</v>
      </c>
      <c r="AJ33" s="125"/>
      <c r="AK33" s="619">
        <v>1708000000</v>
      </c>
      <c r="AL33" s="148"/>
      <c r="AM33" s="148"/>
      <c r="AN33" s="148"/>
      <c r="AO33" s="148"/>
      <c r="AP33" s="148"/>
      <c r="AQ33" s="148"/>
      <c r="AR33" s="148"/>
      <c r="AS33" s="148"/>
      <c r="AT33" s="619">
        <v>25000000</v>
      </c>
      <c r="AU33" s="672">
        <f>+AT33/AK33</f>
        <v>1.4637002341920375E-2</v>
      </c>
      <c r="AV33" s="144"/>
    </row>
    <row r="34" spans="1:48" ht="92.25" customHeight="1" x14ac:dyDescent="0.25">
      <c r="A34" s="632"/>
      <c r="B34" s="663"/>
      <c r="C34" s="634"/>
      <c r="D34" s="647"/>
      <c r="E34" s="622"/>
      <c r="F34" s="646"/>
      <c r="G34" s="622"/>
      <c r="H34" s="622"/>
      <c r="I34" s="622"/>
      <c r="J34" s="622"/>
      <c r="K34" s="249" t="s">
        <v>104</v>
      </c>
      <c r="L34" s="125" t="s">
        <v>106</v>
      </c>
      <c r="M34" s="105">
        <v>800</v>
      </c>
      <c r="N34" s="105">
        <v>0</v>
      </c>
      <c r="O34" s="105"/>
      <c r="P34" s="95"/>
      <c r="Q34" s="139">
        <v>0</v>
      </c>
      <c r="R34" s="139">
        <v>122</v>
      </c>
      <c r="S34" s="161">
        <v>0</v>
      </c>
      <c r="T34" s="161">
        <v>0</v>
      </c>
      <c r="U34" s="274">
        <v>0</v>
      </c>
      <c r="V34" s="290">
        <v>0</v>
      </c>
      <c r="W34" s="300">
        <v>0</v>
      </c>
      <c r="X34" s="300">
        <v>0</v>
      </c>
      <c r="Y34" s="300">
        <v>0</v>
      </c>
      <c r="Z34" s="441">
        <v>0</v>
      </c>
      <c r="AA34" s="125">
        <v>0</v>
      </c>
      <c r="AB34" s="125">
        <v>0</v>
      </c>
      <c r="AC34" s="125"/>
      <c r="AD34" s="125"/>
      <c r="AE34" s="688"/>
      <c r="AF34" s="141">
        <f>+R34+S34</f>
        <v>122</v>
      </c>
      <c r="AG34" s="125"/>
      <c r="AH34" s="314">
        <f>+(AF34/M34)</f>
        <v>0.1525</v>
      </c>
      <c r="AI34" s="598">
        <f t="shared" si="0"/>
        <v>0.1525</v>
      </c>
      <c r="AJ34" s="125"/>
      <c r="AK34" s="671"/>
      <c r="AL34" s="143"/>
      <c r="AM34" s="143"/>
      <c r="AN34" s="143"/>
      <c r="AO34" s="143"/>
      <c r="AP34" s="143"/>
      <c r="AQ34" s="143"/>
      <c r="AR34" s="143"/>
      <c r="AS34" s="143"/>
      <c r="AT34" s="671"/>
      <c r="AU34" s="673"/>
      <c r="AV34" s="144"/>
    </row>
    <row r="35" spans="1:48" ht="60" customHeight="1" x14ac:dyDescent="0.25">
      <c r="A35" s="632"/>
      <c r="B35" s="663"/>
      <c r="C35" s="634"/>
      <c r="D35" s="647"/>
      <c r="E35" s="622"/>
      <c r="F35" s="622" t="s">
        <v>90</v>
      </c>
      <c r="G35" s="622" t="s">
        <v>107</v>
      </c>
      <c r="H35" s="622">
        <v>5.7</v>
      </c>
      <c r="I35" s="622">
        <v>4.71</v>
      </c>
      <c r="J35" s="622"/>
      <c r="K35" s="249" t="s">
        <v>108</v>
      </c>
      <c r="L35" s="125" t="s">
        <v>109</v>
      </c>
      <c r="M35" s="105">
        <v>250</v>
      </c>
      <c r="N35" s="132">
        <v>0</v>
      </c>
      <c r="O35" s="132"/>
      <c r="P35" s="125"/>
      <c r="Q35" s="139">
        <v>170</v>
      </c>
      <c r="R35" s="139">
        <v>151</v>
      </c>
      <c r="S35" s="161">
        <v>0</v>
      </c>
      <c r="T35" s="161">
        <v>0</v>
      </c>
      <c r="U35" s="274">
        <v>0</v>
      </c>
      <c r="V35" s="290">
        <v>0</v>
      </c>
      <c r="W35" s="300">
        <v>0</v>
      </c>
      <c r="X35" s="300">
        <v>0</v>
      </c>
      <c r="Y35" s="300">
        <v>0</v>
      </c>
      <c r="Z35" s="441">
        <v>0</v>
      </c>
      <c r="AA35" s="125"/>
      <c r="AB35" s="125"/>
      <c r="AC35" s="125"/>
      <c r="AD35" s="125"/>
      <c r="AE35" s="687" t="s">
        <v>956</v>
      </c>
      <c r="AF35" s="141">
        <f>+R35+S35</f>
        <v>151</v>
      </c>
      <c r="AG35" s="125"/>
      <c r="AH35" s="314">
        <f>+(AF35/M35)</f>
        <v>0.60399999999999998</v>
      </c>
      <c r="AI35" s="598">
        <f t="shared" si="0"/>
        <v>0.60399999999999998</v>
      </c>
      <c r="AJ35" s="125"/>
      <c r="AK35" s="671"/>
      <c r="AL35" s="143"/>
      <c r="AM35" s="143"/>
      <c r="AN35" s="143"/>
      <c r="AO35" s="143"/>
      <c r="AP35" s="143"/>
      <c r="AQ35" s="143"/>
      <c r="AR35" s="143"/>
      <c r="AS35" s="143"/>
      <c r="AT35" s="671"/>
      <c r="AU35" s="673"/>
      <c r="AV35" s="144"/>
    </row>
    <row r="36" spans="1:48" ht="77.25" customHeight="1" x14ac:dyDescent="0.25">
      <c r="A36" s="632"/>
      <c r="B36" s="663"/>
      <c r="C36" s="634"/>
      <c r="D36" s="647"/>
      <c r="E36" s="622"/>
      <c r="F36" s="622"/>
      <c r="G36" s="622"/>
      <c r="H36" s="622"/>
      <c r="I36" s="622"/>
      <c r="J36" s="622"/>
      <c r="K36" s="249" t="s">
        <v>110</v>
      </c>
      <c r="L36" s="125" t="s">
        <v>111</v>
      </c>
      <c r="M36" s="105">
        <v>380</v>
      </c>
      <c r="N36" s="132">
        <v>0</v>
      </c>
      <c r="O36" s="132"/>
      <c r="P36" s="125"/>
      <c r="Q36" s="139">
        <v>0</v>
      </c>
      <c r="R36" s="139">
        <v>105</v>
      </c>
      <c r="S36" s="161">
        <v>0</v>
      </c>
      <c r="T36" s="161">
        <v>0</v>
      </c>
      <c r="U36" s="274">
        <v>0</v>
      </c>
      <c r="V36" s="290">
        <v>0</v>
      </c>
      <c r="W36" s="300">
        <v>0</v>
      </c>
      <c r="X36" s="300">
        <v>0</v>
      </c>
      <c r="Y36" s="300">
        <v>0</v>
      </c>
      <c r="Z36" s="441">
        <v>0</v>
      </c>
      <c r="AA36" s="125"/>
      <c r="AB36" s="125"/>
      <c r="AC36" s="125"/>
      <c r="AD36" s="125"/>
      <c r="AE36" s="689"/>
      <c r="AF36" s="141">
        <f>+R36+S36+Z36</f>
        <v>105</v>
      </c>
      <c r="AG36" s="125"/>
      <c r="AH36" s="314">
        <f>+(AF36/M36)</f>
        <v>0.27631578947368424</v>
      </c>
      <c r="AI36" s="598">
        <f t="shared" si="0"/>
        <v>0.27631578947368424</v>
      </c>
      <c r="AJ36" s="125"/>
      <c r="AK36" s="671"/>
      <c r="AL36" s="143"/>
      <c r="AM36" s="143"/>
      <c r="AN36" s="143"/>
      <c r="AO36" s="143"/>
      <c r="AP36" s="143"/>
      <c r="AQ36" s="143"/>
      <c r="AR36" s="143"/>
      <c r="AS36" s="143"/>
      <c r="AT36" s="671"/>
      <c r="AU36" s="673"/>
      <c r="AV36" s="144"/>
    </row>
    <row r="37" spans="1:48" ht="119.25" customHeight="1" x14ac:dyDescent="0.25">
      <c r="A37" s="632"/>
      <c r="B37" s="663"/>
      <c r="C37" s="634"/>
      <c r="D37" s="647"/>
      <c r="E37" s="622"/>
      <c r="F37" s="622"/>
      <c r="G37" s="622"/>
      <c r="H37" s="622"/>
      <c r="I37" s="622"/>
      <c r="J37" s="622"/>
      <c r="K37" s="249" t="s">
        <v>112</v>
      </c>
      <c r="L37" s="125" t="s">
        <v>113</v>
      </c>
      <c r="M37" s="105">
        <v>720</v>
      </c>
      <c r="N37" s="132">
        <v>0</v>
      </c>
      <c r="O37" s="132"/>
      <c r="P37" s="125"/>
      <c r="Q37" s="139">
        <v>0</v>
      </c>
      <c r="R37" s="139">
        <v>266</v>
      </c>
      <c r="S37" s="161">
        <v>0</v>
      </c>
      <c r="T37" s="161">
        <v>0</v>
      </c>
      <c r="U37" s="274">
        <v>0</v>
      </c>
      <c r="V37" s="290">
        <v>0</v>
      </c>
      <c r="W37" s="300">
        <v>0</v>
      </c>
      <c r="X37" s="300">
        <v>0</v>
      </c>
      <c r="Y37" s="300">
        <v>0</v>
      </c>
      <c r="Z37" s="125">
        <v>0</v>
      </c>
      <c r="AA37" s="125">
        <v>0</v>
      </c>
      <c r="AB37" s="125">
        <v>0</v>
      </c>
      <c r="AC37" s="125"/>
      <c r="AD37" s="125"/>
      <c r="AE37" s="688"/>
      <c r="AF37" s="141">
        <f>+R37+S37</f>
        <v>266</v>
      </c>
      <c r="AG37" s="125"/>
      <c r="AH37" s="314">
        <f>+(AF37/M37)</f>
        <v>0.36944444444444446</v>
      </c>
      <c r="AI37" s="598">
        <f t="shared" si="0"/>
        <v>0.36944444444444446</v>
      </c>
      <c r="AJ37" s="125"/>
      <c r="AK37" s="620"/>
      <c r="AL37" s="143"/>
      <c r="AM37" s="143"/>
      <c r="AN37" s="143"/>
      <c r="AO37" s="143"/>
      <c r="AP37" s="143"/>
      <c r="AQ37" s="143"/>
      <c r="AR37" s="143"/>
      <c r="AS37" s="143"/>
      <c r="AT37" s="620"/>
      <c r="AU37" s="674"/>
      <c r="AV37" s="144"/>
    </row>
    <row r="38" spans="1:48" ht="43.5" customHeight="1" x14ac:dyDescent="0.25">
      <c r="A38" s="632"/>
      <c r="B38" s="663"/>
      <c r="C38" s="634"/>
      <c r="D38" s="647"/>
      <c r="E38" s="622"/>
      <c r="F38" s="622"/>
      <c r="G38" s="622"/>
      <c r="H38" s="622"/>
      <c r="I38" s="622"/>
      <c r="J38" s="622"/>
      <c r="K38" s="125"/>
      <c r="L38" s="125"/>
      <c r="M38" s="105"/>
      <c r="N38" s="132"/>
      <c r="O38" s="132"/>
      <c r="P38" s="125"/>
      <c r="Q38" s="125"/>
      <c r="R38" s="125"/>
      <c r="S38" s="125"/>
      <c r="T38" s="125"/>
      <c r="U38" s="274"/>
      <c r="V38" s="290"/>
      <c r="W38" s="125"/>
      <c r="X38" s="125"/>
      <c r="Y38" s="125"/>
      <c r="Z38" s="125"/>
      <c r="AA38" s="125"/>
      <c r="AB38" s="125"/>
      <c r="AC38" s="125"/>
      <c r="AD38" s="125"/>
      <c r="AE38" s="290"/>
      <c r="AF38" s="141"/>
      <c r="AG38" s="125"/>
      <c r="AH38" s="150">
        <f>AVERAGE(AH33:AH37)</f>
        <v>0.47951087031303741</v>
      </c>
      <c r="AI38" s="598">
        <f t="shared" si="0"/>
        <v>0.47951087031303741</v>
      </c>
      <c r="AJ38" s="125"/>
      <c r="AK38" s="143"/>
      <c r="AL38" s="143"/>
      <c r="AM38" s="143"/>
      <c r="AN38" s="143"/>
      <c r="AO38" s="143"/>
      <c r="AP38" s="143"/>
      <c r="AQ38" s="143"/>
      <c r="AR38" s="143"/>
      <c r="AS38" s="143"/>
      <c r="AT38" s="143"/>
      <c r="AU38" s="143"/>
      <c r="AV38" s="144"/>
    </row>
    <row r="39" spans="1:48" ht="61.5" customHeight="1" x14ac:dyDescent="0.25">
      <c r="A39" s="632"/>
      <c r="B39" s="663"/>
      <c r="C39" s="634"/>
      <c r="D39" s="647"/>
      <c r="E39" s="622"/>
      <c r="F39" s="622" t="s">
        <v>88</v>
      </c>
      <c r="G39" s="622" t="s">
        <v>122</v>
      </c>
      <c r="H39" s="622">
        <v>5.7</v>
      </c>
      <c r="I39" s="622">
        <v>5.09</v>
      </c>
      <c r="J39" s="625" t="s">
        <v>115</v>
      </c>
      <c r="K39" s="249" t="s">
        <v>116</v>
      </c>
      <c r="L39" s="125" t="s">
        <v>117</v>
      </c>
      <c r="M39" s="132">
        <v>60</v>
      </c>
      <c r="N39" s="132">
        <v>0</v>
      </c>
      <c r="O39" s="132"/>
      <c r="P39" s="125"/>
      <c r="Q39" s="139">
        <v>0</v>
      </c>
      <c r="R39" s="139">
        <v>16</v>
      </c>
      <c r="S39" s="161">
        <v>0</v>
      </c>
      <c r="T39" s="132">
        <v>0</v>
      </c>
      <c r="U39" s="274">
        <v>0</v>
      </c>
      <c r="V39" s="290">
        <v>15</v>
      </c>
      <c r="W39" s="300">
        <v>17</v>
      </c>
      <c r="X39" s="300">
        <v>0</v>
      </c>
      <c r="Y39" s="300">
        <v>2</v>
      </c>
      <c r="Z39" s="441">
        <v>31</v>
      </c>
      <c r="AA39" s="208">
        <v>12</v>
      </c>
      <c r="AB39" s="208">
        <v>12</v>
      </c>
      <c r="AC39" s="125"/>
      <c r="AD39" s="125"/>
      <c r="AE39" s="687" t="s">
        <v>956</v>
      </c>
      <c r="AF39" s="141">
        <f>+Z39</f>
        <v>31</v>
      </c>
      <c r="AG39" s="125"/>
      <c r="AH39" s="314">
        <f>+AF39/M39</f>
        <v>0.51666666666666672</v>
      </c>
      <c r="AI39" s="598">
        <f t="shared" si="0"/>
        <v>0.51666666666666672</v>
      </c>
      <c r="AJ39" s="125"/>
      <c r="AK39" s="678">
        <v>0</v>
      </c>
      <c r="AL39" s="143"/>
      <c r="AM39" s="143"/>
      <c r="AN39" s="143"/>
      <c r="AO39" s="143"/>
      <c r="AP39" s="143"/>
      <c r="AQ39" s="143"/>
      <c r="AR39" s="143"/>
      <c r="AS39" s="143"/>
      <c r="AT39" s="678">
        <v>0</v>
      </c>
      <c r="AU39" s="617">
        <v>0</v>
      </c>
      <c r="AV39" s="144"/>
    </row>
    <row r="40" spans="1:48" ht="156" customHeight="1" x14ac:dyDescent="0.25">
      <c r="A40" s="632"/>
      <c r="B40" s="663"/>
      <c r="C40" s="634"/>
      <c r="D40" s="647"/>
      <c r="E40" s="622"/>
      <c r="F40" s="622"/>
      <c r="G40" s="622"/>
      <c r="H40" s="622"/>
      <c r="I40" s="622"/>
      <c r="J40" s="625"/>
      <c r="K40" s="249" t="s">
        <v>118</v>
      </c>
      <c r="L40" s="125" t="s">
        <v>119</v>
      </c>
      <c r="M40" s="132">
        <v>60</v>
      </c>
      <c r="N40" s="132">
        <v>40</v>
      </c>
      <c r="O40" s="132"/>
      <c r="P40" s="125"/>
      <c r="Q40" s="139">
        <v>42</v>
      </c>
      <c r="R40" s="139">
        <v>42</v>
      </c>
      <c r="S40" s="161">
        <v>0</v>
      </c>
      <c r="T40" s="132">
        <v>0</v>
      </c>
      <c r="U40" s="274">
        <v>0</v>
      </c>
      <c r="V40" s="290">
        <v>20</v>
      </c>
      <c r="W40" s="300">
        <v>25</v>
      </c>
      <c r="X40" s="300">
        <v>0</v>
      </c>
      <c r="Y40" s="300">
        <v>0</v>
      </c>
      <c r="Z40" s="582">
        <v>25</v>
      </c>
      <c r="AA40" s="125"/>
      <c r="AB40" s="125"/>
      <c r="AC40" s="125"/>
      <c r="AD40" s="125"/>
      <c r="AE40" s="689"/>
      <c r="AF40" s="141">
        <f>+Z40</f>
        <v>25</v>
      </c>
      <c r="AG40" s="125"/>
      <c r="AH40" s="314">
        <f>+AF40/M40</f>
        <v>0.41666666666666669</v>
      </c>
      <c r="AI40" s="598">
        <f t="shared" si="0"/>
        <v>0.41666666666666669</v>
      </c>
      <c r="AJ40" s="125"/>
      <c r="AK40" s="679"/>
      <c r="AL40" s="143"/>
      <c r="AM40" s="143"/>
      <c r="AN40" s="143"/>
      <c r="AO40" s="143"/>
      <c r="AP40" s="143"/>
      <c r="AQ40" s="143"/>
      <c r="AR40" s="143"/>
      <c r="AS40" s="143"/>
      <c r="AT40" s="679"/>
      <c r="AU40" s="670"/>
      <c r="AV40" s="144"/>
    </row>
    <row r="41" spans="1:48" ht="79.5" customHeight="1" x14ac:dyDescent="0.25">
      <c r="A41" s="632"/>
      <c r="B41" s="663"/>
      <c r="C41" s="634"/>
      <c r="D41" s="647"/>
      <c r="E41" s="622"/>
      <c r="F41" s="622"/>
      <c r="G41" s="622"/>
      <c r="H41" s="622"/>
      <c r="I41" s="622"/>
      <c r="J41" s="625"/>
      <c r="K41" s="249" t="s">
        <v>120</v>
      </c>
      <c r="L41" s="125" t="s">
        <v>121</v>
      </c>
      <c r="M41" s="132">
        <v>90</v>
      </c>
      <c r="N41" s="132">
        <v>50</v>
      </c>
      <c r="O41" s="132"/>
      <c r="P41" s="125"/>
      <c r="Q41" s="139">
        <v>42</v>
      </c>
      <c r="R41" s="139">
        <v>42</v>
      </c>
      <c r="S41" s="161">
        <v>0</v>
      </c>
      <c r="T41" s="132">
        <v>20</v>
      </c>
      <c r="U41" s="274">
        <v>0</v>
      </c>
      <c r="V41" s="290">
        <v>20</v>
      </c>
      <c r="W41" s="315">
        <v>27</v>
      </c>
      <c r="X41" s="316">
        <v>0</v>
      </c>
      <c r="Y41" s="320">
        <v>5</v>
      </c>
      <c r="Z41" s="441">
        <v>7</v>
      </c>
      <c r="AA41" s="125"/>
      <c r="AB41" s="125"/>
      <c r="AC41" s="125"/>
      <c r="AD41" s="125"/>
      <c r="AE41" s="688"/>
      <c r="AF41" s="141">
        <f>+R41+W41+Z41+Y41</f>
        <v>81</v>
      </c>
      <c r="AG41" s="125"/>
      <c r="AH41" s="314">
        <f>+AF41/M41</f>
        <v>0.9</v>
      </c>
      <c r="AI41" s="598">
        <f t="shared" si="0"/>
        <v>0.9</v>
      </c>
      <c r="AJ41" s="125"/>
      <c r="AK41" s="680"/>
      <c r="AL41" s="143"/>
      <c r="AM41" s="143"/>
      <c r="AN41" s="143"/>
      <c r="AO41" s="143"/>
      <c r="AP41" s="143"/>
      <c r="AQ41" s="143"/>
      <c r="AR41" s="143"/>
      <c r="AS41" s="143"/>
      <c r="AT41" s="680"/>
      <c r="AU41" s="618"/>
      <c r="AV41" s="144"/>
    </row>
    <row r="42" spans="1:48" ht="30" customHeight="1" x14ac:dyDescent="0.25">
      <c r="A42" s="632"/>
      <c r="B42" s="663"/>
      <c r="C42" s="634"/>
      <c r="D42" s="647"/>
      <c r="E42" s="622"/>
      <c r="F42" s="622"/>
      <c r="G42" s="622"/>
      <c r="H42" s="622"/>
      <c r="I42" s="622"/>
      <c r="J42" s="625"/>
      <c r="K42" s="249"/>
      <c r="L42" s="125"/>
      <c r="M42" s="105"/>
      <c r="N42" s="132"/>
      <c r="O42" s="132"/>
      <c r="P42" s="125"/>
      <c r="Q42" s="125"/>
      <c r="R42" s="125"/>
      <c r="S42" s="125"/>
      <c r="T42" s="125"/>
      <c r="U42" s="274"/>
      <c r="V42" s="290"/>
      <c r="W42" s="125"/>
      <c r="X42" s="125"/>
      <c r="Y42" s="125"/>
      <c r="Z42" s="125"/>
      <c r="AA42" s="125"/>
      <c r="AB42" s="125"/>
      <c r="AC42" s="125"/>
      <c r="AD42" s="125"/>
      <c r="AE42" s="290"/>
      <c r="AF42" s="141"/>
      <c r="AG42" s="125"/>
      <c r="AH42" s="150">
        <f>AVERAGE(AH39:AH41)</f>
        <v>0.61111111111111116</v>
      </c>
      <c r="AI42" s="598">
        <f t="shared" si="0"/>
        <v>0.61111111111111116</v>
      </c>
      <c r="AJ42" s="125"/>
      <c r="AK42" s="143"/>
      <c r="AL42" s="143"/>
      <c r="AM42" s="143"/>
      <c r="AN42" s="143"/>
      <c r="AO42" s="143"/>
      <c r="AP42" s="143"/>
      <c r="AQ42" s="143"/>
      <c r="AR42" s="143"/>
      <c r="AS42" s="143"/>
      <c r="AT42" s="143"/>
      <c r="AU42" s="143"/>
      <c r="AV42" s="144"/>
    </row>
    <row r="43" spans="1:48" ht="90" customHeight="1" x14ac:dyDescent="0.25">
      <c r="A43" s="632"/>
      <c r="B43" s="663"/>
      <c r="C43" s="634"/>
      <c r="D43" s="647"/>
      <c r="E43" s="622"/>
      <c r="F43" s="622" t="s">
        <v>123</v>
      </c>
      <c r="G43" s="622" t="s">
        <v>124</v>
      </c>
      <c r="H43" s="630">
        <v>0.4</v>
      </c>
      <c r="I43" s="630">
        <v>0.62</v>
      </c>
      <c r="J43" s="250" t="s">
        <v>133</v>
      </c>
      <c r="K43" s="249" t="s">
        <v>125</v>
      </c>
      <c r="L43" s="125" t="s">
        <v>126</v>
      </c>
      <c r="M43" s="321">
        <v>0.03</v>
      </c>
      <c r="N43" s="132" t="s">
        <v>127</v>
      </c>
      <c r="O43" s="132"/>
      <c r="P43" s="125"/>
      <c r="Q43" s="162">
        <v>0</v>
      </c>
      <c r="R43" s="162">
        <v>5.0000000000000001E-4</v>
      </c>
      <c r="S43" s="132">
        <v>0</v>
      </c>
      <c r="T43" s="132">
        <v>0</v>
      </c>
      <c r="U43" s="274">
        <v>0</v>
      </c>
      <c r="V43" s="125">
        <v>0</v>
      </c>
      <c r="W43" s="305">
        <v>0</v>
      </c>
      <c r="X43" s="125">
        <v>0</v>
      </c>
      <c r="Y43" s="322">
        <v>2.7E-2</v>
      </c>
      <c r="Z43" s="125">
        <v>0</v>
      </c>
      <c r="AA43" s="125">
        <v>0</v>
      </c>
      <c r="AB43" s="125">
        <v>0</v>
      </c>
      <c r="AC43" s="125"/>
      <c r="AD43" s="125"/>
      <c r="AE43" s="693" t="s">
        <v>956</v>
      </c>
      <c r="AF43" s="163">
        <f>+Y43</f>
        <v>2.7E-2</v>
      </c>
      <c r="AG43" s="125"/>
      <c r="AH43" s="314">
        <f>+AF43/M43</f>
        <v>0.9</v>
      </c>
      <c r="AI43" s="598">
        <f t="shared" si="0"/>
        <v>0.9</v>
      </c>
      <c r="AJ43" s="125"/>
      <c r="AK43" s="164">
        <v>1988919229</v>
      </c>
      <c r="AL43" s="164"/>
      <c r="AM43" s="164"/>
      <c r="AN43" s="164"/>
      <c r="AO43" s="164"/>
      <c r="AP43" s="164"/>
      <c r="AQ43" s="164"/>
      <c r="AR43" s="164"/>
      <c r="AS43" s="164"/>
      <c r="AT43" s="164">
        <v>887919299</v>
      </c>
      <c r="AU43" s="149">
        <f>+AT43/AK43</f>
        <v>0.4464330607565361</v>
      </c>
      <c r="AV43" s="144"/>
    </row>
    <row r="44" spans="1:48" ht="90" customHeight="1" x14ac:dyDescent="0.25">
      <c r="A44" s="632"/>
      <c r="B44" s="663"/>
      <c r="C44" s="634"/>
      <c r="D44" s="647"/>
      <c r="E44" s="622"/>
      <c r="F44" s="622"/>
      <c r="G44" s="622"/>
      <c r="H44" s="630"/>
      <c r="I44" s="630"/>
      <c r="J44" s="132"/>
      <c r="K44" s="125"/>
      <c r="L44" s="125"/>
      <c r="M44" s="105"/>
      <c r="N44" s="132"/>
      <c r="O44" s="132"/>
      <c r="P44" s="125"/>
      <c r="Q44" s="125"/>
      <c r="R44" s="125"/>
      <c r="S44" s="125"/>
      <c r="T44" s="125"/>
      <c r="U44" s="274"/>
      <c r="V44" s="290"/>
      <c r="W44" s="125"/>
      <c r="X44" s="125"/>
      <c r="Y44" s="125"/>
      <c r="Z44" s="125"/>
      <c r="AA44" s="125"/>
      <c r="AB44" s="125"/>
      <c r="AC44" s="125"/>
      <c r="AD44" s="125"/>
      <c r="AE44" s="683"/>
      <c r="AF44" s="141"/>
      <c r="AG44" s="125"/>
      <c r="AH44" s="150">
        <f>+AH43</f>
        <v>0.9</v>
      </c>
      <c r="AI44" s="598">
        <f t="shared" si="0"/>
        <v>0.9</v>
      </c>
      <c r="AJ44" s="125"/>
      <c r="AK44" s="143"/>
      <c r="AL44" s="143"/>
      <c r="AM44" s="143"/>
      <c r="AN44" s="143"/>
      <c r="AO44" s="143"/>
      <c r="AP44" s="143"/>
      <c r="AQ44" s="143"/>
      <c r="AR44" s="143"/>
      <c r="AS44" s="143"/>
      <c r="AT44" s="143"/>
      <c r="AU44" s="143"/>
      <c r="AV44" s="144"/>
    </row>
    <row r="45" spans="1:48" ht="72" customHeight="1" x14ac:dyDescent="0.25">
      <c r="A45" s="632"/>
      <c r="B45" s="663"/>
      <c r="C45" s="634"/>
      <c r="D45" s="647"/>
      <c r="E45" s="622"/>
      <c r="F45" s="622"/>
      <c r="G45" s="622"/>
      <c r="H45" s="630"/>
      <c r="I45" s="630"/>
      <c r="J45" s="625" t="s">
        <v>132</v>
      </c>
      <c r="K45" s="249" t="s">
        <v>128</v>
      </c>
      <c r="L45" s="125" t="s">
        <v>129</v>
      </c>
      <c r="M45" s="132">
        <v>26</v>
      </c>
      <c r="N45" s="105">
        <v>10</v>
      </c>
      <c r="O45" s="105"/>
      <c r="P45" s="125"/>
      <c r="Q45" s="139">
        <v>5</v>
      </c>
      <c r="R45" s="139">
        <v>5</v>
      </c>
      <c r="S45" s="132">
        <v>0</v>
      </c>
      <c r="T45" s="132">
        <v>5</v>
      </c>
      <c r="U45" s="274">
        <v>0</v>
      </c>
      <c r="V45" s="290">
        <v>9</v>
      </c>
      <c r="W45" s="301">
        <v>3</v>
      </c>
      <c r="X45" s="301">
        <v>0</v>
      </c>
      <c r="Y45" s="301">
        <v>0</v>
      </c>
      <c r="Z45" s="441">
        <v>0</v>
      </c>
      <c r="AA45" s="575">
        <v>2</v>
      </c>
      <c r="AB45" s="575">
        <v>5</v>
      </c>
      <c r="AC45" s="125"/>
      <c r="AD45" s="125"/>
      <c r="AE45" s="683"/>
      <c r="AF45" s="141">
        <f>+V45+W45+X45+Y45+AA45+AB45</f>
        <v>19</v>
      </c>
      <c r="AG45" s="125"/>
      <c r="AH45" s="314">
        <f>+(AF45/M45)</f>
        <v>0.73076923076923073</v>
      </c>
      <c r="AI45" s="598">
        <f t="shared" si="0"/>
        <v>0.73076923076923073</v>
      </c>
      <c r="AJ45" s="125"/>
      <c r="AK45" s="619">
        <v>63000000</v>
      </c>
      <c r="AL45" s="164"/>
      <c r="AM45" s="164"/>
      <c r="AN45" s="164"/>
      <c r="AO45" s="164"/>
      <c r="AP45" s="164"/>
      <c r="AQ45" s="164"/>
      <c r="AR45" s="164"/>
      <c r="AS45" s="164"/>
      <c r="AT45" s="619">
        <v>63000000</v>
      </c>
      <c r="AU45" s="672">
        <f>+AT45/AK45</f>
        <v>1</v>
      </c>
      <c r="AV45" s="144"/>
    </row>
    <row r="46" spans="1:48" ht="74.25" customHeight="1" x14ac:dyDescent="0.25">
      <c r="A46" s="632"/>
      <c r="B46" s="663"/>
      <c r="C46" s="634"/>
      <c r="D46" s="647"/>
      <c r="E46" s="622"/>
      <c r="F46" s="622"/>
      <c r="G46" s="622"/>
      <c r="H46" s="630"/>
      <c r="I46" s="630"/>
      <c r="J46" s="625"/>
      <c r="K46" s="249" t="s">
        <v>130</v>
      </c>
      <c r="L46" s="125" t="s">
        <v>131</v>
      </c>
      <c r="M46" s="132">
        <v>52</v>
      </c>
      <c r="N46" s="105">
        <v>15</v>
      </c>
      <c r="O46" s="105"/>
      <c r="P46" s="125"/>
      <c r="Q46" s="139">
        <v>20</v>
      </c>
      <c r="R46" s="139">
        <v>20</v>
      </c>
      <c r="S46" s="132">
        <v>0</v>
      </c>
      <c r="T46" s="132">
        <v>0</v>
      </c>
      <c r="U46" s="274">
        <v>0</v>
      </c>
      <c r="V46" s="290">
        <v>9</v>
      </c>
      <c r="W46" s="125">
        <v>5</v>
      </c>
      <c r="X46" s="125">
        <v>3</v>
      </c>
      <c r="Y46" s="300">
        <v>0</v>
      </c>
      <c r="Z46" s="441">
        <v>0</v>
      </c>
      <c r="AA46" s="575">
        <v>0</v>
      </c>
      <c r="AB46" s="575">
        <v>2</v>
      </c>
      <c r="AC46" s="125"/>
      <c r="AD46" s="125"/>
      <c r="AE46" s="684"/>
      <c r="AF46" s="141">
        <f>+R46+W46+X46+AA46+AB46</f>
        <v>30</v>
      </c>
      <c r="AG46" s="125"/>
      <c r="AH46" s="314">
        <f>+(AF46/M46)</f>
        <v>0.57692307692307687</v>
      </c>
      <c r="AI46" s="598">
        <f t="shared" si="0"/>
        <v>0.57692307692307687</v>
      </c>
      <c r="AJ46" s="125"/>
      <c r="AK46" s="620"/>
      <c r="AL46" s="143"/>
      <c r="AM46" s="143"/>
      <c r="AN46" s="143"/>
      <c r="AO46" s="143"/>
      <c r="AP46" s="143"/>
      <c r="AQ46" s="143"/>
      <c r="AR46" s="143"/>
      <c r="AS46" s="143"/>
      <c r="AT46" s="620"/>
      <c r="AU46" s="674"/>
      <c r="AV46" s="144"/>
    </row>
    <row r="47" spans="1:48" ht="41.25" customHeight="1" x14ac:dyDescent="0.25">
      <c r="A47" s="632"/>
      <c r="B47" s="663"/>
      <c r="C47" s="634"/>
      <c r="D47" s="647"/>
      <c r="E47" s="622"/>
      <c r="F47" s="622"/>
      <c r="G47" s="622"/>
      <c r="H47" s="630"/>
      <c r="I47" s="630"/>
      <c r="J47" s="132"/>
      <c r="K47" s="125"/>
      <c r="L47" s="125"/>
      <c r="M47" s="105"/>
      <c r="N47" s="105"/>
      <c r="O47" s="105"/>
      <c r="P47" s="125"/>
      <c r="Q47" s="125"/>
      <c r="R47" s="125"/>
      <c r="S47" s="125"/>
      <c r="T47" s="125"/>
      <c r="U47" s="274"/>
      <c r="V47" s="290"/>
      <c r="W47" s="125"/>
      <c r="X47" s="125"/>
      <c r="Y47" s="125"/>
      <c r="Z47" s="125"/>
      <c r="AA47" s="125"/>
      <c r="AB47" s="125"/>
      <c r="AC47" s="125"/>
      <c r="AD47" s="125"/>
      <c r="AE47" s="290"/>
      <c r="AF47" s="141"/>
      <c r="AG47" s="125"/>
      <c r="AH47" s="150">
        <f>AVERAGE(AH45:AH46)</f>
        <v>0.65384615384615374</v>
      </c>
      <c r="AI47" s="598">
        <f t="shared" si="0"/>
        <v>0.65384615384615374</v>
      </c>
      <c r="AJ47" s="125"/>
      <c r="AK47" s="143"/>
      <c r="AL47" s="143"/>
      <c r="AM47" s="143"/>
      <c r="AN47" s="143"/>
      <c r="AO47" s="143"/>
      <c r="AP47" s="143"/>
      <c r="AQ47" s="143"/>
      <c r="AR47" s="143"/>
      <c r="AS47" s="143"/>
      <c r="AT47" s="143"/>
      <c r="AU47" s="143"/>
      <c r="AV47" s="144"/>
    </row>
    <row r="48" spans="1:48" ht="60" customHeight="1" x14ac:dyDescent="0.25">
      <c r="A48" s="632"/>
      <c r="B48" s="663"/>
      <c r="C48" s="634"/>
      <c r="D48" s="647"/>
      <c r="E48" s="622"/>
      <c r="F48" s="622" t="s">
        <v>90</v>
      </c>
      <c r="G48" s="622" t="s">
        <v>143</v>
      </c>
      <c r="H48" s="622">
        <v>5.7</v>
      </c>
      <c r="I48" s="622">
        <v>5.09</v>
      </c>
      <c r="J48" s="625" t="s">
        <v>142</v>
      </c>
      <c r="K48" s="249" t="s">
        <v>134</v>
      </c>
      <c r="L48" s="125" t="s">
        <v>135</v>
      </c>
      <c r="M48" s="105">
        <v>9</v>
      </c>
      <c r="N48" s="105">
        <v>12</v>
      </c>
      <c r="O48" s="105"/>
      <c r="P48" s="95"/>
      <c r="Q48" s="139">
        <v>11.5</v>
      </c>
      <c r="R48" s="139">
        <v>11.5</v>
      </c>
      <c r="S48" s="161">
        <v>11.5</v>
      </c>
      <c r="T48" s="161">
        <v>11.5</v>
      </c>
      <c r="U48" s="274">
        <v>0</v>
      </c>
      <c r="V48" s="290">
        <f>+T48</f>
        <v>11.5</v>
      </c>
      <c r="W48" s="300">
        <f>+V48</f>
        <v>11.5</v>
      </c>
      <c r="X48" s="300">
        <f>+V48</f>
        <v>11.5</v>
      </c>
      <c r="Y48" s="300">
        <f>+W48</f>
        <v>11.5</v>
      </c>
      <c r="Z48" s="441">
        <v>11.5</v>
      </c>
      <c r="AA48" s="125">
        <v>11.5</v>
      </c>
      <c r="AB48" s="125">
        <v>11.5</v>
      </c>
      <c r="AC48" s="125"/>
      <c r="AD48" s="125"/>
      <c r="AE48" s="687" t="s">
        <v>956</v>
      </c>
      <c r="AF48" s="165">
        <f>+Y48</f>
        <v>11.5</v>
      </c>
      <c r="AG48" s="125"/>
      <c r="AH48" s="314">
        <f>+(12-AF48)/(12-9)</f>
        <v>0.16666666666666666</v>
      </c>
      <c r="AI48" s="598">
        <f t="shared" si="0"/>
        <v>0.16666666666666666</v>
      </c>
      <c r="AJ48" s="125"/>
      <c r="AK48" s="619">
        <v>4168453609</v>
      </c>
      <c r="AL48" s="148"/>
      <c r="AM48" s="148"/>
      <c r="AN48" s="148"/>
      <c r="AO48" s="148"/>
      <c r="AP48" s="148"/>
      <c r="AQ48" s="148"/>
      <c r="AR48" s="148"/>
      <c r="AS48" s="148"/>
      <c r="AT48" s="619">
        <v>2726969594</v>
      </c>
      <c r="AU48" s="672">
        <f>+AT48/AK48</f>
        <v>0.65419214168829198</v>
      </c>
      <c r="AV48" s="144"/>
    </row>
    <row r="49" spans="1:48" ht="45" x14ac:dyDescent="0.25">
      <c r="A49" s="632"/>
      <c r="B49" s="663"/>
      <c r="C49" s="634"/>
      <c r="D49" s="647"/>
      <c r="E49" s="622"/>
      <c r="F49" s="622"/>
      <c r="G49" s="622"/>
      <c r="H49" s="622"/>
      <c r="I49" s="622"/>
      <c r="J49" s="625"/>
      <c r="K49" s="249" t="s">
        <v>136</v>
      </c>
      <c r="L49" s="125" t="s">
        <v>137</v>
      </c>
      <c r="M49" s="105">
        <v>400</v>
      </c>
      <c r="N49" s="105">
        <v>3664</v>
      </c>
      <c r="O49" s="105"/>
      <c r="P49" s="95"/>
      <c r="Q49" s="139">
        <v>0</v>
      </c>
      <c r="R49" s="139">
        <v>4262</v>
      </c>
      <c r="S49" s="161">
        <v>0</v>
      </c>
      <c r="T49" s="132">
        <v>120</v>
      </c>
      <c r="U49" s="274">
        <v>0</v>
      </c>
      <c r="V49" s="290">
        <v>120</v>
      </c>
      <c r="W49" s="300">
        <v>32</v>
      </c>
      <c r="X49" s="300">
        <v>0</v>
      </c>
      <c r="Y49" s="300">
        <v>53</v>
      </c>
      <c r="Z49" s="441">
        <v>0</v>
      </c>
      <c r="AA49" s="575">
        <v>271</v>
      </c>
      <c r="AB49" s="575">
        <v>271</v>
      </c>
      <c r="AC49" s="125"/>
      <c r="AD49" s="125"/>
      <c r="AE49" s="689"/>
      <c r="AF49" s="141">
        <f>+N49+T49+Y49+AB49</f>
        <v>4108</v>
      </c>
      <c r="AG49" s="125"/>
      <c r="AH49" s="314">
        <v>1</v>
      </c>
      <c r="AI49" s="598">
        <f t="shared" si="0"/>
        <v>1</v>
      </c>
      <c r="AJ49" s="125"/>
      <c r="AK49" s="671"/>
      <c r="AL49" s="143"/>
      <c r="AM49" s="143"/>
      <c r="AN49" s="143"/>
      <c r="AO49" s="143"/>
      <c r="AP49" s="143"/>
      <c r="AQ49" s="143"/>
      <c r="AR49" s="143"/>
      <c r="AS49" s="143"/>
      <c r="AT49" s="671"/>
      <c r="AU49" s="673"/>
      <c r="AV49" s="144"/>
    </row>
    <row r="50" spans="1:48" ht="45" x14ac:dyDescent="0.25">
      <c r="A50" s="632"/>
      <c r="B50" s="663"/>
      <c r="C50" s="634"/>
      <c r="D50" s="647"/>
      <c r="E50" s="622"/>
      <c r="F50" s="622"/>
      <c r="G50" s="622"/>
      <c r="H50" s="622"/>
      <c r="I50" s="622"/>
      <c r="J50" s="625"/>
      <c r="K50" s="249" t="s">
        <v>138</v>
      </c>
      <c r="L50" s="125" t="s">
        <v>139</v>
      </c>
      <c r="M50" s="105">
        <v>300</v>
      </c>
      <c r="N50" s="105">
        <v>0</v>
      </c>
      <c r="O50" s="105"/>
      <c r="P50" s="95"/>
      <c r="Q50" s="139">
        <v>0</v>
      </c>
      <c r="R50" s="139">
        <v>107</v>
      </c>
      <c r="S50" s="161">
        <v>0</v>
      </c>
      <c r="T50" s="132">
        <v>0</v>
      </c>
      <c r="U50" s="274">
        <v>0</v>
      </c>
      <c r="V50" s="290">
        <v>107</v>
      </c>
      <c r="W50" s="300">
        <v>32</v>
      </c>
      <c r="X50" s="300">
        <v>0</v>
      </c>
      <c r="Y50" s="300">
        <v>53</v>
      </c>
      <c r="Z50" s="441">
        <v>0</v>
      </c>
      <c r="AA50" s="125">
        <v>271</v>
      </c>
      <c r="AB50" s="125">
        <v>271</v>
      </c>
      <c r="AC50" s="125"/>
      <c r="AD50" s="125"/>
      <c r="AE50" s="689"/>
      <c r="AF50" s="141">
        <f>+V50+Y50+W50+X50+AB50</f>
        <v>463</v>
      </c>
      <c r="AG50" s="125"/>
      <c r="AH50" s="314">
        <v>1</v>
      </c>
      <c r="AI50" s="598">
        <f t="shared" si="0"/>
        <v>1</v>
      </c>
      <c r="AJ50" s="125"/>
      <c r="AK50" s="671"/>
      <c r="AL50" s="143"/>
      <c r="AM50" s="143"/>
      <c r="AN50" s="143"/>
      <c r="AO50" s="143"/>
      <c r="AP50" s="143"/>
      <c r="AQ50" s="143"/>
      <c r="AR50" s="143"/>
      <c r="AS50" s="143"/>
      <c r="AT50" s="671"/>
      <c r="AU50" s="673"/>
      <c r="AV50" s="144"/>
    </row>
    <row r="51" spans="1:48" ht="45" x14ac:dyDescent="0.25">
      <c r="A51" s="632"/>
      <c r="B51" s="663"/>
      <c r="C51" s="634"/>
      <c r="D51" s="647"/>
      <c r="E51" s="622"/>
      <c r="F51" s="622"/>
      <c r="G51" s="622"/>
      <c r="H51" s="622"/>
      <c r="I51" s="622"/>
      <c r="J51" s="625"/>
      <c r="K51" s="249" t="s">
        <v>140</v>
      </c>
      <c r="L51" s="125" t="s">
        <v>141</v>
      </c>
      <c r="M51" s="105">
        <v>3000</v>
      </c>
      <c r="N51" s="105">
        <v>0</v>
      </c>
      <c r="O51" s="105"/>
      <c r="P51" s="95"/>
      <c r="Q51" s="139">
        <v>6206</v>
      </c>
      <c r="R51" s="139">
        <v>2913</v>
      </c>
      <c r="S51" s="161">
        <v>24</v>
      </c>
      <c r="T51" s="132">
        <v>0</v>
      </c>
      <c r="U51" s="274">
        <v>0</v>
      </c>
      <c r="V51" s="290">
        <v>2129</v>
      </c>
      <c r="W51" s="300">
        <v>7755</v>
      </c>
      <c r="X51" s="300">
        <v>11728</v>
      </c>
      <c r="Y51" s="300">
        <v>11728</v>
      </c>
      <c r="Z51" s="441">
        <v>11728</v>
      </c>
      <c r="AA51" s="441">
        <v>17837</v>
      </c>
      <c r="AB51" s="441">
        <v>23547</v>
      </c>
      <c r="AC51" s="125"/>
      <c r="AD51" s="125"/>
      <c r="AE51" s="688"/>
      <c r="AF51" s="141">
        <f>+Y51</f>
        <v>11728</v>
      </c>
      <c r="AG51" s="125"/>
      <c r="AH51" s="323">
        <v>1</v>
      </c>
      <c r="AI51" s="598">
        <f t="shared" si="0"/>
        <v>1</v>
      </c>
      <c r="AJ51" s="125"/>
      <c r="AK51" s="620"/>
      <c r="AL51" s="143"/>
      <c r="AM51" s="143"/>
      <c r="AN51" s="143"/>
      <c r="AO51" s="143"/>
      <c r="AP51" s="143"/>
      <c r="AQ51" s="143"/>
      <c r="AR51" s="143"/>
      <c r="AS51" s="143"/>
      <c r="AT51" s="620"/>
      <c r="AU51" s="674"/>
      <c r="AV51" s="144"/>
    </row>
    <row r="52" spans="1:48" ht="41.25" customHeight="1" x14ac:dyDescent="0.25">
      <c r="A52" s="632"/>
      <c r="B52" s="663"/>
      <c r="C52" s="634"/>
      <c r="D52" s="647"/>
      <c r="E52" s="622"/>
      <c r="F52" s="622"/>
      <c r="G52" s="622"/>
      <c r="H52" s="622"/>
      <c r="I52" s="622"/>
      <c r="J52" s="625"/>
      <c r="K52" s="249"/>
      <c r="L52" s="125"/>
      <c r="M52" s="105"/>
      <c r="N52" s="105"/>
      <c r="O52" s="105"/>
      <c r="P52" s="95"/>
      <c r="Q52" s="125"/>
      <c r="R52" s="125"/>
      <c r="S52" s="125"/>
      <c r="T52" s="125"/>
      <c r="U52" s="274"/>
      <c r="V52" s="290"/>
      <c r="W52" s="125"/>
      <c r="X52" s="125"/>
      <c r="Y52" s="125"/>
      <c r="Z52" s="125"/>
      <c r="AA52" s="125"/>
      <c r="AB52" s="125"/>
      <c r="AC52" s="125"/>
      <c r="AD52" s="125"/>
      <c r="AE52" s="290"/>
      <c r="AF52" s="141"/>
      <c r="AG52" s="125"/>
      <c r="AH52" s="150">
        <f>AVERAGE(AH48:AH51)</f>
        <v>0.79166666666666674</v>
      </c>
      <c r="AI52" s="598">
        <f t="shared" si="0"/>
        <v>0.79166666666666674</v>
      </c>
      <c r="AJ52" s="125"/>
      <c r="AK52" s="143"/>
      <c r="AL52" s="143"/>
      <c r="AM52" s="143"/>
      <c r="AN52" s="143"/>
      <c r="AO52" s="143"/>
      <c r="AP52" s="143"/>
      <c r="AQ52" s="143"/>
      <c r="AR52" s="143"/>
      <c r="AS52" s="143"/>
      <c r="AT52" s="143"/>
      <c r="AU52" s="143"/>
      <c r="AV52" s="144"/>
    </row>
    <row r="53" spans="1:48" ht="45" customHeight="1" x14ac:dyDescent="0.25">
      <c r="A53" s="632"/>
      <c r="B53" s="663"/>
      <c r="C53" s="634"/>
      <c r="D53" s="647"/>
      <c r="E53" s="622"/>
      <c r="F53" s="622" t="s">
        <v>90</v>
      </c>
      <c r="G53" s="622" t="s">
        <v>144</v>
      </c>
      <c r="H53" s="622">
        <v>5.7</v>
      </c>
      <c r="I53" s="622">
        <v>4.71</v>
      </c>
      <c r="J53" s="624" t="s">
        <v>145</v>
      </c>
      <c r="K53" s="249" t="s">
        <v>146</v>
      </c>
      <c r="L53" s="125" t="s">
        <v>147</v>
      </c>
      <c r="M53" s="132">
        <v>1</v>
      </c>
      <c r="N53" s="132">
        <v>0</v>
      </c>
      <c r="O53" s="132"/>
      <c r="P53" s="95"/>
      <c r="Q53" s="139">
        <v>0</v>
      </c>
      <c r="R53" s="139">
        <v>1</v>
      </c>
      <c r="S53" s="132">
        <v>0</v>
      </c>
      <c r="T53" s="132">
        <v>0</v>
      </c>
      <c r="U53" s="274">
        <v>0</v>
      </c>
      <c r="V53" s="290">
        <v>0</v>
      </c>
      <c r="W53" s="300">
        <v>0</v>
      </c>
      <c r="X53" s="300">
        <v>0</v>
      </c>
      <c r="Y53" s="300">
        <v>1</v>
      </c>
      <c r="Z53" s="441">
        <v>1</v>
      </c>
      <c r="AA53" s="575">
        <v>1</v>
      </c>
      <c r="AB53" s="575">
        <v>1</v>
      </c>
      <c r="AC53" s="125"/>
      <c r="AD53" s="125"/>
      <c r="AE53" s="693" t="s">
        <v>956</v>
      </c>
      <c r="AF53" s="141">
        <f>+Y53</f>
        <v>1</v>
      </c>
      <c r="AG53" s="125"/>
      <c r="AH53" s="314">
        <f>+(AF53/M53)</f>
        <v>1</v>
      </c>
      <c r="AI53" s="598">
        <f t="shared" si="0"/>
        <v>1</v>
      </c>
      <c r="AJ53" s="125"/>
      <c r="AK53" s="143"/>
      <c r="AL53" s="143"/>
      <c r="AM53" s="143"/>
      <c r="AN53" s="143"/>
      <c r="AO53" s="143"/>
      <c r="AP53" s="143"/>
      <c r="AQ53" s="143"/>
      <c r="AR53" s="143"/>
      <c r="AS53" s="143"/>
      <c r="AT53" s="143"/>
      <c r="AU53" s="143"/>
      <c r="AV53" s="144"/>
    </row>
    <row r="54" spans="1:48" ht="60" x14ac:dyDescent="0.25">
      <c r="A54" s="632"/>
      <c r="B54" s="663"/>
      <c r="C54" s="634"/>
      <c r="D54" s="647"/>
      <c r="E54" s="622"/>
      <c r="F54" s="622"/>
      <c r="G54" s="622"/>
      <c r="H54" s="622"/>
      <c r="I54" s="622"/>
      <c r="J54" s="624"/>
      <c r="K54" s="249" t="s">
        <v>148</v>
      </c>
      <c r="L54" s="125" t="s">
        <v>149</v>
      </c>
      <c r="M54" s="132">
        <v>15</v>
      </c>
      <c r="N54" s="132">
        <v>0</v>
      </c>
      <c r="O54" s="132"/>
      <c r="P54" s="95"/>
      <c r="Q54" s="139">
        <v>0</v>
      </c>
      <c r="R54" s="139">
        <v>8</v>
      </c>
      <c r="S54" s="132">
        <v>0</v>
      </c>
      <c r="T54" s="132">
        <v>0</v>
      </c>
      <c r="U54" s="274">
        <v>0</v>
      </c>
      <c r="V54" s="290">
        <v>0</v>
      </c>
      <c r="W54" s="300">
        <v>0</v>
      </c>
      <c r="X54" s="300">
        <v>0</v>
      </c>
      <c r="Y54" s="300">
        <v>54</v>
      </c>
      <c r="Z54" s="441">
        <v>0</v>
      </c>
      <c r="AA54" s="575">
        <v>8</v>
      </c>
      <c r="AB54" s="575">
        <v>8</v>
      </c>
      <c r="AC54" s="125"/>
      <c r="AD54" s="125"/>
      <c r="AE54" s="683"/>
      <c r="AF54" s="141">
        <f>+Y54</f>
        <v>54</v>
      </c>
      <c r="AG54" s="125"/>
      <c r="AH54" s="314">
        <v>1</v>
      </c>
      <c r="AI54" s="598">
        <f t="shared" si="0"/>
        <v>1</v>
      </c>
      <c r="AJ54" s="125"/>
      <c r="AK54" s="164">
        <v>822255053</v>
      </c>
      <c r="AL54" s="164"/>
      <c r="AM54" s="164"/>
      <c r="AN54" s="164"/>
      <c r="AO54" s="164"/>
      <c r="AP54" s="164"/>
      <c r="AQ54" s="164"/>
      <c r="AR54" s="164"/>
      <c r="AS54" s="164"/>
      <c r="AT54" s="164">
        <v>814255053</v>
      </c>
      <c r="AU54" s="149">
        <f>+AT54/AK54</f>
        <v>0.99027065875629228</v>
      </c>
      <c r="AV54" s="144"/>
    </row>
    <row r="55" spans="1:48" ht="30" customHeight="1" x14ac:dyDescent="0.25">
      <c r="A55" s="632"/>
      <c r="B55" s="663"/>
      <c r="C55" s="634"/>
      <c r="D55" s="647"/>
      <c r="E55" s="622"/>
      <c r="F55" s="622"/>
      <c r="G55" s="622"/>
      <c r="H55" s="622"/>
      <c r="I55" s="622"/>
      <c r="J55" s="624"/>
      <c r="K55" s="249"/>
      <c r="L55" s="125"/>
      <c r="M55" s="105"/>
      <c r="N55" s="132"/>
      <c r="O55" s="132"/>
      <c r="P55" s="95"/>
      <c r="Q55" s="125"/>
      <c r="R55" s="125"/>
      <c r="S55" s="125"/>
      <c r="T55" s="125"/>
      <c r="U55" s="274"/>
      <c r="V55" s="290"/>
      <c r="W55" s="125"/>
      <c r="X55" s="125"/>
      <c r="Y55" s="125"/>
      <c r="Z55" s="125"/>
      <c r="AA55" s="125"/>
      <c r="AB55" s="125"/>
      <c r="AC55" s="125"/>
      <c r="AD55" s="125"/>
      <c r="AE55" s="683"/>
      <c r="AF55" s="141"/>
      <c r="AG55" s="125"/>
      <c r="AH55" s="150">
        <f>AVERAGE(AH53:AH54)</f>
        <v>1</v>
      </c>
      <c r="AI55" s="598">
        <f t="shared" si="0"/>
        <v>1</v>
      </c>
      <c r="AJ55" s="125"/>
      <c r="AK55" s="143"/>
      <c r="AL55" s="143"/>
      <c r="AM55" s="143"/>
      <c r="AN55" s="143"/>
      <c r="AO55" s="143"/>
      <c r="AP55" s="143"/>
      <c r="AQ55" s="143"/>
      <c r="AR55" s="143"/>
      <c r="AS55" s="143"/>
      <c r="AT55" s="143"/>
      <c r="AU55" s="143"/>
      <c r="AV55" s="144"/>
    </row>
    <row r="56" spans="1:48" ht="45" x14ac:dyDescent="0.25">
      <c r="A56" s="632"/>
      <c r="B56" s="663"/>
      <c r="C56" s="634"/>
      <c r="D56" s="647"/>
      <c r="E56" s="622"/>
      <c r="F56" s="622"/>
      <c r="G56" s="622"/>
      <c r="H56" s="622"/>
      <c r="I56" s="622"/>
      <c r="J56" s="621" t="s">
        <v>155</v>
      </c>
      <c r="K56" s="249" t="s">
        <v>2140</v>
      </c>
      <c r="L56" s="125" t="s">
        <v>150</v>
      </c>
      <c r="M56" s="166">
        <v>52</v>
      </c>
      <c r="N56" s="132">
        <v>0</v>
      </c>
      <c r="O56" s="108"/>
      <c r="P56" s="95"/>
      <c r="Q56" s="167">
        <v>0</v>
      </c>
      <c r="R56" s="167">
        <v>12</v>
      </c>
      <c r="S56" s="132">
        <v>0</v>
      </c>
      <c r="T56" s="132">
        <v>0</v>
      </c>
      <c r="U56" s="274">
        <v>0</v>
      </c>
      <c r="V56" s="290">
        <v>0</v>
      </c>
      <c r="W56" s="300">
        <v>0</v>
      </c>
      <c r="X56" s="300">
        <v>0</v>
      </c>
      <c r="Y56" s="300">
        <v>0</v>
      </c>
      <c r="Z56" s="441">
        <v>0</v>
      </c>
      <c r="AA56" s="575">
        <v>0</v>
      </c>
      <c r="AB56" s="575">
        <v>0</v>
      </c>
      <c r="AC56" s="125"/>
      <c r="AD56" s="125"/>
      <c r="AE56" s="683"/>
      <c r="AF56" s="141">
        <f>+O56+P56+Q56+R56+S56+T56+U56+V56+W56+X56+Y56+Z56+AA56+AB56+AC56+AD56</f>
        <v>12</v>
      </c>
      <c r="AG56" s="125"/>
      <c r="AH56" s="314">
        <f>+(AF56/M56)</f>
        <v>0.23076923076923078</v>
      </c>
      <c r="AI56" s="598">
        <f t="shared" si="0"/>
        <v>0.23076923076923078</v>
      </c>
      <c r="AJ56" s="125"/>
      <c r="AK56" s="131">
        <v>0</v>
      </c>
      <c r="AL56" s="131"/>
      <c r="AM56" s="131"/>
      <c r="AN56" s="131"/>
      <c r="AO56" s="131"/>
      <c r="AP56" s="131"/>
      <c r="AQ56" s="131"/>
      <c r="AR56" s="131"/>
      <c r="AS56" s="131"/>
      <c r="AT56" s="131">
        <v>0</v>
      </c>
      <c r="AU56" s="156">
        <v>0</v>
      </c>
      <c r="AV56" s="144"/>
    </row>
    <row r="57" spans="1:48" ht="37.5" customHeight="1" x14ac:dyDescent="0.25">
      <c r="A57" s="632"/>
      <c r="B57" s="663"/>
      <c r="C57" s="634"/>
      <c r="D57" s="647"/>
      <c r="E57" s="622"/>
      <c r="F57" s="622"/>
      <c r="G57" s="622"/>
      <c r="H57" s="622"/>
      <c r="I57" s="622"/>
      <c r="J57" s="621"/>
      <c r="K57" s="249"/>
      <c r="L57" s="125"/>
      <c r="M57" s="105"/>
      <c r="N57" s="108"/>
      <c r="O57" s="108"/>
      <c r="P57" s="95"/>
      <c r="Q57" s="125"/>
      <c r="R57" s="125"/>
      <c r="S57" s="125"/>
      <c r="T57" s="132"/>
      <c r="U57" s="274"/>
      <c r="V57" s="290"/>
      <c r="W57" s="125"/>
      <c r="X57" s="125"/>
      <c r="Y57" s="125"/>
      <c r="Z57" s="125"/>
      <c r="AA57" s="575"/>
      <c r="AB57" s="575"/>
      <c r="AC57" s="125"/>
      <c r="AD57" s="125"/>
      <c r="AE57" s="683"/>
      <c r="AF57" s="141"/>
      <c r="AG57" s="125"/>
      <c r="AH57" s="150">
        <f>+AH56</f>
        <v>0.23076923076923078</v>
      </c>
      <c r="AI57" s="598">
        <f t="shared" si="0"/>
        <v>0.23076923076923078</v>
      </c>
      <c r="AJ57" s="125"/>
      <c r="AK57" s="143"/>
      <c r="AL57" s="143"/>
      <c r="AM57" s="143"/>
      <c r="AN57" s="143"/>
      <c r="AO57" s="143"/>
      <c r="AP57" s="143"/>
      <c r="AQ57" s="143"/>
      <c r="AR57" s="143"/>
      <c r="AS57" s="143"/>
      <c r="AT57" s="143"/>
      <c r="AU57" s="143"/>
      <c r="AV57" s="144"/>
    </row>
    <row r="58" spans="1:48" ht="66" customHeight="1" x14ac:dyDescent="0.25">
      <c r="A58" s="632"/>
      <c r="B58" s="663"/>
      <c r="C58" s="634"/>
      <c r="D58" s="647"/>
      <c r="E58" s="622"/>
      <c r="F58" s="622"/>
      <c r="G58" s="622"/>
      <c r="H58" s="622"/>
      <c r="I58" s="622"/>
      <c r="J58" s="624" t="s">
        <v>156</v>
      </c>
      <c r="K58" s="249" t="s">
        <v>151</v>
      </c>
      <c r="L58" s="125" t="s">
        <v>152</v>
      </c>
      <c r="M58" s="105">
        <v>60</v>
      </c>
      <c r="N58" s="105">
        <v>40</v>
      </c>
      <c r="O58" s="105"/>
      <c r="P58" s="95"/>
      <c r="Q58" s="139">
        <v>40</v>
      </c>
      <c r="R58" s="139">
        <v>40</v>
      </c>
      <c r="S58" s="132">
        <v>0</v>
      </c>
      <c r="T58" s="132">
        <v>0</v>
      </c>
      <c r="U58" s="274">
        <v>0</v>
      </c>
      <c r="V58" s="290">
        <v>7</v>
      </c>
      <c r="W58" s="300">
        <v>0</v>
      </c>
      <c r="X58" s="300">
        <v>4</v>
      </c>
      <c r="Y58" s="300">
        <v>33</v>
      </c>
      <c r="Z58" s="441">
        <v>0</v>
      </c>
      <c r="AA58" s="575">
        <v>0</v>
      </c>
      <c r="AB58" s="575">
        <v>0</v>
      </c>
      <c r="AC58" s="125"/>
      <c r="AD58" s="125"/>
      <c r="AE58" s="683"/>
      <c r="AF58" s="141">
        <f>+R58+S58+T58+V58+W58+X58+Y58</f>
        <v>84</v>
      </c>
      <c r="AG58" s="125"/>
      <c r="AH58" s="314">
        <v>1</v>
      </c>
      <c r="AI58" s="598">
        <f t="shared" si="0"/>
        <v>1</v>
      </c>
      <c r="AJ58" s="125"/>
      <c r="AK58" s="678">
        <v>0</v>
      </c>
      <c r="AL58" s="143"/>
      <c r="AM58" s="143"/>
      <c r="AN58" s="143"/>
      <c r="AO58" s="143"/>
      <c r="AP58" s="143"/>
      <c r="AQ58" s="143"/>
      <c r="AR58" s="143"/>
      <c r="AS58" s="143"/>
      <c r="AT58" s="678">
        <v>0</v>
      </c>
      <c r="AU58" s="617">
        <v>0</v>
      </c>
      <c r="AV58" s="144"/>
    </row>
    <row r="59" spans="1:48" ht="66" customHeight="1" x14ac:dyDescent="0.25">
      <c r="A59" s="632"/>
      <c r="B59" s="663"/>
      <c r="C59" s="634"/>
      <c r="D59" s="647"/>
      <c r="E59" s="622"/>
      <c r="F59" s="622"/>
      <c r="G59" s="622"/>
      <c r="H59" s="622"/>
      <c r="I59" s="622"/>
      <c r="J59" s="624"/>
      <c r="K59" s="249"/>
      <c r="L59" s="125"/>
      <c r="M59" s="105"/>
      <c r="N59" s="105"/>
      <c r="O59" s="105"/>
      <c r="P59" s="95"/>
      <c r="Q59" s="125"/>
      <c r="R59" s="125"/>
      <c r="S59" s="125"/>
      <c r="T59" s="125"/>
      <c r="U59" s="274"/>
      <c r="V59" s="290"/>
      <c r="W59" s="125"/>
      <c r="X59" s="125"/>
      <c r="Y59" s="125"/>
      <c r="Z59" s="125"/>
      <c r="AA59" s="125"/>
      <c r="AB59" s="125"/>
      <c r="AC59" s="125"/>
      <c r="AD59" s="125"/>
      <c r="AE59" s="683"/>
      <c r="AF59" s="141"/>
      <c r="AG59" s="125"/>
      <c r="AH59" s="150">
        <f>+AH58</f>
        <v>1</v>
      </c>
      <c r="AI59" s="598">
        <f t="shared" si="0"/>
        <v>1</v>
      </c>
      <c r="AJ59" s="125"/>
      <c r="AK59" s="680"/>
      <c r="AL59" s="143"/>
      <c r="AM59" s="143"/>
      <c r="AN59" s="143"/>
      <c r="AO59" s="143"/>
      <c r="AP59" s="143"/>
      <c r="AQ59" s="143"/>
      <c r="AR59" s="143"/>
      <c r="AS59" s="143"/>
      <c r="AT59" s="680"/>
      <c r="AU59" s="618"/>
      <c r="AV59" s="144"/>
    </row>
    <row r="60" spans="1:48" ht="45" customHeight="1" x14ac:dyDescent="0.25">
      <c r="A60" s="632"/>
      <c r="B60" s="663"/>
      <c r="C60" s="634"/>
      <c r="D60" s="647"/>
      <c r="E60" s="622"/>
      <c r="F60" s="622"/>
      <c r="G60" s="622"/>
      <c r="H60" s="622"/>
      <c r="I60" s="622"/>
      <c r="J60" s="624" t="s">
        <v>157</v>
      </c>
      <c r="K60" s="249" t="s">
        <v>153</v>
      </c>
      <c r="L60" s="125" t="s">
        <v>154</v>
      </c>
      <c r="M60" s="105">
        <v>60</v>
      </c>
      <c r="N60" s="105">
        <v>0</v>
      </c>
      <c r="O60" s="105"/>
      <c r="P60" s="95"/>
      <c r="Q60" s="139">
        <v>33</v>
      </c>
      <c r="R60" s="139">
        <v>33</v>
      </c>
      <c r="S60" s="132">
        <v>0</v>
      </c>
      <c r="T60" s="132">
        <v>0</v>
      </c>
      <c r="U60" s="274">
        <v>0</v>
      </c>
      <c r="V60" s="290">
        <v>11</v>
      </c>
      <c r="W60" s="125">
        <v>0</v>
      </c>
      <c r="X60" s="125">
        <v>0</v>
      </c>
      <c r="Y60" s="125">
        <v>38</v>
      </c>
      <c r="Z60" s="441">
        <v>0</v>
      </c>
      <c r="AA60" s="575">
        <v>0</v>
      </c>
      <c r="AB60" s="575">
        <v>0</v>
      </c>
      <c r="AC60" s="125"/>
      <c r="AD60" s="125"/>
      <c r="AE60" s="683"/>
      <c r="AF60" s="141">
        <f>+R60+S60+T60+V60+U60+W60+X60+Y60</f>
        <v>82</v>
      </c>
      <c r="AG60" s="125"/>
      <c r="AH60" s="314">
        <v>1</v>
      </c>
      <c r="AI60" s="598">
        <f t="shared" si="0"/>
        <v>1</v>
      </c>
      <c r="AJ60" s="125"/>
      <c r="AK60" s="678">
        <v>0</v>
      </c>
      <c r="AL60" s="143"/>
      <c r="AM60" s="143"/>
      <c r="AN60" s="143"/>
      <c r="AO60" s="143"/>
      <c r="AP60" s="143"/>
      <c r="AQ60" s="143"/>
      <c r="AR60" s="143"/>
      <c r="AS60" s="143"/>
      <c r="AT60" s="678">
        <v>0</v>
      </c>
      <c r="AU60" s="617">
        <v>0</v>
      </c>
      <c r="AV60" s="144"/>
    </row>
    <row r="61" spans="1:48" ht="45" customHeight="1" x14ac:dyDescent="0.25">
      <c r="A61" s="632"/>
      <c r="B61" s="663"/>
      <c r="C61" s="634"/>
      <c r="D61" s="647"/>
      <c r="E61" s="622"/>
      <c r="F61" s="622"/>
      <c r="G61" s="622"/>
      <c r="H61" s="622"/>
      <c r="I61" s="622"/>
      <c r="J61" s="624"/>
      <c r="K61" s="249"/>
      <c r="L61" s="125"/>
      <c r="M61" s="105"/>
      <c r="N61" s="105"/>
      <c r="O61" s="105"/>
      <c r="P61" s="95"/>
      <c r="Q61" s="125"/>
      <c r="R61" s="125"/>
      <c r="S61" s="125"/>
      <c r="T61" s="125"/>
      <c r="U61" s="274"/>
      <c r="V61" s="290"/>
      <c r="W61" s="125"/>
      <c r="X61" s="125"/>
      <c r="Y61" s="125"/>
      <c r="Z61" s="125"/>
      <c r="AA61" s="125"/>
      <c r="AB61" s="125"/>
      <c r="AC61" s="125"/>
      <c r="AD61" s="125"/>
      <c r="AE61" s="684"/>
      <c r="AF61" s="141"/>
      <c r="AG61" s="125"/>
      <c r="AH61" s="150">
        <f>+AH60</f>
        <v>1</v>
      </c>
      <c r="AI61" s="598">
        <f t="shared" si="0"/>
        <v>1</v>
      </c>
      <c r="AJ61" s="125"/>
      <c r="AK61" s="680"/>
      <c r="AL61" s="143"/>
      <c r="AM61" s="143"/>
      <c r="AN61" s="143"/>
      <c r="AO61" s="143"/>
      <c r="AP61" s="143"/>
      <c r="AQ61" s="143"/>
      <c r="AR61" s="143"/>
      <c r="AS61" s="143"/>
      <c r="AT61" s="680"/>
      <c r="AU61" s="618"/>
      <c r="AV61" s="144"/>
    </row>
    <row r="62" spans="1:48" ht="45" customHeight="1" x14ac:dyDescent="0.25">
      <c r="A62" s="632"/>
      <c r="B62" s="663"/>
      <c r="C62" s="634"/>
      <c r="D62" s="647"/>
      <c r="E62" s="622"/>
      <c r="F62" s="622"/>
      <c r="G62" s="622"/>
      <c r="H62" s="622"/>
      <c r="I62" s="622"/>
      <c r="J62" s="131"/>
      <c r="K62" s="125"/>
      <c r="L62" s="125"/>
      <c r="M62" s="105"/>
      <c r="N62" s="105"/>
      <c r="O62" s="105"/>
      <c r="P62" s="95"/>
      <c r="Q62" s="125"/>
      <c r="R62" s="125"/>
      <c r="S62" s="125"/>
      <c r="T62" s="125"/>
      <c r="U62" s="274"/>
      <c r="V62" s="290"/>
      <c r="W62" s="125"/>
      <c r="X62" s="125"/>
      <c r="Y62" s="125"/>
      <c r="Z62" s="125"/>
      <c r="AA62" s="125"/>
      <c r="AB62" s="125"/>
      <c r="AC62" s="125"/>
      <c r="AD62" s="125"/>
      <c r="AE62" s="290"/>
      <c r="AF62" s="141"/>
      <c r="AG62" s="125"/>
      <c r="AH62" s="168">
        <f>+(AH32+AH38+AH42+AH44+AH47+AH52+AH55+AH57+AH59+AH61)/10</f>
        <v>0.74901177473389635</v>
      </c>
      <c r="AI62" s="598">
        <f t="shared" si="0"/>
        <v>0.74901177473389635</v>
      </c>
      <c r="AJ62" s="125"/>
      <c r="AK62" s="143"/>
      <c r="AL62" s="143"/>
      <c r="AM62" s="143"/>
      <c r="AN62" s="143"/>
      <c r="AO62" s="143"/>
      <c r="AP62" s="143"/>
      <c r="AQ62" s="143"/>
      <c r="AR62" s="143"/>
      <c r="AS62" s="143"/>
      <c r="AT62" s="143"/>
      <c r="AU62" s="143"/>
      <c r="AV62" s="144"/>
    </row>
    <row r="63" spans="1:48" ht="75" customHeight="1" x14ac:dyDescent="0.25">
      <c r="A63" s="632"/>
      <c r="B63" s="663"/>
      <c r="C63" s="634"/>
      <c r="D63" s="647"/>
      <c r="E63" s="622" t="s">
        <v>178</v>
      </c>
      <c r="F63" s="622" t="s">
        <v>158</v>
      </c>
      <c r="G63" s="622" t="s">
        <v>159</v>
      </c>
      <c r="H63" s="630">
        <v>0.7</v>
      </c>
      <c r="I63" s="622" t="s">
        <v>127</v>
      </c>
      <c r="J63" s="624" t="s">
        <v>169</v>
      </c>
      <c r="K63" s="252" t="s">
        <v>160</v>
      </c>
      <c r="L63" s="143" t="s">
        <v>160</v>
      </c>
      <c r="M63" s="105">
        <v>1</v>
      </c>
      <c r="N63" s="105">
        <v>0</v>
      </c>
      <c r="O63" s="105"/>
      <c r="P63" s="95"/>
      <c r="Q63" s="139">
        <v>0</v>
      </c>
      <c r="R63" s="139">
        <v>0</v>
      </c>
      <c r="S63" s="145">
        <v>0</v>
      </c>
      <c r="T63" s="132">
        <v>0</v>
      </c>
      <c r="U63" s="274">
        <v>0</v>
      </c>
      <c r="V63" s="290">
        <v>0.25</v>
      </c>
      <c r="W63" s="300">
        <v>0</v>
      </c>
      <c r="X63" s="300">
        <v>0</v>
      </c>
      <c r="Y63" s="300">
        <v>0</v>
      </c>
      <c r="Z63" s="441">
        <v>0</v>
      </c>
      <c r="AA63" s="575">
        <v>0</v>
      </c>
      <c r="AB63" s="575">
        <v>0</v>
      </c>
      <c r="AC63" s="125"/>
      <c r="AD63" s="125"/>
      <c r="AE63" s="687" t="s">
        <v>956</v>
      </c>
      <c r="AF63" s="141">
        <f>+V63</f>
        <v>0.25</v>
      </c>
      <c r="AG63" s="125"/>
      <c r="AH63" s="314">
        <f>+(AF63/M63)</f>
        <v>0.25</v>
      </c>
      <c r="AI63" s="598">
        <f t="shared" si="0"/>
        <v>0.25</v>
      </c>
      <c r="AJ63" s="125"/>
      <c r="AK63" s="619">
        <v>68576160</v>
      </c>
      <c r="AL63" s="148"/>
      <c r="AM63" s="148"/>
      <c r="AN63" s="148"/>
      <c r="AO63" s="148"/>
      <c r="AP63" s="148"/>
      <c r="AQ63" s="148"/>
      <c r="AR63" s="148"/>
      <c r="AS63" s="148"/>
      <c r="AT63" s="619">
        <v>62170004</v>
      </c>
      <c r="AU63" s="617">
        <f>+AT63/AK63</f>
        <v>0.90658333741638497</v>
      </c>
      <c r="AV63" s="144"/>
    </row>
    <row r="64" spans="1:48" ht="45" customHeight="1" x14ac:dyDescent="0.25">
      <c r="A64" s="632"/>
      <c r="B64" s="663"/>
      <c r="C64" s="634"/>
      <c r="D64" s="647"/>
      <c r="E64" s="622"/>
      <c r="F64" s="622"/>
      <c r="G64" s="622"/>
      <c r="H64" s="630"/>
      <c r="I64" s="622"/>
      <c r="J64" s="624"/>
      <c r="K64" s="252" t="s">
        <v>161</v>
      </c>
      <c r="L64" s="143" t="s">
        <v>161</v>
      </c>
      <c r="M64" s="138">
        <v>1</v>
      </c>
      <c r="N64" s="138">
        <v>0</v>
      </c>
      <c r="O64" s="138"/>
      <c r="P64" s="95"/>
      <c r="Q64" s="139">
        <v>0</v>
      </c>
      <c r="R64" s="139">
        <v>1</v>
      </c>
      <c r="S64" s="145">
        <v>0</v>
      </c>
      <c r="T64" s="132">
        <v>0</v>
      </c>
      <c r="U64" s="274">
        <v>0</v>
      </c>
      <c r="V64" s="290">
        <v>0</v>
      </c>
      <c r="W64" s="300">
        <v>0</v>
      </c>
      <c r="X64" s="300">
        <v>0</v>
      </c>
      <c r="Y64" s="300">
        <v>0</v>
      </c>
      <c r="Z64" s="441">
        <v>0</v>
      </c>
      <c r="AA64" s="575">
        <v>0</v>
      </c>
      <c r="AB64" s="575">
        <v>1</v>
      </c>
      <c r="AC64" s="125"/>
      <c r="AD64" s="125"/>
      <c r="AE64" s="689"/>
      <c r="AF64" s="141">
        <f>+O64+P64+Q64+R64+S64+T64+U64+V64+W64+X64+Y64+Z64+AA64+AB64+AC64+AD64</f>
        <v>2</v>
      </c>
      <c r="AG64" s="125"/>
      <c r="AH64" s="314">
        <v>1</v>
      </c>
      <c r="AI64" s="598">
        <f t="shared" si="0"/>
        <v>1</v>
      </c>
      <c r="AJ64" s="125"/>
      <c r="AK64" s="671"/>
      <c r="AL64" s="143"/>
      <c r="AM64" s="143"/>
      <c r="AN64" s="143"/>
      <c r="AO64" s="143"/>
      <c r="AP64" s="143"/>
      <c r="AQ64" s="143"/>
      <c r="AR64" s="143"/>
      <c r="AS64" s="143"/>
      <c r="AT64" s="671"/>
      <c r="AU64" s="670"/>
      <c r="AV64" s="144"/>
    </row>
    <row r="65" spans="1:48" ht="74.25" customHeight="1" x14ac:dyDescent="0.25">
      <c r="A65" s="632"/>
      <c r="B65" s="663"/>
      <c r="C65" s="634"/>
      <c r="D65" s="647"/>
      <c r="E65" s="622"/>
      <c r="F65" s="622"/>
      <c r="G65" s="622"/>
      <c r="H65" s="630"/>
      <c r="I65" s="622"/>
      <c r="J65" s="624"/>
      <c r="K65" s="252" t="s">
        <v>162</v>
      </c>
      <c r="L65" s="143" t="s">
        <v>163</v>
      </c>
      <c r="M65" s="138">
        <v>80</v>
      </c>
      <c r="N65" s="138">
        <v>65</v>
      </c>
      <c r="O65" s="138"/>
      <c r="P65" s="95"/>
      <c r="Q65" s="139">
        <v>26</v>
      </c>
      <c r="R65" s="139">
        <v>25</v>
      </c>
      <c r="S65" s="169">
        <v>0</v>
      </c>
      <c r="T65" s="132">
        <v>0</v>
      </c>
      <c r="U65" s="274">
        <v>0</v>
      </c>
      <c r="V65" s="290">
        <v>15</v>
      </c>
      <c r="W65" s="302">
        <v>14</v>
      </c>
      <c r="X65" s="302">
        <v>14</v>
      </c>
      <c r="Y65" s="302">
        <v>14</v>
      </c>
      <c r="Z65" s="441">
        <v>16</v>
      </c>
      <c r="AA65" s="575">
        <v>19</v>
      </c>
      <c r="AB65" s="575">
        <v>16</v>
      </c>
      <c r="AC65" s="125"/>
      <c r="AD65" s="125"/>
      <c r="AE65" s="689"/>
      <c r="AF65" s="141">
        <f>+Z65</f>
        <v>16</v>
      </c>
      <c r="AG65" s="125"/>
      <c r="AH65" s="314">
        <v>1</v>
      </c>
      <c r="AI65" s="598">
        <f t="shared" si="0"/>
        <v>1</v>
      </c>
      <c r="AJ65" s="125"/>
      <c r="AK65" s="671"/>
      <c r="AL65" s="143"/>
      <c r="AM65" s="143"/>
      <c r="AN65" s="143"/>
      <c r="AO65" s="143"/>
      <c r="AP65" s="143"/>
      <c r="AQ65" s="143"/>
      <c r="AR65" s="143"/>
      <c r="AS65" s="143"/>
      <c r="AT65" s="671"/>
      <c r="AU65" s="670"/>
      <c r="AV65" s="144"/>
    </row>
    <row r="66" spans="1:48" ht="85.5" customHeight="1" x14ac:dyDescent="0.25">
      <c r="A66" s="632"/>
      <c r="B66" s="663"/>
      <c r="C66" s="634"/>
      <c r="D66" s="647"/>
      <c r="E66" s="622"/>
      <c r="F66" s="622"/>
      <c r="G66" s="622"/>
      <c r="H66" s="630"/>
      <c r="I66" s="622"/>
      <c r="J66" s="624"/>
      <c r="K66" s="252" t="s">
        <v>164</v>
      </c>
      <c r="L66" s="143" t="s">
        <v>165</v>
      </c>
      <c r="M66" s="138">
        <v>300</v>
      </c>
      <c r="N66" s="138">
        <v>50</v>
      </c>
      <c r="O66" s="138"/>
      <c r="P66" s="95"/>
      <c r="Q66" s="139">
        <v>0</v>
      </c>
      <c r="R66" s="139">
        <v>0</v>
      </c>
      <c r="S66" s="145">
        <v>0</v>
      </c>
      <c r="T66" s="132">
        <v>0</v>
      </c>
      <c r="U66" s="274">
        <v>0</v>
      </c>
      <c r="V66" s="290">
        <v>75</v>
      </c>
      <c r="W66" s="300">
        <v>2</v>
      </c>
      <c r="X66" s="300">
        <v>0</v>
      </c>
      <c r="Y66" s="300">
        <v>3</v>
      </c>
      <c r="Z66" s="442">
        <v>42</v>
      </c>
      <c r="AA66" s="575">
        <v>27</v>
      </c>
      <c r="AB66" s="575">
        <v>0</v>
      </c>
      <c r="AC66" s="125"/>
      <c r="AD66" s="125"/>
      <c r="AE66" s="689"/>
      <c r="AF66" s="141">
        <f>+O66+P66+Q66+R66+S66+T66+U66+V66+W66+X66+Y66+Z66+AA66+AB66+AC66+AD66</f>
        <v>149</v>
      </c>
      <c r="AG66" s="125"/>
      <c r="AH66" s="314">
        <f>+(AF66/(M66-N66))</f>
        <v>0.59599999999999997</v>
      </c>
      <c r="AI66" s="598">
        <f t="shared" si="0"/>
        <v>0.59599999999999997</v>
      </c>
      <c r="AJ66" s="125"/>
      <c r="AK66" s="671"/>
      <c r="AL66" s="143"/>
      <c r="AM66" s="143"/>
      <c r="AN66" s="143"/>
      <c r="AO66" s="143"/>
      <c r="AP66" s="143"/>
      <c r="AQ66" s="143"/>
      <c r="AR66" s="143"/>
      <c r="AS66" s="143"/>
      <c r="AT66" s="671"/>
      <c r="AU66" s="670"/>
      <c r="AV66" s="144"/>
    </row>
    <row r="67" spans="1:48" ht="45" customHeight="1" x14ac:dyDescent="0.25">
      <c r="A67" s="632"/>
      <c r="B67" s="663"/>
      <c r="C67" s="634"/>
      <c r="D67" s="647"/>
      <c r="E67" s="622"/>
      <c r="F67" s="622"/>
      <c r="G67" s="622"/>
      <c r="H67" s="630"/>
      <c r="I67" s="622"/>
      <c r="J67" s="624"/>
      <c r="K67" s="252" t="s">
        <v>166</v>
      </c>
      <c r="L67" s="143" t="s">
        <v>166</v>
      </c>
      <c r="M67" s="138">
        <v>1</v>
      </c>
      <c r="N67" s="138">
        <v>0</v>
      </c>
      <c r="O67" s="138"/>
      <c r="P67" s="95"/>
      <c r="Q67" s="139">
        <v>0</v>
      </c>
      <c r="R67" s="139">
        <v>0</v>
      </c>
      <c r="S67" s="145">
        <v>0.3</v>
      </c>
      <c r="T67" s="132">
        <v>0.5</v>
      </c>
      <c r="U67" s="274">
        <v>0.5</v>
      </c>
      <c r="V67" s="290">
        <v>1</v>
      </c>
      <c r="W67" s="300">
        <v>0</v>
      </c>
      <c r="X67" s="300">
        <v>0</v>
      </c>
      <c r="Y67" s="300">
        <v>0</v>
      </c>
      <c r="Z67" s="442">
        <v>0</v>
      </c>
      <c r="AA67" s="575">
        <v>0</v>
      </c>
      <c r="AB67" s="575">
        <v>0</v>
      </c>
      <c r="AC67" s="125"/>
      <c r="AD67" s="125"/>
      <c r="AE67" s="689"/>
      <c r="AF67" s="141">
        <f>+V67</f>
        <v>1</v>
      </c>
      <c r="AG67" s="125"/>
      <c r="AH67" s="314">
        <f>+(AF67/M67)</f>
        <v>1</v>
      </c>
      <c r="AI67" s="598">
        <f t="shared" si="0"/>
        <v>1</v>
      </c>
      <c r="AJ67" s="125"/>
      <c r="AK67" s="671"/>
      <c r="AL67" s="143"/>
      <c r="AM67" s="143"/>
      <c r="AN67" s="143"/>
      <c r="AO67" s="143"/>
      <c r="AP67" s="143"/>
      <c r="AQ67" s="143"/>
      <c r="AR67" s="143"/>
      <c r="AS67" s="143"/>
      <c r="AT67" s="671"/>
      <c r="AU67" s="670"/>
      <c r="AV67" s="144"/>
    </row>
    <row r="68" spans="1:48" ht="45" customHeight="1" x14ac:dyDescent="0.25">
      <c r="A68" s="632"/>
      <c r="B68" s="663"/>
      <c r="C68" s="634"/>
      <c r="D68" s="647"/>
      <c r="E68" s="622"/>
      <c r="F68" s="622"/>
      <c r="G68" s="622"/>
      <c r="H68" s="630"/>
      <c r="I68" s="622"/>
      <c r="J68" s="624"/>
      <c r="K68" s="252" t="s">
        <v>167</v>
      </c>
      <c r="L68" s="143" t="s">
        <v>168</v>
      </c>
      <c r="M68" s="138">
        <v>24</v>
      </c>
      <c r="N68" s="138">
        <v>15</v>
      </c>
      <c r="O68" s="138"/>
      <c r="P68" s="95"/>
      <c r="Q68" s="139">
        <v>0</v>
      </c>
      <c r="R68" s="139">
        <v>7</v>
      </c>
      <c r="S68" s="170">
        <v>0</v>
      </c>
      <c r="T68" s="132">
        <v>0</v>
      </c>
      <c r="U68" s="274">
        <v>0</v>
      </c>
      <c r="V68" s="290">
        <v>5</v>
      </c>
      <c r="W68" s="300">
        <v>0</v>
      </c>
      <c r="X68" s="300">
        <v>0</v>
      </c>
      <c r="Y68" s="300">
        <v>0</v>
      </c>
      <c r="Z68" s="442">
        <v>0</v>
      </c>
      <c r="AA68" s="125">
        <v>0</v>
      </c>
      <c r="AB68" s="125">
        <v>0</v>
      </c>
      <c r="AC68" s="125"/>
      <c r="AD68" s="125"/>
      <c r="AE68" s="688"/>
      <c r="AF68" s="141">
        <f>+V68+R68</f>
        <v>12</v>
      </c>
      <c r="AG68" s="125"/>
      <c r="AH68" s="314">
        <f>+AF68/M68</f>
        <v>0.5</v>
      </c>
      <c r="AI68" s="598">
        <f t="shared" ref="AI68:AI131" si="1">+AH68</f>
        <v>0.5</v>
      </c>
      <c r="AJ68" s="125"/>
      <c r="AK68" s="620"/>
      <c r="AL68" s="143"/>
      <c r="AM68" s="143"/>
      <c r="AN68" s="143"/>
      <c r="AO68" s="143"/>
      <c r="AP68" s="143"/>
      <c r="AQ68" s="143"/>
      <c r="AR68" s="143"/>
      <c r="AS68" s="143"/>
      <c r="AT68" s="620"/>
      <c r="AU68" s="618"/>
      <c r="AV68" s="144"/>
    </row>
    <row r="69" spans="1:48" ht="45" customHeight="1" x14ac:dyDescent="0.25">
      <c r="A69" s="632"/>
      <c r="B69" s="663"/>
      <c r="C69" s="634"/>
      <c r="D69" s="647"/>
      <c r="E69" s="622"/>
      <c r="F69" s="622"/>
      <c r="G69" s="622"/>
      <c r="H69" s="630"/>
      <c r="I69" s="622"/>
      <c r="J69" s="131"/>
      <c r="K69" s="143"/>
      <c r="L69" s="143"/>
      <c r="M69" s="105"/>
      <c r="N69" s="138"/>
      <c r="O69" s="138"/>
      <c r="P69" s="95"/>
      <c r="Q69" s="125"/>
      <c r="R69" s="125"/>
      <c r="S69" s="125"/>
      <c r="T69" s="125"/>
      <c r="U69" s="274"/>
      <c r="V69" s="290"/>
      <c r="W69" s="125"/>
      <c r="X69" s="125"/>
      <c r="Y69" s="125"/>
      <c r="Z69" s="125"/>
      <c r="AA69" s="125"/>
      <c r="AB69" s="125"/>
      <c r="AC69" s="125"/>
      <c r="AD69" s="125"/>
      <c r="AE69" s="290"/>
      <c r="AF69" s="141"/>
      <c r="AG69" s="125"/>
      <c r="AH69" s="150">
        <f>AVERAGE(AH63:AH68)</f>
        <v>0.72433333333333338</v>
      </c>
      <c r="AI69" s="598">
        <f t="shared" si="1"/>
        <v>0.72433333333333338</v>
      </c>
      <c r="AJ69" s="125"/>
      <c r="AK69" s="143"/>
      <c r="AL69" s="143"/>
      <c r="AM69" s="143"/>
      <c r="AN69" s="143"/>
      <c r="AO69" s="143"/>
      <c r="AP69" s="143"/>
      <c r="AQ69" s="143"/>
      <c r="AR69" s="143"/>
      <c r="AS69" s="143"/>
      <c r="AT69" s="143"/>
      <c r="AU69" s="143"/>
      <c r="AV69" s="144"/>
    </row>
    <row r="70" spans="1:48" ht="56.25" customHeight="1" x14ac:dyDescent="0.25">
      <c r="A70" s="632"/>
      <c r="B70" s="663"/>
      <c r="C70" s="634"/>
      <c r="D70" s="647"/>
      <c r="E70" s="622"/>
      <c r="F70" s="622" t="s">
        <v>170</v>
      </c>
      <c r="G70" s="622" t="s">
        <v>171</v>
      </c>
      <c r="H70" s="630">
        <v>0.8</v>
      </c>
      <c r="I70" s="630">
        <v>0.52</v>
      </c>
      <c r="J70" s="625" t="s">
        <v>177</v>
      </c>
      <c r="K70" s="252" t="s">
        <v>172</v>
      </c>
      <c r="L70" s="143" t="s">
        <v>172</v>
      </c>
      <c r="M70" s="138">
        <v>1</v>
      </c>
      <c r="N70" s="138">
        <v>0</v>
      </c>
      <c r="O70" s="138"/>
      <c r="P70" s="95"/>
      <c r="Q70" s="139">
        <v>0</v>
      </c>
      <c r="R70" s="139">
        <v>0</v>
      </c>
      <c r="S70" s="170">
        <v>0</v>
      </c>
      <c r="T70" s="132">
        <v>1</v>
      </c>
      <c r="U70" s="274">
        <v>0</v>
      </c>
      <c r="V70" s="290">
        <v>0</v>
      </c>
      <c r="W70" s="300">
        <v>0</v>
      </c>
      <c r="X70" s="300">
        <v>0</v>
      </c>
      <c r="Y70" s="300">
        <v>0</v>
      </c>
      <c r="Z70" s="442">
        <v>1</v>
      </c>
      <c r="AA70" s="125"/>
      <c r="AB70" s="125"/>
      <c r="AC70" s="125"/>
      <c r="AD70" s="125"/>
      <c r="AE70" s="687" t="s">
        <v>956</v>
      </c>
      <c r="AF70" s="141">
        <f>+R70+S70+T70</f>
        <v>1</v>
      </c>
      <c r="AG70" s="125"/>
      <c r="AH70" s="314">
        <f>+(AF70/M70)</f>
        <v>1</v>
      </c>
      <c r="AI70" s="598">
        <f t="shared" si="1"/>
        <v>1</v>
      </c>
      <c r="AJ70" s="125"/>
      <c r="AK70" s="690">
        <v>69238920</v>
      </c>
      <c r="AL70" s="143"/>
      <c r="AM70" s="143"/>
      <c r="AN70" s="143"/>
      <c r="AO70" s="143"/>
      <c r="AP70" s="143"/>
      <c r="AQ70" s="143"/>
      <c r="AR70" s="143"/>
      <c r="AS70" s="143"/>
      <c r="AT70" s="619">
        <v>68238920</v>
      </c>
      <c r="AU70" s="672">
        <f>+AT70/AK70</f>
        <v>0.98555725594795529</v>
      </c>
      <c r="AV70" s="144"/>
    </row>
    <row r="71" spans="1:48" ht="45" customHeight="1" x14ac:dyDescent="0.25">
      <c r="A71" s="632"/>
      <c r="B71" s="663"/>
      <c r="C71" s="634"/>
      <c r="D71" s="647"/>
      <c r="E71" s="622"/>
      <c r="F71" s="622"/>
      <c r="G71" s="622"/>
      <c r="H71" s="630"/>
      <c r="I71" s="630"/>
      <c r="J71" s="625"/>
      <c r="K71" s="252" t="s">
        <v>173</v>
      </c>
      <c r="L71" s="143" t="s">
        <v>174</v>
      </c>
      <c r="M71" s="138">
        <v>30</v>
      </c>
      <c r="N71" s="138">
        <v>8</v>
      </c>
      <c r="O71" s="138"/>
      <c r="P71" s="95"/>
      <c r="Q71" s="139">
        <v>8</v>
      </c>
      <c r="R71" s="139">
        <v>8</v>
      </c>
      <c r="S71" s="170">
        <v>0</v>
      </c>
      <c r="T71" s="132">
        <v>0</v>
      </c>
      <c r="U71" s="274">
        <v>0</v>
      </c>
      <c r="V71" s="290">
        <v>5</v>
      </c>
      <c r="W71" s="300">
        <v>0</v>
      </c>
      <c r="X71" s="300">
        <v>0</v>
      </c>
      <c r="Y71" s="300">
        <v>0</v>
      </c>
      <c r="Z71" s="442">
        <v>10</v>
      </c>
      <c r="AA71" s="575">
        <v>0</v>
      </c>
      <c r="AB71" s="575">
        <v>2</v>
      </c>
      <c r="AC71" s="125"/>
      <c r="AD71" s="125"/>
      <c r="AE71" s="689"/>
      <c r="AF71" s="141">
        <f>+R71+S71+T71+V71+Z71+AB71</f>
        <v>25</v>
      </c>
      <c r="AG71" s="125"/>
      <c r="AH71" s="314">
        <v>1</v>
      </c>
      <c r="AI71" s="598">
        <f t="shared" si="1"/>
        <v>1</v>
      </c>
      <c r="AJ71" s="125"/>
      <c r="AK71" s="691"/>
      <c r="AL71" s="143"/>
      <c r="AM71" s="143"/>
      <c r="AN71" s="143"/>
      <c r="AO71" s="143"/>
      <c r="AP71" s="143"/>
      <c r="AQ71" s="143"/>
      <c r="AR71" s="143"/>
      <c r="AS71" s="143"/>
      <c r="AT71" s="671"/>
      <c r="AU71" s="673"/>
      <c r="AV71" s="144"/>
    </row>
    <row r="72" spans="1:48" ht="45" customHeight="1" x14ac:dyDescent="0.25">
      <c r="A72" s="632"/>
      <c r="B72" s="663"/>
      <c r="C72" s="634"/>
      <c r="D72" s="647"/>
      <c r="E72" s="622"/>
      <c r="F72" s="622"/>
      <c r="G72" s="622"/>
      <c r="H72" s="630"/>
      <c r="I72" s="630"/>
      <c r="J72" s="625"/>
      <c r="K72" s="252" t="s">
        <v>175</v>
      </c>
      <c r="L72" s="143" t="s">
        <v>176</v>
      </c>
      <c r="M72" s="138">
        <v>8</v>
      </c>
      <c r="N72" s="138">
        <v>0</v>
      </c>
      <c r="O72" s="138"/>
      <c r="P72" s="95"/>
      <c r="Q72" s="139">
        <v>0</v>
      </c>
      <c r="R72" s="139">
        <v>1</v>
      </c>
      <c r="S72" s="170">
        <v>0</v>
      </c>
      <c r="T72" s="132">
        <v>0</v>
      </c>
      <c r="U72" s="274">
        <v>0</v>
      </c>
      <c r="V72" s="290">
        <v>2</v>
      </c>
      <c r="W72" s="300">
        <v>3</v>
      </c>
      <c r="X72" s="300">
        <v>0</v>
      </c>
      <c r="Y72" s="300">
        <v>1</v>
      </c>
      <c r="Z72" s="442">
        <v>0</v>
      </c>
      <c r="AA72" s="575">
        <v>1</v>
      </c>
      <c r="AB72" s="575">
        <v>0</v>
      </c>
      <c r="AC72" s="125"/>
      <c r="AD72" s="125"/>
      <c r="AE72" s="688"/>
      <c r="AF72" s="141">
        <f>+R72+S72+T72+U72+V72+W72+X72+Y72+AA72</f>
        <v>8</v>
      </c>
      <c r="AG72" s="125"/>
      <c r="AH72" s="314">
        <f>+(AF72/M72)</f>
        <v>1</v>
      </c>
      <c r="AI72" s="598">
        <f t="shared" si="1"/>
        <v>1</v>
      </c>
      <c r="AJ72" s="125"/>
      <c r="AK72" s="691"/>
      <c r="AL72" s="143"/>
      <c r="AM72" s="143"/>
      <c r="AN72" s="143"/>
      <c r="AO72" s="143"/>
      <c r="AP72" s="143"/>
      <c r="AQ72" s="143"/>
      <c r="AR72" s="143"/>
      <c r="AS72" s="143"/>
      <c r="AT72" s="671"/>
      <c r="AU72" s="673"/>
      <c r="AV72" s="144"/>
    </row>
    <row r="73" spans="1:48" ht="45" customHeight="1" x14ac:dyDescent="0.25">
      <c r="A73" s="632"/>
      <c r="B73" s="663"/>
      <c r="C73" s="634"/>
      <c r="D73" s="647"/>
      <c r="E73" s="622"/>
      <c r="F73" s="622"/>
      <c r="G73" s="622"/>
      <c r="H73" s="630"/>
      <c r="I73" s="630"/>
      <c r="J73" s="625"/>
      <c r="K73" s="252"/>
      <c r="L73" s="143"/>
      <c r="M73" s="105"/>
      <c r="N73" s="138"/>
      <c r="O73" s="138"/>
      <c r="P73" s="95"/>
      <c r="Q73" s="125"/>
      <c r="R73" s="125"/>
      <c r="S73" s="125"/>
      <c r="T73" s="125"/>
      <c r="U73" s="274"/>
      <c r="V73" s="290"/>
      <c r="W73" s="125"/>
      <c r="X73" s="125"/>
      <c r="Y73" s="125"/>
      <c r="Z73" s="125"/>
      <c r="AA73" s="125"/>
      <c r="AB73" s="125"/>
      <c r="AC73" s="125"/>
      <c r="AD73" s="125"/>
      <c r="AE73" s="290"/>
      <c r="AF73" s="141"/>
      <c r="AG73" s="125"/>
      <c r="AH73" s="150">
        <f>AVERAGE(AH70:AH72)</f>
        <v>1</v>
      </c>
      <c r="AI73" s="598">
        <f t="shared" si="1"/>
        <v>1</v>
      </c>
      <c r="AJ73" s="125"/>
      <c r="AK73" s="692"/>
      <c r="AL73" s="143"/>
      <c r="AM73" s="143"/>
      <c r="AN73" s="143"/>
      <c r="AO73" s="143"/>
      <c r="AP73" s="143"/>
      <c r="AQ73" s="143"/>
      <c r="AR73" s="143"/>
      <c r="AS73" s="143"/>
      <c r="AT73" s="620"/>
      <c r="AU73" s="674"/>
      <c r="AV73" s="144"/>
    </row>
    <row r="74" spans="1:48" ht="45" customHeight="1" x14ac:dyDescent="0.25">
      <c r="A74" s="632"/>
      <c r="B74" s="663"/>
      <c r="C74" s="634"/>
      <c r="D74" s="647"/>
      <c r="E74" s="622"/>
      <c r="F74" s="125"/>
      <c r="G74" s="132"/>
      <c r="H74" s="107"/>
      <c r="I74" s="107"/>
      <c r="J74" s="132"/>
      <c r="K74" s="143"/>
      <c r="L74" s="143"/>
      <c r="M74" s="105"/>
      <c r="N74" s="138"/>
      <c r="O74" s="138"/>
      <c r="P74" s="95"/>
      <c r="Q74" s="125"/>
      <c r="R74" s="125"/>
      <c r="S74" s="125"/>
      <c r="T74" s="125"/>
      <c r="U74" s="274"/>
      <c r="V74" s="290"/>
      <c r="W74" s="125"/>
      <c r="X74" s="125"/>
      <c r="Y74" s="125"/>
      <c r="Z74" s="125"/>
      <c r="AA74" s="125"/>
      <c r="AB74" s="125"/>
      <c r="AC74" s="125"/>
      <c r="AD74" s="125"/>
      <c r="AE74" s="290"/>
      <c r="AF74" s="141"/>
      <c r="AG74" s="125"/>
      <c r="AH74" s="171">
        <f>+(AH69+AH73)/2</f>
        <v>0.86216666666666675</v>
      </c>
      <c r="AI74" s="598">
        <f t="shared" si="1"/>
        <v>0.86216666666666675</v>
      </c>
      <c r="AJ74" s="125"/>
      <c r="AK74" s="143"/>
      <c r="AL74" s="143"/>
      <c r="AM74" s="143"/>
      <c r="AN74" s="143"/>
      <c r="AO74" s="143"/>
      <c r="AP74" s="143"/>
      <c r="AQ74" s="143"/>
      <c r="AR74" s="143"/>
      <c r="AS74" s="143"/>
      <c r="AT74" s="143"/>
      <c r="AU74" s="143"/>
      <c r="AV74" s="144"/>
    </row>
    <row r="75" spans="1:48" ht="120" customHeight="1" x14ac:dyDescent="0.25">
      <c r="A75" s="632"/>
      <c r="B75" s="663"/>
      <c r="C75" s="634"/>
      <c r="D75" s="647"/>
      <c r="E75" s="622" t="s">
        <v>179</v>
      </c>
      <c r="F75" s="622" t="s">
        <v>180</v>
      </c>
      <c r="G75" s="622" t="s">
        <v>181</v>
      </c>
      <c r="H75" s="630">
        <v>0.15</v>
      </c>
      <c r="I75" s="630">
        <v>0.11</v>
      </c>
      <c r="J75" s="625" t="s">
        <v>182</v>
      </c>
      <c r="K75" s="252" t="s">
        <v>183</v>
      </c>
      <c r="L75" s="143" t="s">
        <v>184</v>
      </c>
      <c r="M75" s="138">
        <v>7</v>
      </c>
      <c r="N75" s="138">
        <v>5</v>
      </c>
      <c r="O75" s="138"/>
      <c r="P75" s="95"/>
      <c r="Q75" s="139">
        <v>5</v>
      </c>
      <c r="R75" s="139">
        <v>5</v>
      </c>
      <c r="S75" s="139">
        <v>0</v>
      </c>
      <c r="T75" s="132">
        <v>0</v>
      </c>
      <c r="U75" s="274">
        <v>0</v>
      </c>
      <c r="V75" s="290">
        <v>1</v>
      </c>
      <c r="W75" s="300">
        <v>0</v>
      </c>
      <c r="X75" s="300">
        <v>0</v>
      </c>
      <c r="Y75" s="300">
        <v>1</v>
      </c>
      <c r="Z75" s="441">
        <v>1</v>
      </c>
      <c r="AA75" s="125"/>
      <c r="AB75" s="125"/>
      <c r="AC75" s="125"/>
      <c r="AD75" s="125"/>
      <c r="AE75" s="697">
        <v>0</v>
      </c>
      <c r="AF75" s="141">
        <f>+R75+V75+Y75</f>
        <v>7</v>
      </c>
      <c r="AG75" s="125"/>
      <c r="AH75" s="314">
        <f>+AF75/M75</f>
        <v>1</v>
      </c>
      <c r="AI75" s="598">
        <f t="shared" si="1"/>
        <v>1</v>
      </c>
      <c r="AJ75" s="125"/>
      <c r="AK75" s="619">
        <v>949531345</v>
      </c>
      <c r="AL75" s="148"/>
      <c r="AM75" s="148"/>
      <c r="AN75" s="148"/>
      <c r="AO75" s="148"/>
      <c r="AP75" s="148"/>
      <c r="AQ75" s="148"/>
      <c r="AR75" s="148"/>
      <c r="AS75" s="148"/>
      <c r="AT75" s="619">
        <v>496102308</v>
      </c>
      <c r="AU75" s="617">
        <f>+AT75/AK75</f>
        <v>0.52247070158594922</v>
      </c>
      <c r="AV75" s="144"/>
    </row>
    <row r="76" spans="1:48" ht="90" customHeight="1" x14ac:dyDescent="0.25">
      <c r="A76" s="632"/>
      <c r="B76" s="663"/>
      <c r="C76" s="634"/>
      <c r="D76" s="647"/>
      <c r="E76" s="622"/>
      <c r="F76" s="622"/>
      <c r="G76" s="622"/>
      <c r="H76" s="630"/>
      <c r="I76" s="630"/>
      <c r="J76" s="625"/>
      <c r="K76" s="252" t="s">
        <v>185</v>
      </c>
      <c r="L76" s="143" t="s">
        <v>186</v>
      </c>
      <c r="M76" s="138">
        <v>13</v>
      </c>
      <c r="N76" s="138">
        <v>5</v>
      </c>
      <c r="O76" s="138"/>
      <c r="P76" s="95"/>
      <c r="Q76" s="139">
        <v>0</v>
      </c>
      <c r="R76" s="139">
        <v>0</v>
      </c>
      <c r="S76" s="139">
        <v>0</v>
      </c>
      <c r="T76" s="132">
        <v>0</v>
      </c>
      <c r="U76" s="274">
        <v>0</v>
      </c>
      <c r="V76" s="290">
        <v>3</v>
      </c>
      <c r="W76" s="300">
        <v>0</v>
      </c>
      <c r="X76" s="300">
        <v>0</v>
      </c>
      <c r="Y76" s="300">
        <v>2</v>
      </c>
      <c r="Z76" s="441">
        <v>2</v>
      </c>
      <c r="AA76" s="125">
        <v>0</v>
      </c>
      <c r="AB76" s="125">
        <v>0</v>
      </c>
      <c r="AC76" s="125"/>
      <c r="AD76" s="125"/>
      <c r="AE76" s="683"/>
      <c r="AF76" s="141">
        <f>+V76+Y76</f>
        <v>5</v>
      </c>
      <c r="AG76" s="125"/>
      <c r="AH76" s="314">
        <f>+AF76/(M76-N76)</f>
        <v>0.625</v>
      </c>
      <c r="AI76" s="598">
        <f t="shared" si="1"/>
        <v>0.625</v>
      </c>
      <c r="AJ76" s="125"/>
      <c r="AK76" s="671"/>
      <c r="AL76" s="143"/>
      <c r="AM76" s="143"/>
      <c r="AN76" s="143"/>
      <c r="AO76" s="143"/>
      <c r="AP76" s="143"/>
      <c r="AQ76" s="143"/>
      <c r="AR76" s="143"/>
      <c r="AS76" s="143"/>
      <c r="AT76" s="671"/>
      <c r="AU76" s="670"/>
      <c r="AV76" s="144"/>
    </row>
    <row r="77" spans="1:48" ht="60" customHeight="1" x14ac:dyDescent="0.25">
      <c r="A77" s="632"/>
      <c r="B77" s="663"/>
      <c r="C77" s="634"/>
      <c r="D77" s="647"/>
      <c r="E77" s="622"/>
      <c r="F77" s="622"/>
      <c r="G77" s="622"/>
      <c r="H77" s="630"/>
      <c r="I77" s="630"/>
      <c r="J77" s="625"/>
      <c r="K77" s="252" t="s">
        <v>187</v>
      </c>
      <c r="L77" s="143" t="s">
        <v>188</v>
      </c>
      <c r="M77" s="138">
        <v>15</v>
      </c>
      <c r="N77" s="138">
        <v>13</v>
      </c>
      <c r="O77" s="138"/>
      <c r="P77" s="95"/>
      <c r="Q77" s="139">
        <v>0</v>
      </c>
      <c r="R77" s="139">
        <v>0</v>
      </c>
      <c r="S77" s="139">
        <v>0</v>
      </c>
      <c r="T77" s="132">
        <v>0</v>
      </c>
      <c r="U77" s="274">
        <v>0</v>
      </c>
      <c r="V77" s="290">
        <v>0</v>
      </c>
      <c r="W77" s="300">
        <v>0</v>
      </c>
      <c r="X77" s="300">
        <v>0</v>
      </c>
      <c r="Y77" s="300">
        <v>0</v>
      </c>
      <c r="Z77" s="441">
        <v>0</v>
      </c>
      <c r="AA77" s="125">
        <v>0</v>
      </c>
      <c r="AB77" s="125">
        <v>0</v>
      </c>
      <c r="AC77" s="125"/>
      <c r="AD77" s="125"/>
      <c r="AE77" s="683"/>
      <c r="AF77" s="141">
        <f>+S77+T77</f>
        <v>0</v>
      </c>
      <c r="AG77" s="125"/>
      <c r="AH77" s="314">
        <v>0</v>
      </c>
      <c r="AI77" s="598">
        <f t="shared" si="1"/>
        <v>0</v>
      </c>
      <c r="AJ77" s="125"/>
      <c r="AK77" s="671"/>
      <c r="AL77" s="143"/>
      <c r="AM77" s="143"/>
      <c r="AN77" s="143"/>
      <c r="AO77" s="143"/>
      <c r="AP77" s="143"/>
      <c r="AQ77" s="143"/>
      <c r="AR77" s="143"/>
      <c r="AS77" s="143"/>
      <c r="AT77" s="671"/>
      <c r="AU77" s="670"/>
      <c r="AV77" s="144"/>
    </row>
    <row r="78" spans="1:48" ht="60" customHeight="1" x14ac:dyDescent="0.25">
      <c r="A78" s="632"/>
      <c r="B78" s="663"/>
      <c r="C78" s="634"/>
      <c r="D78" s="647"/>
      <c r="E78" s="622"/>
      <c r="F78" s="622"/>
      <c r="G78" s="622"/>
      <c r="H78" s="630"/>
      <c r="I78" s="630"/>
      <c r="J78" s="625"/>
      <c r="K78" s="253" t="s">
        <v>196</v>
      </c>
      <c r="L78" s="172" t="s">
        <v>197</v>
      </c>
      <c r="M78" s="138">
        <v>84</v>
      </c>
      <c r="N78" s="138">
        <v>0</v>
      </c>
      <c r="O78" s="138"/>
      <c r="P78" s="95"/>
      <c r="Q78" s="139">
        <v>0</v>
      </c>
      <c r="R78" s="139">
        <v>54</v>
      </c>
      <c r="S78" s="139">
        <v>28</v>
      </c>
      <c r="T78" s="132">
        <v>4</v>
      </c>
      <c r="U78" s="274">
        <v>7</v>
      </c>
      <c r="V78" s="290">
        <v>0</v>
      </c>
      <c r="W78" s="125">
        <v>0</v>
      </c>
      <c r="X78" s="125">
        <v>0</v>
      </c>
      <c r="Y78" s="125">
        <v>40</v>
      </c>
      <c r="Z78" s="441">
        <v>102</v>
      </c>
      <c r="AA78" s="125"/>
      <c r="AB78" s="125"/>
      <c r="AC78" s="125"/>
      <c r="AD78" s="125"/>
      <c r="AE78" s="683"/>
      <c r="AF78" s="141">
        <f>+Z78</f>
        <v>102</v>
      </c>
      <c r="AG78" s="125"/>
      <c r="AH78" s="314">
        <v>1</v>
      </c>
      <c r="AI78" s="598">
        <f t="shared" si="1"/>
        <v>1</v>
      </c>
      <c r="AJ78" s="125"/>
      <c r="AK78" s="620"/>
      <c r="AL78" s="143"/>
      <c r="AM78" s="143"/>
      <c r="AN78" s="143"/>
      <c r="AO78" s="143"/>
      <c r="AP78" s="143"/>
      <c r="AQ78" s="143"/>
      <c r="AR78" s="143"/>
      <c r="AS78" s="143"/>
      <c r="AT78" s="620"/>
      <c r="AU78" s="618"/>
      <c r="AV78" s="144"/>
    </row>
    <row r="79" spans="1:48" ht="60" customHeight="1" x14ac:dyDescent="0.25">
      <c r="A79" s="632"/>
      <c r="B79" s="663"/>
      <c r="C79" s="634"/>
      <c r="D79" s="647"/>
      <c r="E79" s="622"/>
      <c r="F79" s="622"/>
      <c r="G79" s="622"/>
      <c r="H79" s="630"/>
      <c r="I79" s="630"/>
      <c r="J79" s="625"/>
      <c r="K79" s="253"/>
      <c r="M79" s="105"/>
      <c r="N79" s="138"/>
      <c r="O79" s="138"/>
      <c r="P79" s="95"/>
      <c r="Q79" s="125"/>
      <c r="R79" s="125"/>
      <c r="S79" s="125"/>
      <c r="T79" s="125"/>
      <c r="U79" s="274"/>
      <c r="V79" s="290"/>
      <c r="W79" s="125"/>
      <c r="X79" s="125"/>
      <c r="Y79" s="125"/>
      <c r="Z79" s="125"/>
      <c r="AA79" s="125"/>
      <c r="AB79" s="125"/>
      <c r="AC79" s="125"/>
      <c r="AD79" s="125"/>
      <c r="AE79" s="683"/>
      <c r="AF79" s="141"/>
      <c r="AG79" s="125"/>
      <c r="AH79" s="150">
        <f>AVERAGE(AH75:AH78)</f>
        <v>0.65625</v>
      </c>
      <c r="AI79" s="598">
        <f t="shared" si="1"/>
        <v>0.65625</v>
      </c>
      <c r="AJ79" s="125"/>
      <c r="AK79" s="143"/>
      <c r="AL79" s="143"/>
      <c r="AM79" s="143"/>
      <c r="AN79" s="143"/>
      <c r="AO79" s="143"/>
      <c r="AP79" s="143"/>
      <c r="AQ79" s="143"/>
      <c r="AR79" s="143"/>
      <c r="AS79" s="143"/>
      <c r="AT79" s="143"/>
      <c r="AU79" s="143"/>
      <c r="AV79" s="144"/>
    </row>
    <row r="80" spans="1:48" ht="60" customHeight="1" x14ac:dyDescent="0.25">
      <c r="A80" s="632"/>
      <c r="B80" s="663"/>
      <c r="C80" s="634"/>
      <c r="D80" s="647"/>
      <c r="E80" s="622"/>
      <c r="F80" s="622"/>
      <c r="G80" s="622"/>
      <c r="H80" s="630"/>
      <c r="I80" s="630"/>
      <c r="J80" s="625" t="s">
        <v>190</v>
      </c>
      <c r="K80" s="253" t="s">
        <v>1894</v>
      </c>
      <c r="L80" s="172" t="s">
        <v>189</v>
      </c>
      <c r="M80" s="173">
        <v>28</v>
      </c>
      <c r="N80" s="173">
        <v>16</v>
      </c>
      <c r="Q80" s="174">
        <v>2</v>
      </c>
      <c r="R80" s="174">
        <v>17</v>
      </c>
      <c r="S80" s="174">
        <v>1</v>
      </c>
      <c r="T80" s="132">
        <v>0</v>
      </c>
      <c r="U80" s="274">
        <v>0</v>
      </c>
      <c r="V80" s="290">
        <v>0</v>
      </c>
      <c r="W80" s="300">
        <v>0</v>
      </c>
      <c r="X80" s="300">
        <v>0</v>
      </c>
      <c r="Y80" s="300">
        <v>0</v>
      </c>
      <c r="Z80" s="439">
        <v>0</v>
      </c>
      <c r="AA80" s="125">
        <v>0</v>
      </c>
      <c r="AB80" s="125">
        <v>0</v>
      </c>
      <c r="AC80" s="125"/>
      <c r="AD80" s="125"/>
      <c r="AE80" s="683"/>
      <c r="AF80" s="141">
        <f>+R80</f>
        <v>17</v>
      </c>
      <c r="AG80" s="125"/>
      <c r="AH80" s="314">
        <f>+AF80/M80</f>
        <v>0.6071428571428571</v>
      </c>
      <c r="AI80" s="598">
        <f t="shared" si="1"/>
        <v>0.6071428571428571</v>
      </c>
      <c r="AJ80" s="125"/>
      <c r="AK80" s="678">
        <v>0</v>
      </c>
      <c r="AL80" s="143"/>
      <c r="AM80" s="143"/>
      <c r="AN80" s="143"/>
      <c r="AO80" s="143"/>
      <c r="AP80" s="143"/>
      <c r="AQ80" s="143"/>
      <c r="AR80" s="143"/>
      <c r="AS80" s="143"/>
      <c r="AT80" s="678">
        <v>0</v>
      </c>
      <c r="AU80" s="617">
        <v>0</v>
      </c>
      <c r="AV80" s="144"/>
    </row>
    <row r="81" spans="1:54" ht="60" customHeight="1" x14ac:dyDescent="0.25">
      <c r="A81" s="632"/>
      <c r="B81" s="663"/>
      <c r="C81" s="634"/>
      <c r="D81" s="647"/>
      <c r="E81" s="622"/>
      <c r="F81" s="622"/>
      <c r="G81" s="622"/>
      <c r="H81" s="630"/>
      <c r="I81" s="630"/>
      <c r="J81" s="625"/>
      <c r="K81" s="254"/>
      <c r="L81" s="143"/>
      <c r="M81" s="105"/>
      <c r="N81" s="132"/>
      <c r="O81" s="132"/>
      <c r="P81" s="125"/>
      <c r="Q81" s="125"/>
      <c r="R81" s="125"/>
      <c r="S81" s="125"/>
      <c r="T81" s="125"/>
      <c r="U81" s="274"/>
      <c r="V81" s="290"/>
      <c r="W81" s="125"/>
      <c r="X81" s="125"/>
      <c r="Y81" s="125"/>
      <c r="Z81" s="125"/>
      <c r="AA81" s="125"/>
      <c r="AB81" s="125"/>
      <c r="AC81" s="125"/>
      <c r="AD81" s="125"/>
      <c r="AE81" s="683"/>
      <c r="AF81" s="141"/>
      <c r="AG81" s="125"/>
      <c r="AH81" s="150">
        <f>+AH80</f>
        <v>0.6071428571428571</v>
      </c>
      <c r="AI81" s="598">
        <f t="shared" si="1"/>
        <v>0.6071428571428571</v>
      </c>
      <c r="AJ81" s="125"/>
      <c r="AK81" s="680"/>
      <c r="AL81" s="143"/>
      <c r="AM81" s="143"/>
      <c r="AN81" s="143"/>
      <c r="AO81" s="143"/>
      <c r="AP81" s="143"/>
      <c r="AQ81" s="143"/>
      <c r="AR81" s="143"/>
      <c r="AS81" s="143"/>
      <c r="AT81" s="680"/>
      <c r="AU81" s="618"/>
      <c r="AV81" s="144"/>
      <c r="BB81" s="157"/>
    </row>
    <row r="82" spans="1:54" ht="45" customHeight="1" x14ac:dyDescent="0.25">
      <c r="A82" s="632"/>
      <c r="B82" s="663"/>
      <c r="C82" s="634"/>
      <c r="D82" s="647"/>
      <c r="E82" s="622"/>
      <c r="F82" s="622"/>
      <c r="G82" s="622"/>
      <c r="H82" s="630"/>
      <c r="I82" s="630"/>
      <c r="J82" s="625" t="s">
        <v>193</v>
      </c>
      <c r="K82" s="252" t="s">
        <v>194</v>
      </c>
      <c r="L82" s="143" t="s">
        <v>195</v>
      </c>
      <c r="M82" s="132">
        <v>80</v>
      </c>
      <c r="N82" s="132">
        <v>0</v>
      </c>
      <c r="O82" s="132"/>
      <c r="P82" s="125"/>
      <c r="Q82" s="139">
        <v>0</v>
      </c>
      <c r="R82" s="139">
        <v>30</v>
      </c>
      <c r="S82" s="139">
        <v>28</v>
      </c>
      <c r="T82" s="175">
        <v>0</v>
      </c>
      <c r="U82" s="274">
        <v>0</v>
      </c>
      <c r="V82" s="295"/>
      <c r="W82" s="125"/>
      <c r="X82" s="125"/>
      <c r="Y82" s="125"/>
      <c r="Z82" s="441">
        <v>28</v>
      </c>
      <c r="AA82" s="125"/>
      <c r="AB82" s="125"/>
      <c r="AC82" s="125"/>
      <c r="AD82" s="125"/>
      <c r="AE82" s="683"/>
      <c r="AF82" s="141">
        <f>+S82+R82+T82+Z82</f>
        <v>86</v>
      </c>
      <c r="AG82" s="125"/>
      <c r="AH82" s="102">
        <v>1</v>
      </c>
      <c r="AI82" s="598">
        <f t="shared" si="1"/>
        <v>1</v>
      </c>
      <c r="AJ82" s="125"/>
      <c r="AK82" s="619">
        <v>8736932294</v>
      </c>
      <c r="AL82" s="148"/>
      <c r="AM82" s="148"/>
      <c r="AN82" s="148"/>
      <c r="AO82" s="148"/>
      <c r="AP82" s="148"/>
      <c r="AQ82" s="148"/>
      <c r="AR82" s="148"/>
      <c r="AS82" s="148"/>
      <c r="AT82" s="619">
        <v>7401498742</v>
      </c>
      <c r="AU82" s="672">
        <f>+AT82/AK82</f>
        <v>0.84715074959238323</v>
      </c>
      <c r="AV82" s="144"/>
    </row>
    <row r="83" spans="1:54" ht="45" x14ac:dyDescent="0.25">
      <c r="A83" s="632"/>
      <c r="B83" s="663"/>
      <c r="C83" s="634"/>
      <c r="D83" s="647"/>
      <c r="E83" s="622"/>
      <c r="F83" s="622"/>
      <c r="G83" s="622"/>
      <c r="H83" s="630"/>
      <c r="I83" s="630"/>
      <c r="J83" s="625"/>
      <c r="K83" s="253" t="s">
        <v>191</v>
      </c>
      <c r="L83" s="143" t="s">
        <v>192</v>
      </c>
      <c r="M83" s="132">
        <v>12503</v>
      </c>
      <c r="N83" s="132">
        <v>8503</v>
      </c>
      <c r="O83" s="132"/>
      <c r="P83" s="125"/>
      <c r="Q83" s="139">
        <v>0</v>
      </c>
      <c r="R83" s="139">
        <v>1598</v>
      </c>
      <c r="S83" s="132">
        <v>436</v>
      </c>
      <c r="T83" s="132">
        <v>408</v>
      </c>
      <c r="U83" s="274">
        <v>232</v>
      </c>
      <c r="V83" s="290">
        <v>0</v>
      </c>
      <c r="W83" s="300">
        <v>858</v>
      </c>
      <c r="X83" s="300">
        <v>0</v>
      </c>
      <c r="Y83" s="300">
        <v>42</v>
      </c>
      <c r="Z83" s="441">
        <v>0</v>
      </c>
      <c r="AA83" s="125"/>
      <c r="AB83" s="125">
        <v>568</v>
      </c>
      <c r="AC83" s="125"/>
      <c r="AD83" s="125"/>
      <c r="AE83" s="684"/>
      <c r="AF83" s="141">
        <f>+S83+T83+R83+U83+W83+X83+Y83+AB83</f>
        <v>4142</v>
      </c>
      <c r="AG83" s="125"/>
      <c r="AH83" s="102">
        <v>1</v>
      </c>
      <c r="AI83" s="598">
        <f t="shared" si="1"/>
        <v>1</v>
      </c>
      <c r="AJ83" s="125"/>
      <c r="AK83" s="620"/>
      <c r="AL83" s="148"/>
      <c r="AM83" s="148"/>
      <c r="AN83" s="148"/>
      <c r="AO83" s="148"/>
      <c r="AP83" s="148"/>
      <c r="AQ83" s="148"/>
      <c r="AR83" s="148"/>
      <c r="AS83" s="148"/>
      <c r="AT83" s="620"/>
      <c r="AU83" s="674"/>
      <c r="AV83" s="144"/>
    </row>
    <row r="84" spans="1:54" ht="52.5" customHeight="1" x14ac:dyDescent="0.25">
      <c r="A84" s="632"/>
      <c r="B84" s="663"/>
      <c r="C84" s="634"/>
      <c r="D84" s="647"/>
      <c r="E84" s="622"/>
      <c r="F84" s="622"/>
      <c r="G84" s="622"/>
      <c r="H84" s="630"/>
      <c r="I84" s="630"/>
      <c r="J84" s="625"/>
      <c r="K84" s="254"/>
      <c r="L84" s="143"/>
      <c r="M84" s="105"/>
      <c r="N84" s="132"/>
      <c r="O84" s="132"/>
      <c r="P84" s="125"/>
      <c r="Q84" s="125"/>
      <c r="R84" s="125"/>
      <c r="S84" s="125"/>
      <c r="T84" s="125"/>
      <c r="U84" s="274"/>
      <c r="V84" s="290"/>
      <c r="W84" s="125"/>
      <c r="X84" s="125"/>
      <c r="Y84" s="125"/>
      <c r="Z84" s="125"/>
      <c r="AA84" s="125"/>
      <c r="AB84" s="125"/>
      <c r="AC84" s="125"/>
      <c r="AD84" s="125"/>
      <c r="AE84" s="290"/>
      <c r="AF84" s="141"/>
      <c r="AG84" s="125"/>
      <c r="AH84" s="150">
        <f>AVERAGE(AH82:AH83)</f>
        <v>1</v>
      </c>
      <c r="AI84" s="598">
        <f t="shared" si="1"/>
        <v>1</v>
      </c>
      <c r="AJ84" s="125"/>
      <c r="AK84" s="143"/>
      <c r="AL84" s="143"/>
      <c r="AM84" s="143"/>
      <c r="AN84" s="143"/>
      <c r="AO84" s="143"/>
      <c r="AP84" s="143"/>
      <c r="AQ84" s="143"/>
      <c r="AR84" s="143"/>
      <c r="AS84" s="143"/>
      <c r="AT84" s="143"/>
      <c r="AU84" s="143"/>
      <c r="AV84" s="144"/>
    </row>
    <row r="85" spans="1:54" ht="52.5" customHeight="1" x14ac:dyDescent="0.25">
      <c r="A85" s="632"/>
      <c r="B85" s="663"/>
      <c r="C85" s="634"/>
      <c r="D85" s="647"/>
      <c r="E85" s="622"/>
      <c r="F85" s="132"/>
      <c r="G85" s="132"/>
      <c r="H85" s="107"/>
      <c r="I85" s="107"/>
      <c r="J85" s="132"/>
      <c r="K85" s="143"/>
      <c r="L85" s="143"/>
      <c r="M85" s="105"/>
      <c r="N85" s="132"/>
      <c r="O85" s="132"/>
      <c r="P85" s="125"/>
      <c r="Q85" s="125"/>
      <c r="R85" s="125"/>
      <c r="S85" s="125"/>
      <c r="T85" s="125"/>
      <c r="U85" s="274"/>
      <c r="V85" s="290"/>
      <c r="W85" s="125"/>
      <c r="X85" s="125"/>
      <c r="Y85" s="125"/>
      <c r="Z85" s="125"/>
      <c r="AA85" s="125"/>
      <c r="AB85" s="125"/>
      <c r="AC85" s="125"/>
      <c r="AD85" s="125"/>
      <c r="AE85" s="290"/>
      <c r="AF85" s="141"/>
      <c r="AG85" s="125"/>
      <c r="AH85" s="160">
        <f>+(AH79+AH81+AH84)/3</f>
        <v>0.7544642857142857</v>
      </c>
      <c r="AI85" s="598">
        <f t="shared" si="1"/>
        <v>0.7544642857142857</v>
      </c>
      <c r="AJ85" s="125"/>
      <c r="AK85" s="143"/>
      <c r="AL85" s="143"/>
      <c r="AM85" s="143"/>
      <c r="AN85" s="143"/>
      <c r="AO85" s="143"/>
      <c r="AP85" s="143"/>
      <c r="AQ85" s="143"/>
      <c r="AR85" s="143"/>
      <c r="AS85" s="143"/>
      <c r="AT85" s="143"/>
      <c r="AU85" s="143"/>
      <c r="AV85" s="144"/>
    </row>
    <row r="86" spans="1:54" ht="98.25" customHeight="1" x14ac:dyDescent="0.25">
      <c r="A86" s="632"/>
      <c r="B86" s="663"/>
      <c r="C86" s="634"/>
      <c r="D86" s="647"/>
      <c r="E86" s="622" t="s">
        <v>198</v>
      </c>
      <c r="F86" s="622" t="s">
        <v>199</v>
      </c>
      <c r="G86" s="622" t="s">
        <v>200</v>
      </c>
      <c r="H86" s="630">
        <v>0.8</v>
      </c>
      <c r="I86" s="630">
        <v>0</v>
      </c>
      <c r="J86" s="625" t="s">
        <v>201</v>
      </c>
      <c r="K86" s="252" t="s">
        <v>202</v>
      </c>
      <c r="L86" s="143" t="s">
        <v>203</v>
      </c>
      <c r="M86" s="132">
        <v>500</v>
      </c>
      <c r="N86" s="132">
        <v>0</v>
      </c>
      <c r="O86" s="132"/>
      <c r="P86" s="125"/>
      <c r="Q86" s="139">
        <v>0</v>
      </c>
      <c r="R86" s="139">
        <v>0</v>
      </c>
      <c r="S86" s="132">
        <v>0</v>
      </c>
      <c r="T86" s="132">
        <v>0</v>
      </c>
      <c r="U86" s="274">
        <v>0</v>
      </c>
      <c r="V86" s="290">
        <v>0</v>
      </c>
      <c r="W86" s="300">
        <v>0</v>
      </c>
      <c r="X86" s="300">
        <v>0</v>
      </c>
      <c r="Y86" s="300">
        <v>0</v>
      </c>
      <c r="Z86" s="441">
        <v>0</v>
      </c>
      <c r="AA86" s="125"/>
      <c r="AB86" s="125">
        <v>50</v>
      </c>
      <c r="AC86" s="125"/>
      <c r="AD86" s="125"/>
      <c r="AE86" s="693" t="s">
        <v>956</v>
      </c>
      <c r="AF86" s="141">
        <f>+AB86</f>
        <v>50</v>
      </c>
      <c r="AG86" s="125"/>
      <c r="AH86" s="314">
        <f>+(AF86/M86)</f>
        <v>0.1</v>
      </c>
      <c r="AI86" s="598">
        <f t="shared" si="1"/>
        <v>0.1</v>
      </c>
      <c r="AJ86" s="125"/>
      <c r="AK86" s="678">
        <v>0</v>
      </c>
      <c r="AL86" s="143"/>
      <c r="AM86" s="143"/>
      <c r="AN86" s="143"/>
      <c r="AO86" s="143"/>
      <c r="AP86" s="143"/>
      <c r="AQ86" s="143"/>
      <c r="AR86" s="143"/>
      <c r="AS86" s="143"/>
      <c r="AT86" s="678">
        <v>0</v>
      </c>
      <c r="AU86" s="617">
        <v>0</v>
      </c>
      <c r="AV86" s="144"/>
    </row>
    <row r="87" spans="1:54" ht="75" customHeight="1" x14ac:dyDescent="0.25">
      <c r="A87" s="632"/>
      <c r="B87" s="663"/>
      <c r="C87" s="634"/>
      <c r="D87" s="647"/>
      <c r="E87" s="622"/>
      <c r="F87" s="622"/>
      <c r="G87" s="622"/>
      <c r="H87" s="630"/>
      <c r="I87" s="630"/>
      <c r="J87" s="625"/>
      <c r="K87" s="252"/>
      <c r="L87" s="143"/>
      <c r="M87" s="105">
        <v>1</v>
      </c>
      <c r="N87" s="132"/>
      <c r="O87" s="132"/>
      <c r="P87" s="125"/>
      <c r="Q87" s="125"/>
      <c r="R87" s="125"/>
      <c r="S87" s="132"/>
      <c r="T87" s="125"/>
      <c r="U87" s="274"/>
      <c r="V87" s="290"/>
      <c r="W87" s="125"/>
      <c r="X87" s="125"/>
      <c r="Y87" s="125"/>
      <c r="Z87" s="125"/>
      <c r="AA87" s="125"/>
      <c r="AB87" s="125"/>
      <c r="AC87" s="125"/>
      <c r="AD87" s="125"/>
      <c r="AE87" s="683"/>
      <c r="AF87" s="141"/>
      <c r="AG87" s="125"/>
      <c r="AH87" s="150">
        <f>+AH86</f>
        <v>0.1</v>
      </c>
      <c r="AI87" s="598">
        <f t="shared" si="1"/>
        <v>0.1</v>
      </c>
      <c r="AJ87" s="125"/>
      <c r="AK87" s="680"/>
      <c r="AL87" s="143"/>
      <c r="AM87" s="143"/>
      <c r="AN87" s="143"/>
      <c r="AO87" s="143"/>
      <c r="AP87" s="143"/>
      <c r="AQ87" s="143"/>
      <c r="AR87" s="143"/>
      <c r="AS87" s="143"/>
      <c r="AT87" s="680"/>
      <c r="AU87" s="618"/>
      <c r="AV87" s="144"/>
    </row>
    <row r="88" spans="1:54" ht="45" customHeight="1" x14ac:dyDescent="0.25">
      <c r="A88" s="632"/>
      <c r="B88" s="663"/>
      <c r="C88" s="634"/>
      <c r="D88" s="647"/>
      <c r="E88" s="622"/>
      <c r="F88" s="622"/>
      <c r="G88" s="622"/>
      <c r="H88" s="630"/>
      <c r="I88" s="630"/>
      <c r="J88" s="625" t="s">
        <v>204</v>
      </c>
      <c r="K88" s="252" t="s">
        <v>205</v>
      </c>
      <c r="L88" s="143" t="s">
        <v>206</v>
      </c>
      <c r="M88" s="132">
        <v>1500</v>
      </c>
      <c r="N88" s="132">
        <v>0</v>
      </c>
      <c r="O88" s="132"/>
      <c r="P88" s="95"/>
      <c r="Q88" s="139">
        <v>0</v>
      </c>
      <c r="R88" s="139">
        <v>83</v>
      </c>
      <c r="S88" s="132">
        <v>0</v>
      </c>
      <c r="T88" s="132">
        <v>40</v>
      </c>
      <c r="U88" s="274">
        <v>0</v>
      </c>
      <c r="V88" s="290">
        <v>0</v>
      </c>
      <c r="W88" s="300">
        <v>0</v>
      </c>
      <c r="X88" s="300">
        <v>0</v>
      </c>
      <c r="Y88" s="300">
        <v>200</v>
      </c>
      <c r="Z88" s="441">
        <v>435</v>
      </c>
      <c r="AA88" s="575">
        <v>105</v>
      </c>
      <c r="AB88" s="575">
        <v>0</v>
      </c>
      <c r="AC88" s="125"/>
      <c r="AD88" s="125"/>
      <c r="AE88" s="683"/>
      <c r="AF88" s="141">
        <f>+R88+S88+T88+W88+X88+Y88+Z88+AA88</f>
        <v>863</v>
      </c>
      <c r="AG88" s="125"/>
      <c r="AH88" s="314">
        <f>+(AF88/M88)</f>
        <v>0.57533333333333336</v>
      </c>
      <c r="AI88" s="598">
        <f t="shared" si="1"/>
        <v>0.57533333333333336</v>
      </c>
      <c r="AJ88" s="125"/>
      <c r="AK88" s="678">
        <v>0</v>
      </c>
      <c r="AL88" s="143"/>
      <c r="AM88" s="143"/>
      <c r="AN88" s="143"/>
      <c r="AO88" s="143"/>
      <c r="AP88" s="143"/>
      <c r="AQ88" s="143"/>
      <c r="AR88" s="143"/>
      <c r="AS88" s="143"/>
      <c r="AT88" s="678">
        <v>0</v>
      </c>
      <c r="AU88" s="694">
        <v>0</v>
      </c>
      <c r="AV88" s="144"/>
    </row>
    <row r="89" spans="1:54" ht="45" customHeight="1" x14ac:dyDescent="0.25">
      <c r="A89" s="632"/>
      <c r="B89" s="663"/>
      <c r="C89" s="634"/>
      <c r="D89" s="647"/>
      <c r="E89" s="622"/>
      <c r="F89" s="622"/>
      <c r="G89" s="622"/>
      <c r="H89" s="630"/>
      <c r="I89" s="630"/>
      <c r="J89" s="625"/>
      <c r="K89" s="252" t="s">
        <v>207</v>
      </c>
      <c r="L89" s="143" t="s">
        <v>208</v>
      </c>
      <c r="M89" s="132">
        <v>104</v>
      </c>
      <c r="N89" s="132">
        <v>0</v>
      </c>
      <c r="O89" s="132"/>
      <c r="P89" s="95"/>
      <c r="Q89" s="139">
        <v>0</v>
      </c>
      <c r="R89" s="139">
        <v>42</v>
      </c>
      <c r="S89" s="132">
        <v>0</v>
      </c>
      <c r="T89" s="132">
        <v>3</v>
      </c>
      <c r="U89" s="274">
        <v>14</v>
      </c>
      <c r="V89" s="290">
        <v>0</v>
      </c>
      <c r="W89" s="300">
        <v>0</v>
      </c>
      <c r="X89" s="300">
        <v>0</v>
      </c>
      <c r="Y89" s="300">
        <v>7</v>
      </c>
      <c r="Z89" s="441">
        <v>13</v>
      </c>
      <c r="AA89" s="575">
        <v>24</v>
      </c>
      <c r="AB89" s="575"/>
      <c r="AC89" s="125"/>
      <c r="AD89" s="125"/>
      <c r="AE89" s="683"/>
      <c r="AF89" s="141">
        <f>+R89+S89+T89+U89+W89+X89+Y89+Z89+AA89</f>
        <v>103</v>
      </c>
      <c r="AG89" s="125"/>
      <c r="AH89" s="314">
        <f>+(AF89/M89)</f>
        <v>0.99038461538461542</v>
      </c>
      <c r="AI89" s="598">
        <f t="shared" si="1"/>
        <v>0.99038461538461542</v>
      </c>
      <c r="AJ89" s="125"/>
      <c r="AK89" s="679"/>
      <c r="AL89" s="143"/>
      <c r="AM89" s="143"/>
      <c r="AN89" s="143"/>
      <c r="AO89" s="143"/>
      <c r="AP89" s="143"/>
      <c r="AQ89" s="143"/>
      <c r="AR89" s="143"/>
      <c r="AS89" s="143"/>
      <c r="AT89" s="679"/>
      <c r="AU89" s="695"/>
      <c r="AV89" s="144"/>
    </row>
    <row r="90" spans="1:54" ht="45" customHeight="1" x14ac:dyDescent="0.25">
      <c r="A90" s="632"/>
      <c r="B90" s="663"/>
      <c r="C90" s="634"/>
      <c r="D90" s="647"/>
      <c r="E90" s="622"/>
      <c r="F90" s="622"/>
      <c r="G90" s="622"/>
      <c r="H90" s="630"/>
      <c r="I90" s="630"/>
      <c r="J90" s="625"/>
      <c r="K90" s="252"/>
      <c r="L90" s="143"/>
      <c r="M90" s="105"/>
      <c r="N90" s="132"/>
      <c r="O90" s="132"/>
      <c r="P90" s="95"/>
      <c r="Q90" s="125"/>
      <c r="R90" s="125"/>
      <c r="S90" s="125"/>
      <c r="T90" s="125"/>
      <c r="U90" s="274"/>
      <c r="V90" s="290"/>
      <c r="W90" s="125"/>
      <c r="X90" s="125"/>
      <c r="Y90" s="125"/>
      <c r="Z90" s="125"/>
      <c r="AA90" s="125"/>
      <c r="AB90" s="125"/>
      <c r="AC90" s="125"/>
      <c r="AD90" s="125"/>
      <c r="AE90" s="684"/>
      <c r="AF90" s="141"/>
      <c r="AG90" s="125"/>
      <c r="AH90" s="150">
        <f>AVERAGE(AH88:AH89)</f>
        <v>0.78285897435897445</v>
      </c>
      <c r="AI90" s="598">
        <f t="shared" si="1"/>
        <v>0.78285897435897445</v>
      </c>
      <c r="AJ90" s="125"/>
      <c r="AK90" s="680"/>
      <c r="AL90" s="143"/>
      <c r="AM90" s="143"/>
      <c r="AN90" s="143"/>
      <c r="AO90" s="143"/>
      <c r="AP90" s="143"/>
      <c r="AQ90" s="143"/>
      <c r="AR90" s="143"/>
      <c r="AS90" s="143"/>
      <c r="AT90" s="680"/>
      <c r="AU90" s="696"/>
      <c r="AV90" s="144"/>
    </row>
    <row r="91" spans="1:54" ht="45" customHeight="1" x14ac:dyDescent="0.25">
      <c r="A91" s="632"/>
      <c r="B91" s="663"/>
      <c r="C91" s="634"/>
      <c r="D91" s="647"/>
      <c r="E91" s="622"/>
      <c r="F91" s="622"/>
      <c r="G91" s="622"/>
      <c r="H91" s="630"/>
      <c r="I91" s="630"/>
      <c r="J91" s="132"/>
      <c r="K91" s="143"/>
      <c r="L91" s="143"/>
      <c r="M91" s="105"/>
      <c r="N91" s="132"/>
      <c r="O91" s="132"/>
      <c r="P91" s="95"/>
      <c r="Q91" s="125"/>
      <c r="R91" s="125"/>
      <c r="S91" s="125"/>
      <c r="T91" s="125"/>
      <c r="U91" s="274"/>
      <c r="V91" s="290"/>
      <c r="W91" s="125"/>
      <c r="X91" s="125"/>
      <c r="Y91" s="125"/>
      <c r="Z91" s="125"/>
      <c r="AA91" s="125"/>
      <c r="AB91" s="125"/>
      <c r="AC91" s="125"/>
      <c r="AD91" s="125"/>
      <c r="AE91" s="290"/>
      <c r="AF91" s="141"/>
      <c r="AG91" s="125"/>
      <c r="AH91" s="171">
        <f>+(AH87+AH90)/2</f>
        <v>0.44142948717948721</v>
      </c>
      <c r="AI91" s="598">
        <f t="shared" si="1"/>
        <v>0.44142948717948721</v>
      </c>
      <c r="AJ91" s="125"/>
      <c r="AK91" s="143"/>
      <c r="AL91" s="143"/>
      <c r="AM91" s="143"/>
      <c r="AN91" s="143"/>
      <c r="AO91" s="143"/>
      <c r="AP91" s="143"/>
      <c r="AQ91" s="143"/>
      <c r="AR91" s="143"/>
      <c r="AS91" s="143"/>
      <c r="AT91" s="143"/>
      <c r="AU91" s="143"/>
      <c r="AV91" s="144"/>
    </row>
    <row r="92" spans="1:54" ht="45" customHeight="1" x14ac:dyDescent="0.25">
      <c r="A92" s="632"/>
      <c r="B92" s="663"/>
      <c r="C92" s="634"/>
      <c r="D92" s="647"/>
      <c r="E92" s="132"/>
      <c r="F92" s="125"/>
      <c r="G92" s="132"/>
      <c r="H92" s="107"/>
      <c r="I92" s="107"/>
      <c r="J92" s="132"/>
      <c r="K92" s="143"/>
      <c r="L92" s="143"/>
      <c r="M92" s="105"/>
      <c r="N92" s="132"/>
      <c r="O92" s="132"/>
      <c r="P92" s="95"/>
      <c r="Q92" s="125"/>
      <c r="R92" s="125"/>
      <c r="S92" s="125"/>
      <c r="T92" s="125"/>
      <c r="U92" s="274"/>
      <c r="V92" s="290"/>
      <c r="W92" s="125"/>
      <c r="X92" s="125"/>
      <c r="Y92" s="125"/>
      <c r="Z92" s="125"/>
      <c r="AA92" s="125"/>
      <c r="AB92" s="125"/>
      <c r="AC92" s="125"/>
      <c r="AD92" s="125"/>
      <c r="AE92" s="290"/>
      <c r="AF92" s="141"/>
      <c r="AG92" s="125"/>
      <c r="AH92" s="324">
        <f>+(AH25+AH62+AH74+AH85+AH91)/5</f>
        <v>0.73270551825520214</v>
      </c>
      <c r="AI92" s="598">
        <f t="shared" si="1"/>
        <v>0.73270551825520214</v>
      </c>
      <c r="AJ92" s="125"/>
      <c r="AK92" s="143"/>
      <c r="AL92" s="143"/>
      <c r="AM92" s="143"/>
      <c r="AN92" s="143"/>
      <c r="AO92" s="143"/>
      <c r="AP92" s="143"/>
      <c r="AQ92" s="143"/>
      <c r="AR92" s="143"/>
      <c r="AS92" s="143"/>
      <c r="AT92" s="143"/>
      <c r="AU92" s="143"/>
      <c r="AV92" s="144"/>
    </row>
    <row r="93" spans="1:54" ht="100.5" customHeight="1" x14ac:dyDescent="0.25">
      <c r="A93" s="632"/>
      <c r="B93" s="663"/>
      <c r="C93" s="634"/>
      <c r="D93" s="704" t="s">
        <v>209</v>
      </c>
      <c r="E93" s="622" t="s">
        <v>210</v>
      </c>
      <c r="F93" s="125" t="s">
        <v>211</v>
      </c>
      <c r="G93" s="125" t="s">
        <v>212</v>
      </c>
      <c r="H93" s="107">
        <v>1</v>
      </c>
      <c r="I93" s="107">
        <v>0.98</v>
      </c>
      <c r="J93" s="622" t="s">
        <v>217</v>
      </c>
      <c r="K93" s="143" t="s">
        <v>215</v>
      </c>
      <c r="L93" s="143" t="s">
        <v>218</v>
      </c>
      <c r="M93" s="164">
        <v>503921</v>
      </c>
      <c r="N93" s="164">
        <v>503921</v>
      </c>
      <c r="O93" s="164"/>
      <c r="P93" s="95"/>
      <c r="Q93" s="176">
        <v>503921</v>
      </c>
      <c r="R93" s="176">
        <v>503921</v>
      </c>
      <c r="S93" s="132">
        <v>504424</v>
      </c>
      <c r="T93" s="132">
        <v>518015</v>
      </c>
      <c r="U93" s="274">
        <f>+T93</f>
        <v>518015</v>
      </c>
      <c r="V93" s="298">
        <v>504424</v>
      </c>
      <c r="W93" s="307">
        <v>529877</v>
      </c>
      <c r="X93" s="307">
        <v>529877</v>
      </c>
      <c r="Y93" s="307">
        <v>544983</v>
      </c>
      <c r="Z93" s="132">
        <v>541578</v>
      </c>
      <c r="AA93" s="132">
        <v>503922</v>
      </c>
      <c r="AB93" s="132">
        <v>547662</v>
      </c>
      <c r="AC93" s="132"/>
      <c r="AD93" s="132"/>
      <c r="AE93" s="292">
        <v>1</v>
      </c>
      <c r="AF93" s="299">
        <f>+AB93</f>
        <v>547662</v>
      </c>
      <c r="AG93" s="125"/>
      <c r="AH93" s="102">
        <v>1</v>
      </c>
      <c r="AI93" s="598">
        <f t="shared" si="1"/>
        <v>1</v>
      </c>
      <c r="AJ93" s="125"/>
      <c r="AK93" s="619">
        <v>405430187402</v>
      </c>
      <c r="AL93" s="143"/>
      <c r="AM93" s="143"/>
      <c r="AN93" s="143"/>
      <c r="AO93" s="143"/>
      <c r="AP93" s="143"/>
      <c r="AQ93" s="143"/>
      <c r="AR93" s="143"/>
      <c r="AS93" s="143"/>
      <c r="AT93" s="619">
        <v>376682592107.58002</v>
      </c>
      <c r="AU93" s="617">
        <f>+AT93/AK93</f>
        <v>0.92909359937247193</v>
      </c>
      <c r="AV93" s="144"/>
    </row>
    <row r="94" spans="1:54" ht="180" customHeight="1" x14ac:dyDescent="0.25">
      <c r="A94" s="632"/>
      <c r="B94" s="663"/>
      <c r="C94" s="634"/>
      <c r="D94" s="705"/>
      <c r="E94" s="622"/>
      <c r="F94" s="622" t="s">
        <v>213</v>
      </c>
      <c r="G94" s="622" t="s">
        <v>214</v>
      </c>
      <c r="H94" s="630">
        <v>1</v>
      </c>
      <c r="I94" s="630">
        <v>0.52</v>
      </c>
      <c r="J94" s="622"/>
      <c r="K94" s="143" t="s">
        <v>216</v>
      </c>
      <c r="L94" s="143" t="s">
        <v>219</v>
      </c>
      <c r="M94" s="164">
        <v>14000</v>
      </c>
      <c r="N94" s="164">
        <v>32218</v>
      </c>
      <c r="O94" s="164"/>
      <c r="P94" s="95"/>
      <c r="Q94" s="176">
        <v>5541</v>
      </c>
      <c r="R94" s="176">
        <v>6500</v>
      </c>
      <c r="S94" s="132">
        <v>3726</v>
      </c>
      <c r="T94" s="132">
        <v>1653</v>
      </c>
      <c r="U94" s="274">
        <v>1809</v>
      </c>
      <c r="V94" s="290">
        <v>3932</v>
      </c>
      <c r="W94" s="307">
        <v>1114</v>
      </c>
      <c r="X94" s="307">
        <f>2775-W94</f>
        <v>1661</v>
      </c>
      <c r="Y94" s="307">
        <v>3606</v>
      </c>
      <c r="Z94" s="132">
        <v>818</v>
      </c>
      <c r="AA94" s="132">
        <v>3609</v>
      </c>
      <c r="AB94" s="132">
        <v>178</v>
      </c>
      <c r="AC94" s="132"/>
      <c r="AD94" s="132"/>
      <c r="AE94" s="291">
        <v>0.39600000000000002</v>
      </c>
      <c r="AF94" s="299">
        <f>+R94+S94+T94+U94+V94+W94+X94+Y94+Z94+AA94+AB94</f>
        <v>28606</v>
      </c>
      <c r="AG94" s="125"/>
      <c r="AH94" s="102">
        <v>1</v>
      </c>
      <c r="AI94" s="598">
        <f t="shared" si="1"/>
        <v>1</v>
      </c>
      <c r="AJ94" s="125"/>
      <c r="AK94" s="671"/>
      <c r="AL94" s="143"/>
      <c r="AM94" s="143"/>
      <c r="AN94" s="143"/>
      <c r="AO94" s="143"/>
      <c r="AP94" s="143"/>
      <c r="AQ94" s="143"/>
      <c r="AR94" s="143"/>
      <c r="AS94" s="143"/>
      <c r="AT94" s="671"/>
      <c r="AU94" s="670"/>
      <c r="AV94" s="144"/>
    </row>
    <row r="95" spans="1:54" ht="54.75" customHeight="1" x14ac:dyDescent="0.25">
      <c r="A95" s="632"/>
      <c r="B95" s="663"/>
      <c r="C95" s="634"/>
      <c r="D95" s="705"/>
      <c r="E95" s="622"/>
      <c r="F95" s="622"/>
      <c r="G95" s="622"/>
      <c r="H95" s="630"/>
      <c r="I95" s="630"/>
      <c r="J95" s="622"/>
      <c r="K95" s="143"/>
      <c r="L95" s="143"/>
      <c r="M95" s="105">
        <v>1</v>
      </c>
      <c r="N95" s="131"/>
      <c r="O95" s="131"/>
      <c r="P95" s="95"/>
      <c r="Q95" s="125"/>
      <c r="R95" s="125"/>
      <c r="S95" s="125"/>
      <c r="T95" s="125"/>
      <c r="U95" s="274"/>
      <c r="V95" s="290"/>
      <c r="W95" s="308"/>
      <c r="X95" s="308"/>
      <c r="Y95" s="308"/>
      <c r="Z95" s="125"/>
      <c r="AA95" s="125"/>
      <c r="AB95" s="125"/>
      <c r="AC95" s="125"/>
      <c r="AD95" s="125"/>
      <c r="AE95" s="290"/>
      <c r="AF95" s="141"/>
      <c r="AG95" s="125"/>
      <c r="AH95" s="150">
        <f>AVERAGE(AH93:AH94)</f>
        <v>1</v>
      </c>
      <c r="AI95" s="598">
        <f t="shared" si="1"/>
        <v>1</v>
      </c>
      <c r="AJ95" s="125"/>
      <c r="AK95" s="671"/>
      <c r="AL95" s="143"/>
      <c r="AM95" s="143"/>
      <c r="AN95" s="143"/>
      <c r="AO95" s="143"/>
      <c r="AP95" s="143"/>
      <c r="AQ95" s="143"/>
      <c r="AR95" s="143"/>
      <c r="AS95" s="143"/>
      <c r="AT95" s="671"/>
      <c r="AU95" s="670"/>
      <c r="AV95" s="144"/>
    </row>
    <row r="96" spans="1:54" ht="75" customHeight="1" x14ac:dyDescent="0.25">
      <c r="A96" s="632"/>
      <c r="B96" s="663"/>
      <c r="C96" s="634"/>
      <c r="D96" s="705"/>
      <c r="E96" s="622"/>
      <c r="F96" s="646" t="s">
        <v>220</v>
      </c>
      <c r="G96" s="622" t="s">
        <v>231</v>
      </c>
      <c r="H96" s="622">
        <v>10</v>
      </c>
      <c r="I96" s="622">
        <v>11</v>
      </c>
      <c r="J96" s="622" t="s">
        <v>226</v>
      </c>
      <c r="K96" s="125" t="s">
        <v>221</v>
      </c>
      <c r="L96" s="125" t="s">
        <v>222</v>
      </c>
      <c r="M96" s="105">
        <v>25</v>
      </c>
      <c r="N96" s="105">
        <v>25</v>
      </c>
      <c r="O96" s="105"/>
      <c r="P96" s="125"/>
      <c r="Q96" s="132">
        <v>15</v>
      </c>
      <c r="R96" s="132">
        <v>25</v>
      </c>
      <c r="S96" s="177">
        <v>0</v>
      </c>
      <c r="T96" s="125">
        <v>3</v>
      </c>
      <c r="U96" s="274">
        <v>7</v>
      </c>
      <c r="V96" s="290">
        <v>5</v>
      </c>
      <c r="W96" s="307">
        <v>4</v>
      </c>
      <c r="X96" s="307">
        <v>9</v>
      </c>
      <c r="Y96" s="307">
        <v>5</v>
      </c>
      <c r="Z96" s="436">
        <v>5</v>
      </c>
      <c r="AA96" s="575">
        <v>0</v>
      </c>
      <c r="AB96" s="575">
        <v>11</v>
      </c>
      <c r="AC96" s="125"/>
      <c r="AD96" s="125"/>
      <c r="AE96" s="675"/>
      <c r="AF96" s="147">
        <f>+W96+X96+Y96+Z96+AB96</f>
        <v>34</v>
      </c>
      <c r="AG96" s="125"/>
      <c r="AH96" s="102">
        <v>1</v>
      </c>
      <c r="AI96" s="598">
        <f t="shared" si="1"/>
        <v>1</v>
      </c>
      <c r="AJ96" s="125"/>
      <c r="AK96" s="671"/>
      <c r="AL96" s="143"/>
      <c r="AM96" s="143"/>
      <c r="AN96" s="143"/>
      <c r="AO96" s="143"/>
      <c r="AP96" s="143"/>
      <c r="AQ96" s="143"/>
      <c r="AR96" s="143"/>
      <c r="AS96" s="143"/>
      <c r="AT96" s="671"/>
      <c r="AU96" s="670"/>
      <c r="AV96" s="144"/>
    </row>
    <row r="97" spans="1:48" ht="75" customHeight="1" x14ac:dyDescent="0.25">
      <c r="A97" s="632"/>
      <c r="B97" s="663"/>
      <c r="C97" s="634"/>
      <c r="D97" s="705"/>
      <c r="E97" s="622"/>
      <c r="F97" s="646"/>
      <c r="G97" s="622"/>
      <c r="H97" s="622"/>
      <c r="I97" s="622"/>
      <c r="J97" s="622"/>
      <c r="K97" s="125" t="s">
        <v>227</v>
      </c>
      <c r="L97" s="125" t="s">
        <v>228</v>
      </c>
      <c r="M97" s="105">
        <v>18</v>
      </c>
      <c r="N97" s="105">
        <v>18</v>
      </c>
      <c r="O97" s="105"/>
      <c r="P97" s="125"/>
      <c r="Q97" s="132">
        <v>15</v>
      </c>
      <c r="R97" s="132">
        <v>16</v>
      </c>
      <c r="S97" s="178">
        <v>16</v>
      </c>
      <c r="T97" s="132">
        <v>17</v>
      </c>
      <c r="U97" s="274">
        <v>18</v>
      </c>
      <c r="V97" s="290">
        <v>18</v>
      </c>
      <c r="W97" s="307">
        <v>16</v>
      </c>
      <c r="X97" s="307">
        <v>0</v>
      </c>
      <c r="Y97" s="307">
        <v>16</v>
      </c>
      <c r="Z97" s="436">
        <v>2</v>
      </c>
      <c r="AA97" s="575">
        <v>15</v>
      </c>
      <c r="AB97" s="575">
        <v>0</v>
      </c>
      <c r="AC97" s="125"/>
      <c r="AD97" s="125"/>
      <c r="AE97" s="676"/>
      <c r="AF97" s="141">
        <f>+Y97+Z97</f>
        <v>18</v>
      </c>
      <c r="AG97" s="125"/>
      <c r="AH97" s="102">
        <f>+AF97/M97</f>
        <v>1</v>
      </c>
      <c r="AI97" s="598">
        <f t="shared" si="1"/>
        <v>1</v>
      </c>
      <c r="AJ97" s="125"/>
      <c r="AK97" s="671"/>
      <c r="AL97" s="143"/>
      <c r="AM97" s="143"/>
      <c r="AN97" s="143"/>
      <c r="AO97" s="143"/>
      <c r="AP97" s="143"/>
      <c r="AQ97" s="143"/>
      <c r="AR97" s="143"/>
      <c r="AS97" s="143"/>
      <c r="AT97" s="671"/>
      <c r="AU97" s="670"/>
      <c r="AV97" s="144"/>
    </row>
    <row r="98" spans="1:48" ht="90" x14ac:dyDescent="0.25">
      <c r="A98" s="632"/>
      <c r="B98" s="663"/>
      <c r="C98" s="634"/>
      <c r="D98" s="705"/>
      <c r="E98" s="622"/>
      <c r="F98" s="646"/>
      <c r="G98" s="622"/>
      <c r="H98" s="622"/>
      <c r="I98" s="622"/>
      <c r="J98" s="622"/>
      <c r="K98" s="125" t="s">
        <v>229</v>
      </c>
      <c r="L98" s="125" t="s">
        <v>230</v>
      </c>
      <c r="M98" s="105">
        <v>142</v>
      </c>
      <c r="N98" s="105">
        <v>142</v>
      </c>
      <c r="O98" s="105"/>
      <c r="P98" s="125"/>
      <c r="Q98" s="132">
        <v>142</v>
      </c>
      <c r="R98" s="132">
        <v>142</v>
      </c>
      <c r="S98" s="178">
        <v>142</v>
      </c>
      <c r="T98" s="132">
        <v>141</v>
      </c>
      <c r="U98" s="274">
        <v>142</v>
      </c>
      <c r="V98" s="290">
        <v>142</v>
      </c>
      <c r="W98" s="307">
        <v>142</v>
      </c>
      <c r="X98" s="307">
        <v>142</v>
      </c>
      <c r="Y98" s="307">
        <v>142</v>
      </c>
      <c r="Z98" s="436">
        <v>0</v>
      </c>
      <c r="AA98" s="575">
        <v>142</v>
      </c>
      <c r="AB98" s="575">
        <v>0</v>
      </c>
      <c r="AC98" s="125"/>
      <c r="AD98" s="125"/>
      <c r="AE98" s="677"/>
      <c r="AF98" s="147">
        <f>+V98</f>
        <v>142</v>
      </c>
      <c r="AG98" s="125"/>
      <c r="AH98" s="102">
        <f>+(AF98/M98)</f>
        <v>1</v>
      </c>
      <c r="AI98" s="598">
        <f t="shared" si="1"/>
        <v>1</v>
      </c>
      <c r="AJ98" s="125"/>
      <c r="AK98" s="671"/>
      <c r="AL98" s="143"/>
      <c r="AM98" s="143"/>
      <c r="AN98" s="143"/>
      <c r="AO98" s="143"/>
      <c r="AP98" s="143"/>
      <c r="AQ98" s="143"/>
      <c r="AR98" s="143"/>
      <c r="AS98" s="143"/>
      <c r="AT98" s="671"/>
      <c r="AU98" s="670"/>
      <c r="AV98" s="144"/>
    </row>
    <row r="99" spans="1:48" ht="105" customHeight="1" x14ac:dyDescent="0.25">
      <c r="A99" s="632"/>
      <c r="B99" s="663"/>
      <c r="C99" s="634"/>
      <c r="D99" s="705"/>
      <c r="E99" s="622"/>
      <c r="F99" s="622" t="s">
        <v>225</v>
      </c>
      <c r="G99" s="622" t="s">
        <v>232</v>
      </c>
      <c r="H99" s="622">
        <v>2</v>
      </c>
      <c r="I99" s="622">
        <v>2</v>
      </c>
      <c r="J99" s="622"/>
      <c r="K99" s="125" t="s">
        <v>223</v>
      </c>
      <c r="L99" s="125" t="s">
        <v>224</v>
      </c>
      <c r="M99" s="132">
        <v>43</v>
      </c>
      <c r="N99" s="132">
        <v>0</v>
      </c>
      <c r="O99" s="132"/>
      <c r="P99" s="125"/>
      <c r="Q99" s="132">
        <v>3</v>
      </c>
      <c r="R99" s="132">
        <v>25</v>
      </c>
      <c r="S99" s="179">
        <v>2</v>
      </c>
      <c r="T99" s="132">
        <v>3</v>
      </c>
      <c r="U99" s="274">
        <v>7</v>
      </c>
      <c r="V99" s="290">
        <v>10</v>
      </c>
      <c r="W99" s="307">
        <v>4</v>
      </c>
      <c r="X99" s="307">
        <v>16</v>
      </c>
      <c r="Y99" s="307">
        <v>21</v>
      </c>
      <c r="Z99" s="436">
        <v>7</v>
      </c>
      <c r="AA99" s="575">
        <v>0</v>
      </c>
      <c r="AB99" s="575">
        <v>15</v>
      </c>
      <c r="AC99" s="125"/>
      <c r="AD99" s="125"/>
      <c r="AE99" s="290"/>
      <c r="AF99" s="147">
        <f>+W99+X99+Y99+Z99</f>
        <v>48</v>
      </c>
      <c r="AG99" s="125"/>
      <c r="AH99" s="102">
        <v>1</v>
      </c>
      <c r="AI99" s="598">
        <f t="shared" si="1"/>
        <v>1</v>
      </c>
      <c r="AJ99" s="125"/>
      <c r="AK99" s="671"/>
      <c r="AL99" s="143"/>
      <c r="AM99" s="143"/>
      <c r="AN99" s="143"/>
      <c r="AO99" s="143"/>
      <c r="AP99" s="143"/>
      <c r="AQ99" s="143"/>
      <c r="AR99" s="143"/>
      <c r="AS99" s="143"/>
      <c r="AT99" s="671"/>
      <c r="AU99" s="670"/>
      <c r="AV99" s="144"/>
    </row>
    <row r="100" spans="1:48" ht="56.25" customHeight="1" x14ac:dyDescent="0.25">
      <c r="A100" s="632"/>
      <c r="B100" s="663"/>
      <c r="C100" s="634"/>
      <c r="D100" s="705"/>
      <c r="E100" s="622"/>
      <c r="F100" s="622"/>
      <c r="G100" s="622"/>
      <c r="H100" s="622"/>
      <c r="I100" s="622"/>
      <c r="J100" s="622"/>
      <c r="K100" s="125"/>
      <c r="L100" s="125"/>
      <c r="M100" s="105">
        <v>1</v>
      </c>
      <c r="N100" s="132"/>
      <c r="O100" s="132"/>
      <c r="P100" s="125"/>
      <c r="Q100" s="125"/>
      <c r="R100" s="125"/>
      <c r="S100" s="125"/>
      <c r="T100" s="125"/>
      <c r="U100" s="274"/>
      <c r="V100" s="290"/>
      <c r="W100" s="125"/>
      <c r="X100" s="125"/>
      <c r="Y100" s="125"/>
      <c r="Z100" s="125"/>
      <c r="AA100" s="125"/>
      <c r="AB100" s="125"/>
      <c r="AC100" s="125"/>
      <c r="AD100" s="125"/>
      <c r="AE100" s="290"/>
      <c r="AF100" s="141"/>
      <c r="AG100" s="125"/>
      <c r="AH100" s="150">
        <f>AVERAGE(AH96:AH99)</f>
        <v>1</v>
      </c>
      <c r="AI100" s="598">
        <f t="shared" si="1"/>
        <v>1</v>
      </c>
      <c r="AJ100" s="125"/>
      <c r="AK100" s="671"/>
      <c r="AL100" s="143"/>
      <c r="AM100" s="143"/>
      <c r="AN100" s="143"/>
      <c r="AO100" s="143"/>
      <c r="AP100" s="143"/>
      <c r="AQ100" s="143"/>
      <c r="AR100" s="143"/>
      <c r="AS100" s="143"/>
      <c r="AT100" s="671"/>
      <c r="AU100" s="670"/>
      <c r="AV100" s="144"/>
    </row>
    <row r="101" spans="1:48" ht="100.5" customHeight="1" x14ac:dyDescent="0.25">
      <c r="A101" s="632"/>
      <c r="B101" s="663"/>
      <c r="C101" s="634"/>
      <c r="D101" s="705"/>
      <c r="E101" s="622"/>
      <c r="F101" s="622" t="s">
        <v>233</v>
      </c>
      <c r="G101" s="622" t="s">
        <v>234</v>
      </c>
      <c r="H101" s="630">
        <v>0.65</v>
      </c>
      <c r="I101" s="622" t="s">
        <v>127</v>
      </c>
      <c r="J101" s="622" t="s">
        <v>235</v>
      </c>
      <c r="K101" s="125" t="s">
        <v>236</v>
      </c>
      <c r="L101" s="125" t="s">
        <v>237</v>
      </c>
      <c r="M101" s="132">
        <v>2</v>
      </c>
      <c r="N101" s="132">
        <v>0</v>
      </c>
      <c r="O101" s="132"/>
      <c r="P101" s="125"/>
      <c r="Q101" s="132">
        <v>0</v>
      </c>
      <c r="R101" s="132">
        <v>2</v>
      </c>
      <c r="S101" s="132">
        <v>0</v>
      </c>
      <c r="T101" s="132">
        <v>1</v>
      </c>
      <c r="U101" s="274">
        <v>0</v>
      </c>
      <c r="V101" s="290">
        <v>1</v>
      </c>
      <c r="W101" s="308">
        <v>1</v>
      </c>
      <c r="X101" s="308">
        <v>0</v>
      </c>
      <c r="Y101" s="308">
        <v>0</v>
      </c>
      <c r="Z101" s="436">
        <v>1</v>
      </c>
      <c r="AA101" s="125">
        <v>0</v>
      </c>
      <c r="AB101" s="125">
        <v>0</v>
      </c>
      <c r="AC101" s="125"/>
      <c r="AD101" s="125"/>
      <c r="AE101" s="290"/>
      <c r="AF101" s="280">
        <f>+(O101+P101+Q101+R101+S101+T101+U101+V101+W101+X101+Y101+Z101+AA101+AB101+AC101+AD101)/8</f>
        <v>0.75</v>
      </c>
      <c r="AG101" s="125"/>
      <c r="AH101" s="102">
        <f>+AF101</f>
        <v>0.75</v>
      </c>
      <c r="AI101" s="598">
        <f t="shared" si="1"/>
        <v>0.75</v>
      </c>
      <c r="AJ101" s="125"/>
      <c r="AK101" s="671"/>
      <c r="AL101" s="164"/>
      <c r="AM101" s="164"/>
      <c r="AN101" s="164"/>
      <c r="AO101" s="164"/>
      <c r="AP101" s="164"/>
      <c r="AQ101" s="164"/>
      <c r="AR101" s="164"/>
      <c r="AS101" s="164"/>
      <c r="AT101" s="671"/>
      <c r="AU101" s="670"/>
      <c r="AV101" s="144"/>
    </row>
    <row r="102" spans="1:48" ht="100.5" customHeight="1" x14ac:dyDescent="0.25">
      <c r="A102" s="632"/>
      <c r="B102" s="663"/>
      <c r="C102" s="634"/>
      <c r="D102" s="705"/>
      <c r="E102" s="622"/>
      <c r="F102" s="622"/>
      <c r="G102" s="622"/>
      <c r="H102" s="630"/>
      <c r="I102" s="622"/>
      <c r="J102" s="622"/>
      <c r="K102" s="125"/>
      <c r="L102" s="125"/>
      <c r="M102" s="105"/>
      <c r="N102" s="132"/>
      <c r="O102" s="132"/>
      <c r="P102" s="125"/>
      <c r="Q102" s="125"/>
      <c r="R102" s="125"/>
      <c r="S102" s="125"/>
      <c r="T102" s="125"/>
      <c r="U102" s="274"/>
      <c r="V102" s="290"/>
      <c r="W102" s="125"/>
      <c r="X102" s="125"/>
      <c r="Y102" s="125"/>
      <c r="Z102" s="125"/>
      <c r="AA102" s="125"/>
      <c r="AB102" s="125"/>
      <c r="AC102" s="125"/>
      <c r="AD102" s="125"/>
      <c r="AE102" s="290"/>
      <c r="AF102" s="141"/>
      <c r="AG102" s="125"/>
      <c r="AH102" s="150">
        <f>+AH101</f>
        <v>0.75</v>
      </c>
      <c r="AI102" s="598">
        <f t="shared" si="1"/>
        <v>0.75</v>
      </c>
      <c r="AJ102" s="125"/>
      <c r="AK102" s="671"/>
      <c r="AL102" s="143"/>
      <c r="AM102" s="143"/>
      <c r="AN102" s="143"/>
      <c r="AO102" s="143"/>
      <c r="AP102" s="143"/>
      <c r="AQ102" s="143"/>
      <c r="AR102" s="143"/>
      <c r="AS102" s="143"/>
      <c r="AT102" s="671"/>
      <c r="AU102" s="670"/>
      <c r="AV102" s="144"/>
    </row>
    <row r="103" spans="1:48" ht="69.75" customHeight="1" x14ac:dyDescent="0.25">
      <c r="A103" s="632"/>
      <c r="B103" s="663"/>
      <c r="C103" s="634"/>
      <c r="D103" s="705"/>
      <c r="E103" s="622"/>
      <c r="F103" s="622" t="s">
        <v>238</v>
      </c>
      <c r="G103" s="622" t="s">
        <v>239</v>
      </c>
      <c r="H103" s="630">
        <v>0.6</v>
      </c>
      <c r="I103" s="630">
        <v>0.54</v>
      </c>
      <c r="J103" s="622" t="s">
        <v>240</v>
      </c>
      <c r="K103" s="125" t="s">
        <v>241</v>
      </c>
      <c r="L103" s="125" t="s">
        <v>242</v>
      </c>
      <c r="M103" s="105">
        <f>266*4</f>
        <v>1064</v>
      </c>
      <c r="N103" s="105">
        <v>339</v>
      </c>
      <c r="O103" s="105"/>
      <c r="P103" s="95"/>
      <c r="Q103" s="132">
        <v>652</v>
      </c>
      <c r="R103" s="132">
        <v>711</v>
      </c>
      <c r="S103" s="132">
        <v>51</v>
      </c>
      <c r="T103" s="132">
        <v>194</v>
      </c>
      <c r="U103" s="274"/>
      <c r="V103" s="290"/>
      <c r="W103" s="307">
        <v>363</v>
      </c>
      <c r="X103" s="307">
        <v>109</v>
      </c>
      <c r="Y103" s="307">
        <v>231</v>
      </c>
      <c r="Z103" s="132">
        <v>92</v>
      </c>
      <c r="AA103" s="132">
        <v>36</v>
      </c>
      <c r="AB103" s="132">
        <v>80</v>
      </c>
      <c r="AC103" s="132"/>
      <c r="AD103" s="132"/>
      <c r="AE103" s="675"/>
      <c r="AF103" s="141">
        <f>+S103+T103+R103+Q103+W103+X103+Y103+Z103+AA103+AB103</f>
        <v>2519</v>
      </c>
      <c r="AG103" s="125"/>
      <c r="AH103" s="102">
        <v>1</v>
      </c>
      <c r="AI103" s="598">
        <f t="shared" si="1"/>
        <v>1</v>
      </c>
      <c r="AJ103" s="125"/>
      <c r="AK103" s="671"/>
      <c r="AL103" s="164"/>
      <c r="AM103" s="164"/>
      <c r="AN103" s="164"/>
      <c r="AO103" s="164"/>
      <c r="AP103" s="164"/>
      <c r="AQ103" s="164"/>
      <c r="AR103" s="164"/>
      <c r="AS103" s="164"/>
      <c r="AT103" s="671"/>
      <c r="AU103" s="670"/>
      <c r="AV103" s="144"/>
    </row>
    <row r="104" spans="1:48" ht="60" x14ac:dyDescent="0.25">
      <c r="A104" s="632"/>
      <c r="B104" s="663"/>
      <c r="C104" s="634"/>
      <c r="D104" s="705"/>
      <c r="E104" s="622"/>
      <c r="F104" s="622"/>
      <c r="G104" s="622"/>
      <c r="H104" s="630"/>
      <c r="I104" s="630"/>
      <c r="J104" s="622"/>
      <c r="K104" s="125" t="s">
        <v>2191</v>
      </c>
      <c r="L104" s="125" t="s">
        <v>243</v>
      </c>
      <c r="M104" s="105">
        <f>266*4</f>
        <v>1064</v>
      </c>
      <c r="N104" s="105">
        <v>441</v>
      </c>
      <c r="O104" s="105"/>
      <c r="P104" s="95"/>
      <c r="Q104" s="132"/>
      <c r="R104" s="132">
        <v>260</v>
      </c>
      <c r="S104" s="132">
        <v>461</v>
      </c>
      <c r="T104" s="132">
        <v>561</v>
      </c>
      <c r="U104" s="274"/>
      <c r="V104" s="290"/>
      <c r="W104" s="307">
        <v>364</v>
      </c>
      <c r="X104" s="307">
        <f>472-W104</f>
        <v>108</v>
      </c>
      <c r="Y104" s="307">
        <v>0</v>
      </c>
      <c r="Z104" s="132">
        <v>190</v>
      </c>
      <c r="AA104" s="132">
        <v>436</v>
      </c>
      <c r="AB104" s="132">
        <v>113</v>
      </c>
      <c r="AC104" s="132"/>
      <c r="AD104" s="132"/>
      <c r="AE104" s="676"/>
      <c r="AF104" s="141">
        <f>+O104+P104+Q104+R104+S104+T104+U104+V104+W104+X104+Y104+Z104+AA104+AB104+AC104+AD104</f>
        <v>2493</v>
      </c>
      <c r="AG104" s="125"/>
      <c r="AH104" s="102">
        <v>1</v>
      </c>
      <c r="AI104" s="598">
        <f t="shared" si="1"/>
        <v>1</v>
      </c>
      <c r="AJ104" s="125"/>
      <c r="AK104" s="671"/>
      <c r="AL104" s="143"/>
      <c r="AM104" s="143"/>
      <c r="AN104" s="143"/>
      <c r="AO104" s="143"/>
      <c r="AP104" s="143"/>
      <c r="AQ104" s="143"/>
      <c r="AR104" s="143"/>
      <c r="AS104" s="143"/>
      <c r="AT104" s="671"/>
      <c r="AU104" s="670"/>
      <c r="AV104" s="144"/>
    </row>
    <row r="105" spans="1:48" ht="60" customHeight="1" x14ac:dyDescent="0.25">
      <c r="A105" s="632"/>
      <c r="B105" s="663"/>
      <c r="C105" s="634"/>
      <c r="D105" s="705"/>
      <c r="E105" s="622"/>
      <c r="F105" s="622"/>
      <c r="G105" s="622"/>
      <c r="H105" s="630"/>
      <c r="I105" s="630"/>
      <c r="J105" s="622"/>
      <c r="K105" s="125" t="s">
        <v>244</v>
      </c>
      <c r="L105" s="125" t="s">
        <v>245</v>
      </c>
      <c r="M105" s="105">
        <v>25</v>
      </c>
      <c r="N105" s="105">
        <v>25</v>
      </c>
      <c r="O105" s="105"/>
      <c r="P105" s="95"/>
      <c r="Q105" s="132">
        <v>0</v>
      </c>
      <c r="R105" s="132">
        <v>25</v>
      </c>
      <c r="S105" s="132">
        <v>9</v>
      </c>
      <c r="T105" s="132">
        <v>17</v>
      </c>
      <c r="U105" s="274">
        <v>25</v>
      </c>
      <c r="V105" s="290">
        <v>25</v>
      </c>
      <c r="W105" s="307">
        <v>13</v>
      </c>
      <c r="X105" s="307">
        <v>5</v>
      </c>
      <c r="Y105" s="307"/>
      <c r="Z105" s="132">
        <v>0</v>
      </c>
      <c r="AA105" s="132">
        <v>2</v>
      </c>
      <c r="AB105" s="132">
        <v>12</v>
      </c>
      <c r="AC105" s="132"/>
      <c r="AD105" s="132"/>
      <c r="AE105" s="676"/>
      <c r="AF105" s="141">
        <f>+W105+X105+Y105++AB105</f>
        <v>30</v>
      </c>
      <c r="AG105" s="125"/>
      <c r="AH105" s="102">
        <v>1</v>
      </c>
      <c r="AI105" s="598">
        <f t="shared" si="1"/>
        <v>1</v>
      </c>
      <c r="AJ105" s="125"/>
      <c r="AK105" s="671"/>
      <c r="AL105" s="143"/>
      <c r="AM105" s="143"/>
      <c r="AN105" s="143"/>
      <c r="AO105" s="143"/>
      <c r="AP105" s="143"/>
      <c r="AQ105" s="143"/>
      <c r="AR105" s="143"/>
      <c r="AS105" s="143"/>
      <c r="AT105" s="671"/>
      <c r="AU105" s="670"/>
      <c r="AV105" s="144"/>
    </row>
    <row r="106" spans="1:48" ht="105" x14ac:dyDescent="0.25">
      <c r="A106" s="632"/>
      <c r="B106" s="663"/>
      <c r="C106" s="634"/>
      <c r="D106" s="705"/>
      <c r="E106" s="622"/>
      <c r="F106" s="622"/>
      <c r="G106" s="622"/>
      <c r="H106" s="630"/>
      <c r="I106" s="630"/>
      <c r="J106" s="622"/>
      <c r="K106" s="125" t="s">
        <v>246</v>
      </c>
      <c r="L106" s="125" t="s">
        <v>247</v>
      </c>
      <c r="M106" s="105">
        <v>200</v>
      </c>
      <c r="N106" s="105">
        <v>100</v>
      </c>
      <c r="O106" s="105"/>
      <c r="P106" s="95"/>
      <c r="Q106" s="132">
        <v>0</v>
      </c>
      <c r="R106" s="132">
        <v>47</v>
      </c>
      <c r="S106" s="132">
        <v>0</v>
      </c>
      <c r="T106" s="132">
        <v>0</v>
      </c>
      <c r="U106" s="274">
        <v>0</v>
      </c>
      <c r="V106" s="290">
        <v>0</v>
      </c>
      <c r="W106" s="307">
        <v>0</v>
      </c>
      <c r="X106" s="307">
        <v>0</v>
      </c>
      <c r="Y106" s="307">
        <v>0</v>
      </c>
      <c r="Z106" s="132">
        <v>60</v>
      </c>
      <c r="AA106" s="132">
        <v>0</v>
      </c>
      <c r="AB106" s="132">
        <v>0</v>
      </c>
      <c r="AC106" s="132"/>
      <c r="AD106" s="132"/>
      <c r="AE106" s="677"/>
      <c r="AF106" s="141">
        <f>+O106+P106+Q106+R106+S106+T106+U106+V106+W106+X106+Y106+Z106+AA106+AB106+AC106+AD106</f>
        <v>107</v>
      </c>
      <c r="AG106" s="125"/>
      <c r="AH106" s="102">
        <f>+AF106/200</f>
        <v>0.53500000000000003</v>
      </c>
      <c r="AI106" s="598">
        <f t="shared" si="1"/>
        <v>0.53500000000000003</v>
      </c>
      <c r="AJ106" s="125"/>
      <c r="AK106" s="671"/>
      <c r="AL106" s="143"/>
      <c r="AM106" s="143"/>
      <c r="AN106" s="143"/>
      <c r="AO106" s="143"/>
      <c r="AP106" s="143"/>
      <c r="AQ106" s="143"/>
      <c r="AR106" s="143"/>
      <c r="AS106" s="143"/>
      <c r="AT106" s="671"/>
      <c r="AU106" s="670"/>
      <c r="AV106" s="144"/>
    </row>
    <row r="107" spans="1:48" ht="60" customHeight="1" x14ac:dyDescent="0.25">
      <c r="A107" s="632"/>
      <c r="B107" s="663"/>
      <c r="C107" s="634"/>
      <c r="D107" s="705"/>
      <c r="E107" s="622"/>
      <c r="F107" s="622"/>
      <c r="G107" s="622"/>
      <c r="H107" s="630"/>
      <c r="I107" s="630"/>
      <c r="J107" s="132"/>
      <c r="K107" s="125"/>
      <c r="L107" s="125"/>
      <c r="M107" s="105"/>
      <c r="N107" s="105"/>
      <c r="O107" s="105"/>
      <c r="P107" s="95"/>
      <c r="Q107" s="125"/>
      <c r="R107" s="125"/>
      <c r="S107" s="125"/>
      <c r="T107" s="125"/>
      <c r="U107" s="274"/>
      <c r="V107" s="290"/>
      <c r="W107" s="249"/>
      <c r="X107" s="249"/>
      <c r="Y107" s="249"/>
      <c r="Z107" s="125"/>
      <c r="AA107" s="125"/>
      <c r="AB107" s="125"/>
      <c r="AC107" s="125"/>
      <c r="AD107" s="125"/>
      <c r="AE107" s="290"/>
      <c r="AF107" s="141"/>
      <c r="AG107" s="125"/>
      <c r="AH107" s="150">
        <f>AVERAGE(AH103:AH106)</f>
        <v>0.88375000000000004</v>
      </c>
      <c r="AI107" s="598">
        <f t="shared" si="1"/>
        <v>0.88375000000000004</v>
      </c>
      <c r="AJ107" s="125"/>
      <c r="AK107" s="671"/>
      <c r="AL107" s="143"/>
      <c r="AM107" s="143"/>
      <c r="AN107" s="143"/>
      <c r="AO107" s="143"/>
      <c r="AP107" s="143"/>
      <c r="AQ107" s="143"/>
      <c r="AR107" s="143"/>
      <c r="AS107" s="143"/>
      <c r="AT107" s="671"/>
      <c r="AU107" s="670"/>
      <c r="AV107" s="144"/>
    </row>
    <row r="108" spans="1:48" ht="105" customHeight="1" x14ac:dyDescent="0.25">
      <c r="A108" s="632"/>
      <c r="B108" s="663"/>
      <c r="C108" s="634"/>
      <c r="D108" s="705"/>
      <c r="E108" s="622"/>
      <c r="F108" s="622" t="s">
        <v>248</v>
      </c>
      <c r="G108" s="622" t="s">
        <v>249</v>
      </c>
      <c r="H108" s="630">
        <v>0.9</v>
      </c>
      <c r="I108" s="630">
        <v>0.7</v>
      </c>
      <c r="J108" s="298" t="s">
        <v>250</v>
      </c>
      <c r="K108" s="125" t="s">
        <v>251</v>
      </c>
      <c r="L108" s="125" t="s">
        <v>252</v>
      </c>
      <c r="M108" s="132">
        <v>800</v>
      </c>
      <c r="N108" s="132">
        <v>500</v>
      </c>
      <c r="O108" s="132"/>
      <c r="P108" s="125"/>
      <c r="Q108" s="132">
        <v>130</v>
      </c>
      <c r="R108" s="132">
        <v>200</v>
      </c>
      <c r="S108" s="132">
        <v>26</v>
      </c>
      <c r="T108" s="132">
        <v>123</v>
      </c>
      <c r="U108" s="274">
        <v>207</v>
      </c>
      <c r="V108" s="290">
        <v>207</v>
      </c>
      <c r="W108" s="307">
        <v>60</v>
      </c>
      <c r="X108" s="307">
        <v>120</v>
      </c>
      <c r="Y108" s="307">
        <v>200</v>
      </c>
      <c r="Z108" s="132">
        <v>46</v>
      </c>
      <c r="AA108" s="132">
        <v>39</v>
      </c>
      <c r="AB108" s="132">
        <v>60</v>
      </c>
      <c r="AC108" s="132"/>
      <c r="AD108" s="132"/>
      <c r="AE108" s="290"/>
      <c r="AF108" s="141">
        <f>+V108+Z108+X108+Y108+34+AB108+AA108</f>
        <v>706</v>
      </c>
      <c r="AG108" s="125"/>
      <c r="AH108" s="102">
        <f>+AF108/800</f>
        <v>0.88249999999999995</v>
      </c>
      <c r="AI108" s="598">
        <f t="shared" si="1"/>
        <v>0.88249999999999995</v>
      </c>
      <c r="AJ108" s="125"/>
      <c r="AK108" s="671"/>
      <c r="AL108" s="164"/>
      <c r="AM108" s="164"/>
      <c r="AN108" s="164"/>
      <c r="AO108" s="164"/>
      <c r="AP108" s="164"/>
      <c r="AQ108" s="164"/>
      <c r="AR108" s="164"/>
      <c r="AS108" s="164"/>
      <c r="AT108" s="671"/>
      <c r="AU108" s="670"/>
      <c r="AV108" s="144"/>
    </row>
    <row r="109" spans="1:48" ht="105" customHeight="1" x14ac:dyDescent="0.25">
      <c r="A109" s="632"/>
      <c r="B109" s="663"/>
      <c r="C109" s="634"/>
      <c r="D109" s="705"/>
      <c r="E109" s="622"/>
      <c r="F109" s="622"/>
      <c r="G109" s="622"/>
      <c r="H109" s="630"/>
      <c r="I109" s="630"/>
      <c r="J109" s="132"/>
      <c r="K109" s="125"/>
      <c r="L109" s="125"/>
      <c r="M109" s="132"/>
      <c r="N109" s="132"/>
      <c r="O109" s="132"/>
      <c r="P109" s="125"/>
      <c r="Q109" s="125"/>
      <c r="R109" s="125"/>
      <c r="S109" s="125"/>
      <c r="T109" s="125"/>
      <c r="U109" s="274"/>
      <c r="V109" s="290"/>
      <c r="W109" s="125"/>
      <c r="X109" s="125"/>
      <c r="Y109" s="125"/>
      <c r="Z109" s="125"/>
      <c r="AA109" s="125"/>
      <c r="AB109" s="125"/>
      <c r="AC109" s="125"/>
      <c r="AD109" s="125"/>
      <c r="AE109" s="290"/>
      <c r="AF109" s="141"/>
      <c r="AG109" s="125"/>
      <c r="AH109" s="150">
        <f>+AH108</f>
        <v>0.88249999999999995</v>
      </c>
      <c r="AI109" s="598">
        <f t="shared" si="1"/>
        <v>0.88249999999999995</v>
      </c>
      <c r="AJ109" s="125"/>
      <c r="AK109" s="671"/>
      <c r="AL109" s="143"/>
      <c r="AM109" s="143"/>
      <c r="AN109" s="143"/>
      <c r="AO109" s="143"/>
      <c r="AP109" s="143"/>
      <c r="AQ109" s="143"/>
      <c r="AR109" s="143"/>
      <c r="AS109" s="143"/>
      <c r="AT109" s="671"/>
      <c r="AU109" s="670"/>
      <c r="AV109" s="144"/>
    </row>
    <row r="110" spans="1:48" ht="90" customHeight="1" x14ac:dyDescent="0.25">
      <c r="A110" s="632"/>
      <c r="B110" s="663"/>
      <c r="C110" s="634"/>
      <c r="D110" s="705"/>
      <c r="E110" s="622"/>
      <c r="F110" s="622" t="s">
        <v>253</v>
      </c>
      <c r="G110" s="622" t="s">
        <v>254</v>
      </c>
      <c r="H110" s="630">
        <v>1</v>
      </c>
      <c r="I110" s="630">
        <v>1</v>
      </c>
      <c r="J110" s="132" t="s">
        <v>257</v>
      </c>
      <c r="K110" s="125" t="s">
        <v>259</v>
      </c>
      <c r="L110" s="125" t="s">
        <v>260</v>
      </c>
      <c r="M110" s="105">
        <v>44</v>
      </c>
      <c r="N110" s="105">
        <v>44</v>
      </c>
      <c r="O110" s="105"/>
      <c r="P110" s="95"/>
      <c r="Q110" s="132">
        <v>46</v>
      </c>
      <c r="R110" s="132">
        <v>46</v>
      </c>
      <c r="S110" s="132">
        <v>46</v>
      </c>
      <c r="T110" s="132">
        <v>46</v>
      </c>
      <c r="U110" s="274">
        <v>46</v>
      </c>
      <c r="V110" s="290">
        <f>+U110</f>
        <v>46</v>
      </c>
      <c r="W110" s="307">
        <v>42</v>
      </c>
      <c r="X110" s="307">
        <v>42</v>
      </c>
      <c r="Y110" s="307">
        <v>46</v>
      </c>
      <c r="Z110" s="132">
        <v>0</v>
      </c>
      <c r="AA110" s="132">
        <v>49</v>
      </c>
      <c r="AB110" s="132">
        <v>0</v>
      </c>
      <c r="AC110" s="132"/>
      <c r="AD110" s="132"/>
      <c r="AE110" s="290"/>
      <c r="AF110" s="141">
        <f>+V110</f>
        <v>46</v>
      </c>
      <c r="AG110" s="125"/>
      <c r="AH110" s="102">
        <v>1</v>
      </c>
      <c r="AI110" s="598">
        <f t="shared" si="1"/>
        <v>1</v>
      </c>
      <c r="AJ110" s="125"/>
      <c r="AK110" s="671"/>
      <c r="AL110" s="164"/>
      <c r="AM110" s="164"/>
      <c r="AN110" s="164"/>
      <c r="AO110" s="164"/>
      <c r="AP110" s="164"/>
      <c r="AQ110" s="164"/>
      <c r="AR110" s="164"/>
      <c r="AS110" s="164"/>
      <c r="AT110" s="671"/>
      <c r="AU110" s="670"/>
      <c r="AV110" s="144"/>
    </row>
    <row r="111" spans="1:48" ht="58.5" customHeight="1" x14ac:dyDescent="0.25">
      <c r="A111" s="632"/>
      <c r="B111" s="663"/>
      <c r="C111" s="634"/>
      <c r="D111" s="705"/>
      <c r="E111" s="622"/>
      <c r="F111" s="622"/>
      <c r="G111" s="622"/>
      <c r="H111" s="630"/>
      <c r="I111" s="630"/>
      <c r="J111" s="132"/>
      <c r="K111" s="125"/>
      <c r="L111" s="125"/>
      <c r="M111" s="105"/>
      <c r="N111" s="105"/>
      <c r="O111" s="105"/>
      <c r="P111" s="95"/>
      <c r="Q111" s="125"/>
      <c r="R111" s="125"/>
      <c r="S111" s="125"/>
      <c r="T111" s="125"/>
      <c r="U111" s="274"/>
      <c r="V111" s="290"/>
      <c r="W111" s="125"/>
      <c r="X111" s="125"/>
      <c r="Y111" s="125"/>
      <c r="Z111" s="125"/>
      <c r="AA111" s="125"/>
      <c r="AB111" s="125"/>
      <c r="AC111" s="125"/>
      <c r="AD111" s="125"/>
      <c r="AE111" s="290"/>
      <c r="AF111" s="141"/>
      <c r="AG111" s="125"/>
      <c r="AH111" s="150">
        <f>+AH110</f>
        <v>1</v>
      </c>
      <c r="AI111" s="598">
        <f t="shared" si="1"/>
        <v>1</v>
      </c>
      <c r="AJ111" s="125"/>
      <c r="AK111" s="671"/>
      <c r="AL111" s="143"/>
      <c r="AM111" s="143"/>
      <c r="AN111" s="143"/>
      <c r="AO111" s="143"/>
      <c r="AP111" s="143"/>
      <c r="AQ111" s="143"/>
      <c r="AR111" s="143"/>
      <c r="AS111" s="143"/>
      <c r="AT111" s="671"/>
      <c r="AU111" s="670"/>
      <c r="AV111" s="144"/>
    </row>
    <row r="112" spans="1:48" ht="75" customHeight="1" x14ac:dyDescent="0.25">
      <c r="A112" s="632"/>
      <c r="B112" s="663"/>
      <c r="C112" s="634"/>
      <c r="D112" s="705"/>
      <c r="E112" s="622"/>
      <c r="F112" s="622" t="s">
        <v>255</v>
      </c>
      <c r="G112" s="622" t="s">
        <v>256</v>
      </c>
      <c r="H112" s="630">
        <v>1</v>
      </c>
      <c r="I112" s="630">
        <v>1</v>
      </c>
      <c r="J112" s="622" t="s">
        <v>258</v>
      </c>
      <c r="K112" s="125" t="s">
        <v>261</v>
      </c>
      <c r="L112" s="125" t="s">
        <v>262</v>
      </c>
      <c r="M112" s="105">
        <v>164</v>
      </c>
      <c r="N112" s="105">
        <v>169</v>
      </c>
      <c r="O112" s="105"/>
      <c r="P112" s="95"/>
      <c r="Q112" s="132">
        <v>164</v>
      </c>
      <c r="R112" s="132">
        <v>164</v>
      </c>
      <c r="S112" s="132">
        <v>164</v>
      </c>
      <c r="T112" s="132">
        <v>164</v>
      </c>
      <c r="U112" s="274"/>
      <c r="V112" s="290">
        <f>+T112</f>
        <v>164</v>
      </c>
      <c r="W112" s="307">
        <v>164</v>
      </c>
      <c r="X112" s="307">
        <v>164</v>
      </c>
      <c r="Y112" s="307">
        <v>164</v>
      </c>
      <c r="Z112" s="132">
        <v>164</v>
      </c>
      <c r="AA112" s="132">
        <v>120</v>
      </c>
      <c r="AB112" s="132">
        <v>47</v>
      </c>
      <c r="AC112" s="132"/>
      <c r="AD112" s="132"/>
      <c r="AE112" s="290"/>
      <c r="AF112" s="141">
        <f>+AA112+AB112</f>
        <v>167</v>
      </c>
      <c r="AG112" s="125"/>
      <c r="AH112" s="102">
        <v>1</v>
      </c>
      <c r="AI112" s="598">
        <f t="shared" si="1"/>
        <v>1</v>
      </c>
      <c r="AJ112" s="125"/>
      <c r="AK112" s="671"/>
      <c r="AL112" s="148"/>
      <c r="AM112" s="148"/>
      <c r="AN112" s="148"/>
      <c r="AO112" s="148"/>
      <c r="AP112" s="148"/>
      <c r="AQ112" s="148"/>
      <c r="AR112" s="148"/>
      <c r="AS112" s="148"/>
      <c r="AT112" s="671"/>
      <c r="AU112" s="670"/>
      <c r="AV112" s="144"/>
    </row>
    <row r="113" spans="1:51" ht="75" customHeight="1" x14ac:dyDescent="0.25">
      <c r="A113" s="632"/>
      <c r="B113" s="663"/>
      <c r="C113" s="634"/>
      <c r="D113" s="705"/>
      <c r="E113" s="622"/>
      <c r="F113" s="622"/>
      <c r="G113" s="622"/>
      <c r="H113" s="630"/>
      <c r="I113" s="630"/>
      <c r="J113" s="622"/>
      <c r="K113" s="125"/>
      <c r="L113" s="125"/>
      <c r="M113" s="105"/>
      <c r="N113" s="105"/>
      <c r="O113" s="105"/>
      <c r="P113" s="95"/>
      <c r="Q113" s="125"/>
      <c r="R113" s="125"/>
      <c r="S113" s="125"/>
      <c r="T113" s="125"/>
      <c r="U113" s="274"/>
      <c r="V113" s="290"/>
      <c r="W113" s="125"/>
      <c r="X113" s="125"/>
      <c r="Y113" s="125"/>
      <c r="Z113" s="125"/>
      <c r="AA113" s="125"/>
      <c r="AB113" s="125"/>
      <c r="AC113" s="125"/>
      <c r="AD113" s="125"/>
      <c r="AE113" s="290"/>
      <c r="AF113" s="141"/>
      <c r="AG113" s="125"/>
      <c r="AH113" s="150">
        <f>+AH112</f>
        <v>1</v>
      </c>
      <c r="AI113" s="598">
        <f t="shared" si="1"/>
        <v>1</v>
      </c>
      <c r="AJ113" s="125"/>
      <c r="AK113" s="671"/>
      <c r="AL113" s="143"/>
      <c r="AM113" s="143"/>
      <c r="AN113" s="143"/>
      <c r="AO113" s="143"/>
      <c r="AP113" s="143"/>
      <c r="AQ113" s="143"/>
      <c r="AR113" s="143"/>
      <c r="AS113" s="143"/>
      <c r="AT113" s="671"/>
      <c r="AU113" s="670"/>
      <c r="AV113" s="144"/>
    </row>
    <row r="114" spans="1:51" ht="105" customHeight="1" x14ac:dyDescent="0.25">
      <c r="A114" s="632"/>
      <c r="B114" s="663"/>
      <c r="C114" s="634"/>
      <c r="D114" s="705"/>
      <c r="E114" s="622"/>
      <c r="F114" s="125" t="s">
        <v>263</v>
      </c>
      <c r="G114" s="125" t="s">
        <v>264</v>
      </c>
      <c r="H114" s="107">
        <v>1</v>
      </c>
      <c r="I114" s="107">
        <v>0</v>
      </c>
      <c r="J114" s="622" t="s">
        <v>267</v>
      </c>
      <c r="K114" s="125" t="s">
        <v>268</v>
      </c>
      <c r="L114" s="125" t="s">
        <v>269</v>
      </c>
      <c r="M114" s="105">
        <v>20</v>
      </c>
      <c r="N114" s="105">
        <v>0</v>
      </c>
      <c r="O114" s="105"/>
      <c r="P114" s="125"/>
      <c r="Q114" s="132">
        <v>0</v>
      </c>
      <c r="R114" s="132">
        <v>0</v>
      </c>
      <c r="S114" s="132">
        <v>20</v>
      </c>
      <c r="T114" s="132">
        <v>16</v>
      </c>
      <c r="U114" s="274">
        <v>16</v>
      </c>
      <c r="V114" s="290">
        <v>20</v>
      </c>
      <c r="W114" s="307">
        <v>2</v>
      </c>
      <c r="X114" s="307">
        <v>16</v>
      </c>
      <c r="Y114" s="307">
        <v>20</v>
      </c>
      <c r="Z114" s="132">
        <v>0</v>
      </c>
      <c r="AA114" s="132">
        <v>0</v>
      </c>
      <c r="AB114" s="132">
        <v>12</v>
      </c>
      <c r="AC114" s="132"/>
      <c r="AD114" s="132"/>
      <c r="AE114" s="290"/>
      <c r="AF114" s="141">
        <f>+(R114+V114+Y114+AB114)</f>
        <v>52</v>
      </c>
      <c r="AG114" s="125"/>
      <c r="AH114" s="96">
        <f>+AF114/(M114*4)</f>
        <v>0.65</v>
      </c>
      <c r="AI114" s="598">
        <f t="shared" si="1"/>
        <v>0.65</v>
      </c>
      <c r="AJ114" s="125"/>
      <c r="AK114" s="671"/>
      <c r="AL114" s="148"/>
      <c r="AM114" s="148"/>
      <c r="AN114" s="148"/>
      <c r="AO114" s="148"/>
      <c r="AP114" s="148"/>
      <c r="AQ114" s="148"/>
      <c r="AR114" s="148"/>
      <c r="AS114" s="148"/>
      <c r="AT114" s="671"/>
      <c r="AU114" s="670"/>
      <c r="AV114" s="144"/>
    </row>
    <row r="115" spans="1:51" ht="120" customHeight="1" x14ac:dyDescent="0.25">
      <c r="A115" s="632"/>
      <c r="B115" s="663"/>
      <c r="C115" s="634"/>
      <c r="D115" s="705"/>
      <c r="E115" s="622"/>
      <c r="F115" s="622" t="s">
        <v>265</v>
      </c>
      <c r="G115" s="622" t="s">
        <v>266</v>
      </c>
      <c r="H115" s="622">
        <v>1</v>
      </c>
      <c r="I115" s="622">
        <v>1</v>
      </c>
      <c r="J115" s="622"/>
      <c r="K115" s="125" t="s">
        <v>270</v>
      </c>
      <c r="L115" s="125" t="s">
        <v>271</v>
      </c>
      <c r="M115" s="105">
        <v>20</v>
      </c>
      <c r="N115" s="105">
        <v>0</v>
      </c>
      <c r="O115" s="105"/>
      <c r="P115" s="125"/>
      <c r="Q115" s="132">
        <v>0</v>
      </c>
      <c r="R115" s="132">
        <v>20</v>
      </c>
      <c r="S115" s="132">
        <v>20</v>
      </c>
      <c r="T115" s="132">
        <v>16</v>
      </c>
      <c r="U115" s="274">
        <v>16</v>
      </c>
      <c r="V115" s="290">
        <v>20</v>
      </c>
      <c r="W115" s="307">
        <v>2</v>
      </c>
      <c r="X115" s="307">
        <v>16</v>
      </c>
      <c r="Y115" s="307">
        <v>20</v>
      </c>
      <c r="Z115" s="132">
        <v>0</v>
      </c>
      <c r="AA115" s="132">
        <v>0</v>
      </c>
      <c r="AB115" s="132">
        <v>12</v>
      </c>
      <c r="AC115" s="132"/>
      <c r="AD115" s="132"/>
      <c r="AE115" s="290"/>
      <c r="AF115" s="141">
        <f>+(R115+V115+Y115+AB115)</f>
        <v>72</v>
      </c>
      <c r="AG115" s="125"/>
      <c r="AH115" s="102">
        <f>+AF115/(M115*4)</f>
        <v>0.9</v>
      </c>
      <c r="AI115" s="598">
        <f t="shared" si="1"/>
        <v>0.9</v>
      </c>
      <c r="AJ115" s="125"/>
      <c r="AK115" s="671"/>
      <c r="AL115" s="143"/>
      <c r="AM115" s="143"/>
      <c r="AN115" s="143"/>
      <c r="AO115" s="143"/>
      <c r="AP115" s="143"/>
      <c r="AQ115" s="143"/>
      <c r="AR115" s="143"/>
      <c r="AS115" s="143"/>
      <c r="AT115" s="671"/>
      <c r="AU115" s="670"/>
      <c r="AV115" s="144"/>
    </row>
    <row r="116" spans="1:51" ht="120" customHeight="1" x14ac:dyDescent="0.25">
      <c r="A116" s="632"/>
      <c r="B116" s="663"/>
      <c r="C116" s="634"/>
      <c r="D116" s="705"/>
      <c r="E116" s="622"/>
      <c r="F116" s="622"/>
      <c r="G116" s="622"/>
      <c r="H116" s="622"/>
      <c r="I116" s="622"/>
      <c r="J116" s="622"/>
      <c r="K116" s="125"/>
      <c r="L116" s="125"/>
      <c r="M116" s="105"/>
      <c r="N116" s="105"/>
      <c r="O116" s="105"/>
      <c r="P116" s="125"/>
      <c r="Q116" s="125"/>
      <c r="R116" s="125"/>
      <c r="S116" s="125"/>
      <c r="T116" s="125"/>
      <c r="U116" s="274"/>
      <c r="V116" s="290"/>
      <c r="W116" s="125"/>
      <c r="X116" s="125"/>
      <c r="Y116" s="125"/>
      <c r="Z116" s="125"/>
      <c r="AA116" s="125"/>
      <c r="AB116" s="125"/>
      <c r="AC116" s="125"/>
      <c r="AD116" s="125"/>
      <c r="AE116" s="290"/>
      <c r="AF116" s="141"/>
      <c r="AG116" s="125"/>
      <c r="AH116" s="150">
        <f>AVERAGE(AH114:AH115)</f>
        <v>0.77500000000000002</v>
      </c>
      <c r="AI116" s="598">
        <f t="shared" si="1"/>
        <v>0.77500000000000002</v>
      </c>
      <c r="AJ116" s="125"/>
      <c r="AK116" s="671"/>
      <c r="AL116" s="143"/>
      <c r="AM116" s="143"/>
      <c r="AN116" s="143"/>
      <c r="AO116" s="143"/>
      <c r="AP116" s="143"/>
      <c r="AQ116" s="143"/>
      <c r="AR116" s="143"/>
      <c r="AS116" s="143"/>
      <c r="AT116" s="671"/>
      <c r="AU116" s="670"/>
      <c r="AV116" s="144"/>
    </row>
    <row r="117" spans="1:51" ht="52.5" customHeight="1" x14ac:dyDescent="0.25">
      <c r="A117" s="632"/>
      <c r="B117" s="663"/>
      <c r="C117" s="634"/>
      <c r="D117" s="705"/>
      <c r="E117" s="622"/>
      <c r="F117" s="125"/>
      <c r="G117" s="125"/>
      <c r="H117" s="107"/>
      <c r="I117" s="107"/>
      <c r="J117" s="132"/>
      <c r="K117" s="125"/>
      <c r="L117" s="125"/>
      <c r="M117" s="105"/>
      <c r="N117" s="105"/>
      <c r="O117" s="105"/>
      <c r="P117" s="125"/>
      <c r="Q117" s="125"/>
      <c r="R117" s="125"/>
      <c r="S117" s="125"/>
      <c r="T117" s="125"/>
      <c r="U117" s="274"/>
      <c r="V117" s="290"/>
      <c r="W117" s="125"/>
      <c r="X117" s="125"/>
      <c r="Y117" s="125"/>
      <c r="Z117" s="125"/>
      <c r="AA117" s="125"/>
      <c r="AB117" s="125"/>
      <c r="AC117" s="125"/>
      <c r="AD117" s="125"/>
      <c r="AE117" s="290"/>
      <c r="AF117" s="141"/>
      <c r="AG117" s="125"/>
      <c r="AH117" s="171">
        <f>+(AH95+AH100+AH102+AH107+AH109+AH111+AH113+AH116)/8</f>
        <v>0.91140625000000008</v>
      </c>
      <c r="AI117" s="598">
        <f t="shared" si="1"/>
        <v>0.91140625000000008</v>
      </c>
      <c r="AJ117" s="125"/>
      <c r="AK117" s="180"/>
      <c r="AL117" s="143"/>
      <c r="AM117" s="143"/>
      <c r="AN117" s="143"/>
      <c r="AO117" s="143"/>
      <c r="AP117" s="143"/>
      <c r="AQ117" s="143"/>
      <c r="AR117" s="143"/>
      <c r="AS117" s="143"/>
      <c r="AT117" s="180"/>
      <c r="AU117" s="181"/>
      <c r="AV117" s="144"/>
    </row>
    <row r="118" spans="1:51" ht="105" customHeight="1" x14ac:dyDescent="0.25">
      <c r="A118" s="632"/>
      <c r="B118" s="663"/>
      <c r="C118" s="634"/>
      <c r="D118" s="705"/>
      <c r="E118" s="622" t="s">
        <v>274</v>
      </c>
      <c r="F118" s="646" t="s">
        <v>272</v>
      </c>
      <c r="G118" s="622" t="s">
        <v>273</v>
      </c>
      <c r="H118" s="630">
        <v>1</v>
      </c>
      <c r="I118" s="630">
        <v>0.4</v>
      </c>
      <c r="J118" s="622" t="s">
        <v>275</v>
      </c>
      <c r="K118" s="125" t="s">
        <v>278</v>
      </c>
      <c r="L118" s="125" t="s">
        <v>279</v>
      </c>
      <c r="M118" s="105">
        <v>800</v>
      </c>
      <c r="N118" s="105">
        <v>230</v>
      </c>
      <c r="O118" s="105"/>
      <c r="P118" s="95"/>
      <c r="Q118" s="132">
        <v>144</v>
      </c>
      <c r="R118" s="132">
        <v>200</v>
      </c>
      <c r="S118" s="132">
        <v>25</v>
      </c>
      <c r="T118" s="132">
        <v>78</v>
      </c>
      <c r="U118" s="274">
        <v>168</v>
      </c>
      <c r="V118" s="290">
        <v>300</v>
      </c>
      <c r="W118" s="307">
        <v>0</v>
      </c>
      <c r="X118" s="307">
        <v>155</v>
      </c>
      <c r="Y118" s="307">
        <v>48</v>
      </c>
      <c r="Z118" s="132">
        <v>0</v>
      </c>
      <c r="AA118" s="132">
        <v>0</v>
      </c>
      <c r="AB118" s="132">
        <v>122</v>
      </c>
      <c r="AC118" s="132"/>
      <c r="AD118" s="132"/>
      <c r="AE118" s="675"/>
      <c r="AF118" s="141">
        <f>+V118+W118+X118+Y118+AB118</f>
        <v>625</v>
      </c>
      <c r="AG118" s="125"/>
      <c r="AH118" s="102">
        <f>+AF118/800</f>
        <v>0.78125</v>
      </c>
      <c r="AI118" s="598">
        <f t="shared" si="1"/>
        <v>0.78125</v>
      </c>
      <c r="AJ118" s="125"/>
      <c r="AK118" s="619">
        <v>2496675841</v>
      </c>
      <c r="AL118" s="143"/>
      <c r="AM118" s="143"/>
      <c r="AN118" s="143"/>
      <c r="AO118" s="143"/>
      <c r="AP118" s="143"/>
      <c r="AQ118" s="143"/>
      <c r="AR118" s="143"/>
      <c r="AS118" s="143"/>
      <c r="AT118" s="619">
        <v>825840519</v>
      </c>
      <c r="AU118" s="672">
        <f>+AT118/AK118</f>
        <v>0.3307760284447756</v>
      </c>
      <c r="AV118" s="144"/>
    </row>
    <row r="119" spans="1:51" ht="165" customHeight="1" x14ac:dyDescent="0.25">
      <c r="A119" s="632"/>
      <c r="B119" s="663"/>
      <c r="C119" s="634"/>
      <c r="D119" s="705"/>
      <c r="E119" s="622"/>
      <c r="F119" s="646"/>
      <c r="G119" s="622"/>
      <c r="H119" s="630"/>
      <c r="I119" s="630"/>
      <c r="J119" s="622"/>
      <c r="K119" s="125" t="s">
        <v>280</v>
      </c>
      <c r="L119" s="125" t="s">
        <v>281</v>
      </c>
      <c r="M119" s="105">
        <v>160</v>
      </c>
      <c r="N119" s="105">
        <v>28</v>
      </c>
      <c r="O119" s="105"/>
      <c r="P119" s="95"/>
      <c r="Q119" s="132">
        <v>5</v>
      </c>
      <c r="R119" s="132">
        <v>41</v>
      </c>
      <c r="S119" s="132">
        <v>0</v>
      </c>
      <c r="T119" s="132">
        <v>10</v>
      </c>
      <c r="U119" s="274">
        <v>10</v>
      </c>
      <c r="V119" s="290">
        <v>0</v>
      </c>
      <c r="W119" s="307">
        <v>40</v>
      </c>
      <c r="X119" s="307">
        <v>0</v>
      </c>
      <c r="Y119" s="307">
        <v>0</v>
      </c>
      <c r="Z119" s="132">
        <v>0</v>
      </c>
      <c r="AA119" s="132">
        <v>0</v>
      </c>
      <c r="AB119" s="132">
        <v>0</v>
      </c>
      <c r="AC119" s="132"/>
      <c r="AD119" s="132"/>
      <c r="AE119" s="676"/>
      <c r="AF119" s="141">
        <f>+Q119+R119+T119+W119</f>
        <v>96</v>
      </c>
      <c r="AG119" s="125"/>
      <c r="AH119" s="102">
        <f>+AF119/M119</f>
        <v>0.6</v>
      </c>
      <c r="AI119" s="598">
        <f t="shared" si="1"/>
        <v>0.6</v>
      </c>
      <c r="AJ119" s="125"/>
      <c r="AK119" s="671"/>
      <c r="AL119" s="143"/>
      <c r="AM119" s="143"/>
      <c r="AN119" s="143"/>
      <c r="AO119" s="143"/>
      <c r="AP119" s="143"/>
      <c r="AQ119" s="143"/>
      <c r="AR119" s="143"/>
      <c r="AS119" s="143"/>
      <c r="AT119" s="671"/>
      <c r="AU119" s="673"/>
      <c r="AV119" s="144"/>
    </row>
    <row r="120" spans="1:51" ht="60" customHeight="1" x14ac:dyDescent="0.25">
      <c r="A120" s="632"/>
      <c r="B120" s="663"/>
      <c r="C120" s="634"/>
      <c r="D120" s="705"/>
      <c r="E120" s="622"/>
      <c r="F120" s="646"/>
      <c r="G120" s="622"/>
      <c r="H120" s="630"/>
      <c r="I120" s="630"/>
      <c r="J120" s="622"/>
      <c r="K120" s="125" t="s">
        <v>282</v>
      </c>
      <c r="L120" s="125" t="s">
        <v>283</v>
      </c>
      <c r="M120" s="105">
        <v>25000</v>
      </c>
      <c r="N120" s="105">
        <v>5610</v>
      </c>
      <c r="O120" s="105"/>
      <c r="P120" s="95"/>
      <c r="Q120" s="132">
        <v>0</v>
      </c>
      <c r="R120" s="132">
        <v>0</v>
      </c>
      <c r="S120" s="132">
        <v>6100</v>
      </c>
      <c r="T120" s="132">
        <v>2433</v>
      </c>
      <c r="U120" s="274">
        <v>4437</v>
      </c>
      <c r="V120" s="290">
        <v>6100</v>
      </c>
      <c r="W120" s="307">
        <v>1649</v>
      </c>
      <c r="X120" s="307">
        <v>1318</v>
      </c>
      <c r="Y120" s="307">
        <v>5008</v>
      </c>
      <c r="Z120" s="132">
        <v>106</v>
      </c>
      <c r="AA120" s="132">
        <v>1237</v>
      </c>
      <c r="AB120" s="132">
        <v>2645</v>
      </c>
      <c r="AC120" s="132"/>
      <c r="AD120" s="132"/>
      <c r="AE120" s="676"/>
      <c r="AF120" s="141">
        <f>+S120+U120+V120+W120+X120+Y120+AA120+AB120+Z120</f>
        <v>28600</v>
      </c>
      <c r="AG120" s="125"/>
      <c r="AH120" s="102">
        <v>1</v>
      </c>
      <c r="AI120" s="598">
        <f t="shared" si="1"/>
        <v>1</v>
      </c>
      <c r="AJ120" s="125"/>
      <c r="AK120" s="671"/>
      <c r="AL120" s="143"/>
      <c r="AM120" s="143"/>
      <c r="AN120" s="143"/>
      <c r="AO120" s="143"/>
      <c r="AP120" s="143"/>
      <c r="AQ120" s="143"/>
      <c r="AR120" s="143"/>
      <c r="AS120" s="143"/>
      <c r="AT120" s="671"/>
      <c r="AU120" s="673"/>
      <c r="AV120" s="144"/>
    </row>
    <row r="121" spans="1:51" ht="60" customHeight="1" x14ac:dyDescent="0.25">
      <c r="A121" s="632"/>
      <c r="B121" s="663"/>
      <c r="C121" s="634"/>
      <c r="D121" s="705"/>
      <c r="E121" s="622"/>
      <c r="F121" s="646"/>
      <c r="G121" s="622"/>
      <c r="H121" s="630"/>
      <c r="I121" s="630"/>
      <c r="J121" s="622"/>
      <c r="K121" s="125" t="s">
        <v>284</v>
      </c>
      <c r="L121" s="125" t="s">
        <v>285</v>
      </c>
      <c r="M121" s="105">
        <v>100</v>
      </c>
      <c r="N121" s="105">
        <v>50</v>
      </c>
      <c r="O121" s="105"/>
      <c r="P121" s="95"/>
      <c r="Q121" s="132">
        <v>0</v>
      </c>
      <c r="R121" s="132">
        <v>0</v>
      </c>
      <c r="S121" s="132">
        <v>0</v>
      </c>
      <c r="T121" s="132">
        <v>57</v>
      </c>
      <c r="U121" s="274">
        <v>41</v>
      </c>
      <c r="V121" s="290">
        <v>0</v>
      </c>
      <c r="W121" s="307">
        <v>6</v>
      </c>
      <c r="X121" s="307">
        <v>7</v>
      </c>
      <c r="Y121" s="307">
        <v>7</v>
      </c>
      <c r="Z121" s="436">
        <v>5</v>
      </c>
      <c r="AA121" s="125">
        <v>6</v>
      </c>
      <c r="AB121" s="125">
        <v>14</v>
      </c>
      <c r="AC121" s="125"/>
      <c r="AD121" s="125"/>
      <c r="AE121" s="677"/>
      <c r="AF121" s="141">
        <f>+V121+W121+X121+Y121+105+AA121+AB121</f>
        <v>145</v>
      </c>
      <c r="AG121" s="125"/>
      <c r="AH121" s="96">
        <f>+AF121/(M121*4)</f>
        <v>0.36249999999999999</v>
      </c>
      <c r="AI121" s="598">
        <f t="shared" si="1"/>
        <v>0.36249999999999999</v>
      </c>
      <c r="AJ121" s="125"/>
      <c r="AK121" s="671"/>
      <c r="AL121" s="143"/>
      <c r="AM121" s="143"/>
      <c r="AN121" s="143"/>
      <c r="AO121" s="143"/>
      <c r="AP121" s="143"/>
      <c r="AQ121" s="143"/>
      <c r="AR121" s="143"/>
      <c r="AS121" s="143"/>
      <c r="AT121" s="671"/>
      <c r="AU121" s="673"/>
      <c r="AV121" s="144"/>
    </row>
    <row r="122" spans="1:51" ht="150" customHeight="1" x14ac:dyDescent="0.25">
      <c r="A122" s="632"/>
      <c r="B122" s="663"/>
      <c r="C122" s="634"/>
      <c r="D122" s="705"/>
      <c r="E122" s="622"/>
      <c r="F122" s="622" t="s">
        <v>276</v>
      </c>
      <c r="G122" s="622" t="s">
        <v>277</v>
      </c>
      <c r="H122" s="623">
        <v>1</v>
      </c>
      <c r="I122" s="623">
        <v>0.8</v>
      </c>
      <c r="J122" s="622"/>
      <c r="K122" s="125" t="s">
        <v>286</v>
      </c>
      <c r="L122" s="125" t="s">
        <v>287</v>
      </c>
      <c r="M122" s="108">
        <v>1</v>
      </c>
      <c r="N122" s="105">
        <v>691</v>
      </c>
      <c r="O122" s="105"/>
      <c r="P122" s="95"/>
      <c r="Q122" s="107">
        <v>1</v>
      </c>
      <c r="R122" s="107">
        <v>1</v>
      </c>
      <c r="S122" s="132">
        <v>228</v>
      </c>
      <c r="T122" s="132">
        <v>335</v>
      </c>
      <c r="U122" s="274"/>
      <c r="V122" s="290"/>
      <c r="W122" s="307">
        <v>100</v>
      </c>
      <c r="X122" s="307">
        <v>100</v>
      </c>
      <c r="Y122" s="307">
        <v>100</v>
      </c>
      <c r="Z122" s="132">
        <v>100</v>
      </c>
      <c r="AA122" s="576">
        <v>100</v>
      </c>
      <c r="AB122" s="576">
        <v>100</v>
      </c>
      <c r="AC122" s="132"/>
      <c r="AD122" s="132"/>
      <c r="AE122" s="290"/>
      <c r="AF122" s="182">
        <f>+R122</f>
        <v>1</v>
      </c>
      <c r="AG122" s="125"/>
      <c r="AH122" s="102">
        <v>1</v>
      </c>
      <c r="AI122" s="598">
        <f t="shared" si="1"/>
        <v>1</v>
      </c>
      <c r="AJ122" s="125"/>
      <c r="AK122" s="671"/>
      <c r="AL122" s="143"/>
      <c r="AM122" s="143"/>
      <c r="AN122" s="143"/>
      <c r="AO122" s="143"/>
      <c r="AP122" s="143"/>
      <c r="AQ122" s="143"/>
      <c r="AR122" s="143"/>
      <c r="AS122" s="143"/>
      <c r="AT122" s="671"/>
      <c r="AU122" s="673"/>
      <c r="AV122" s="144"/>
    </row>
    <row r="123" spans="1:51" ht="52.5" customHeight="1" x14ac:dyDescent="0.25">
      <c r="A123" s="632"/>
      <c r="B123" s="663"/>
      <c r="C123" s="634"/>
      <c r="D123" s="705"/>
      <c r="E123" s="622"/>
      <c r="F123" s="622"/>
      <c r="G123" s="622"/>
      <c r="H123" s="623"/>
      <c r="I123" s="623"/>
      <c r="J123" s="622"/>
      <c r="K123" s="125"/>
      <c r="L123" s="125"/>
      <c r="M123" s="108"/>
      <c r="N123" s="105"/>
      <c r="O123" s="105"/>
      <c r="P123" s="95"/>
      <c r="Q123" s="125"/>
      <c r="R123" s="125"/>
      <c r="S123" s="125"/>
      <c r="T123" s="125"/>
      <c r="U123" s="274"/>
      <c r="V123" s="290"/>
      <c r="W123" s="125"/>
      <c r="X123" s="125"/>
      <c r="Y123" s="125"/>
      <c r="Z123" s="125"/>
      <c r="AA123" s="125"/>
      <c r="AB123" s="125"/>
      <c r="AC123" s="125"/>
      <c r="AD123" s="125"/>
      <c r="AE123" s="290"/>
      <c r="AF123" s="141"/>
      <c r="AG123" s="125"/>
      <c r="AH123" s="150">
        <f>AVERAGE(AH118:AH122)</f>
        <v>0.74875000000000003</v>
      </c>
      <c r="AI123" s="598">
        <f t="shared" si="1"/>
        <v>0.74875000000000003</v>
      </c>
      <c r="AJ123" s="125"/>
      <c r="AK123" s="671"/>
      <c r="AL123" s="143"/>
      <c r="AM123" s="143"/>
      <c r="AN123" s="143"/>
      <c r="AO123" s="143"/>
      <c r="AP123" s="143"/>
      <c r="AQ123" s="143"/>
      <c r="AR123" s="143"/>
      <c r="AS123" s="143"/>
      <c r="AT123" s="671"/>
      <c r="AU123" s="673"/>
      <c r="AV123" s="144"/>
    </row>
    <row r="124" spans="1:51" ht="60" customHeight="1" x14ac:dyDescent="0.25">
      <c r="A124" s="632"/>
      <c r="B124" s="663"/>
      <c r="C124" s="634"/>
      <c r="D124" s="705"/>
      <c r="E124" s="622"/>
      <c r="F124" s="622" t="s">
        <v>288</v>
      </c>
      <c r="G124" s="622" t="s">
        <v>300</v>
      </c>
      <c r="H124" s="622">
        <v>10.8</v>
      </c>
      <c r="I124" s="622">
        <v>10.5</v>
      </c>
      <c r="J124" s="622" t="s">
        <v>299</v>
      </c>
      <c r="K124" s="183" t="s">
        <v>289</v>
      </c>
      <c r="L124" s="125" t="s">
        <v>290</v>
      </c>
      <c r="M124" s="298">
        <v>40</v>
      </c>
      <c r="N124" s="132">
        <v>40</v>
      </c>
      <c r="O124" s="132"/>
      <c r="P124" s="95"/>
      <c r="Q124" s="132">
        <v>8</v>
      </c>
      <c r="R124" s="132">
        <v>40</v>
      </c>
      <c r="S124" s="132">
        <v>0</v>
      </c>
      <c r="T124" s="132">
        <v>40</v>
      </c>
      <c r="U124" s="274">
        <v>28</v>
      </c>
      <c r="V124" s="290">
        <v>40</v>
      </c>
      <c r="W124" s="307">
        <v>15</v>
      </c>
      <c r="X124" s="307">
        <v>5</v>
      </c>
      <c r="Y124" s="307">
        <v>40</v>
      </c>
      <c r="Z124" s="132">
        <v>0</v>
      </c>
      <c r="AA124" s="132">
        <v>4</v>
      </c>
      <c r="AB124" s="132">
        <v>17</v>
      </c>
      <c r="AC124" s="132"/>
      <c r="AD124" s="132"/>
      <c r="AE124" s="675"/>
      <c r="AF124" s="141">
        <f>+V124+Y124+AA124+AB124</f>
        <v>101</v>
      </c>
      <c r="AG124" s="132"/>
      <c r="AH124" s="102">
        <f>+AF124/160</f>
        <v>0.63124999999999998</v>
      </c>
      <c r="AI124" s="598">
        <f t="shared" si="1"/>
        <v>0.63124999999999998</v>
      </c>
      <c r="AJ124" s="125"/>
      <c r="AK124" s="671"/>
      <c r="AL124" s="148"/>
      <c r="AM124" s="148"/>
      <c r="AN124" s="148"/>
      <c r="AO124" s="148"/>
      <c r="AP124" s="148"/>
      <c r="AQ124" s="148"/>
      <c r="AR124" s="148"/>
      <c r="AS124" s="148"/>
      <c r="AT124" s="671"/>
      <c r="AU124" s="673"/>
      <c r="AV124" s="144"/>
    </row>
    <row r="125" spans="1:51" ht="60" customHeight="1" x14ac:dyDescent="0.25">
      <c r="A125" s="632"/>
      <c r="B125" s="663"/>
      <c r="C125" s="634"/>
      <c r="D125" s="705"/>
      <c r="E125" s="622"/>
      <c r="F125" s="622"/>
      <c r="G125" s="622"/>
      <c r="H125" s="622"/>
      <c r="I125" s="622"/>
      <c r="J125" s="622"/>
      <c r="K125" s="183" t="s">
        <v>291</v>
      </c>
      <c r="L125" s="125" t="s">
        <v>292</v>
      </c>
      <c r="M125" s="298">
        <v>40</v>
      </c>
      <c r="N125" s="132">
        <v>30</v>
      </c>
      <c r="O125" s="132"/>
      <c r="P125" s="95"/>
      <c r="Q125" s="132">
        <v>0</v>
      </c>
      <c r="R125" s="132">
        <v>0</v>
      </c>
      <c r="S125" s="132">
        <v>30</v>
      </c>
      <c r="T125" s="132">
        <v>12</v>
      </c>
      <c r="U125" s="274">
        <v>22</v>
      </c>
      <c r="V125" s="290">
        <v>40</v>
      </c>
      <c r="W125" s="307">
        <v>1</v>
      </c>
      <c r="X125" s="307">
        <v>9</v>
      </c>
      <c r="Y125" s="307">
        <v>18</v>
      </c>
      <c r="Z125" s="132">
        <v>12</v>
      </c>
      <c r="AA125" s="132">
        <v>0</v>
      </c>
      <c r="AB125" s="132">
        <v>0</v>
      </c>
      <c r="AC125" s="132"/>
      <c r="AD125" s="132"/>
      <c r="AE125" s="676"/>
      <c r="AF125" s="141">
        <f>+V125+W125+X125+Y125+Z125</f>
        <v>80</v>
      </c>
      <c r="AG125" s="132"/>
      <c r="AH125" s="102">
        <f>+AF125/160</f>
        <v>0.5</v>
      </c>
      <c r="AI125" s="598">
        <f t="shared" si="1"/>
        <v>0.5</v>
      </c>
      <c r="AJ125" s="125"/>
      <c r="AK125" s="671"/>
      <c r="AL125" s="148"/>
      <c r="AM125" s="148"/>
      <c r="AN125" s="148"/>
      <c r="AO125" s="148"/>
      <c r="AP125" s="148"/>
      <c r="AQ125" s="148"/>
      <c r="AR125" s="148"/>
      <c r="AS125" s="148"/>
      <c r="AT125" s="671"/>
      <c r="AU125" s="673"/>
      <c r="AV125" s="144"/>
    </row>
    <row r="126" spans="1:51" ht="60" x14ac:dyDescent="0.25">
      <c r="A126" s="632"/>
      <c r="B126" s="663"/>
      <c r="C126" s="634"/>
      <c r="D126" s="705"/>
      <c r="E126" s="622"/>
      <c r="F126" s="622"/>
      <c r="G126" s="622"/>
      <c r="H126" s="622"/>
      <c r="I126" s="622"/>
      <c r="J126" s="622"/>
      <c r="K126" s="183" t="s">
        <v>293</v>
      </c>
      <c r="L126" s="125" t="s">
        <v>294</v>
      </c>
      <c r="M126" s="132">
        <v>68000</v>
      </c>
      <c r="N126" s="132">
        <v>30000</v>
      </c>
      <c r="O126" s="132"/>
      <c r="P126" s="95"/>
      <c r="Q126" s="132">
        <v>16690</v>
      </c>
      <c r="R126" s="132">
        <v>16690</v>
      </c>
      <c r="S126" s="132">
        <v>0</v>
      </c>
      <c r="T126" s="132">
        <v>11170</v>
      </c>
      <c r="U126" s="274">
        <v>14854</v>
      </c>
      <c r="V126" s="290">
        <v>18187</v>
      </c>
      <c r="W126" s="307">
        <v>3162</v>
      </c>
      <c r="X126" s="307">
        <f>7773-W126</f>
        <v>4611</v>
      </c>
      <c r="Y126" s="307">
        <v>11004</v>
      </c>
      <c r="Z126" s="132">
        <v>0</v>
      </c>
      <c r="AA126" s="583">
        <v>4278</v>
      </c>
      <c r="AB126" s="583">
        <v>5901</v>
      </c>
      <c r="AC126" s="132"/>
      <c r="AD126" s="132"/>
      <c r="AE126" s="676"/>
      <c r="AF126" s="141">
        <f>+V126+W126+X126+Y126+AA126+AB126</f>
        <v>47143</v>
      </c>
      <c r="AG126" s="132"/>
      <c r="AH126" s="102">
        <f>+(AF126/M126)</f>
        <v>0.69327941176470587</v>
      </c>
      <c r="AI126" s="598">
        <f t="shared" si="1"/>
        <v>0.69327941176470587</v>
      </c>
      <c r="AJ126" s="125"/>
      <c r="AK126" s="671"/>
      <c r="AL126" s="148"/>
      <c r="AM126" s="148"/>
      <c r="AN126" s="148"/>
      <c r="AO126" s="148"/>
      <c r="AP126" s="148"/>
      <c r="AQ126" s="148"/>
      <c r="AR126" s="148"/>
      <c r="AS126" s="148"/>
      <c r="AT126" s="671"/>
      <c r="AU126" s="673"/>
      <c r="AV126" s="144"/>
    </row>
    <row r="127" spans="1:51" ht="75" customHeight="1" x14ac:dyDescent="0.25">
      <c r="A127" s="632"/>
      <c r="B127" s="663"/>
      <c r="C127" s="634"/>
      <c r="D127" s="705"/>
      <c r="E127" s="622"/>
      <c r="F127" s="622"/>
      <c r="G127" s="622"/>
      <c r="H127" s="622"/>
      <c r="I127" s="622"/>
      <c r="J127" s="622"/>
      <c r="K127" s="183" t="s">
        <v>295</v>
      </c>
      <c r="L127" s="125" t="s">
        <v>296</v>
      </c>
      <c r="M127" s="132">
        <v>160</v>
      </c>
      <c r="N127" s="132">
        <v>0</v>
      </c>
      <c r="O127" s="132"/>
      <c r="P127" s="95"/>
      <c r="Q127" s="132">
        <v>3</v>
      </c>
      <c r="R127" s="132">
        <v>40</v>
      </c>
      <c r="S127" s="132">
        <v>26</v>
      </c>
      <c r="T127" s="132">
        <v>25</v>
      </c>
      <c r="U127" s="274">
        <v>29</v>
      </c>
      <c r="V127" s="290">
        <v>40</v>
      </c>
      <c r="W127" s="307">
        <v>1</v>
      </c>
      <c r="X127" s="307">
        <v>1</v>
      </c>
      <c r="Y127" s="307">
        <v>2</v>
      </c>
      <c r="Z127" s="132">
        <v>2</v>
      </c>
      <c r="AA127" s="132">
        <v>0</v>
      </c>
      <c r="AB127" s="132">
        <v>12</v>
      </c>
      <c r="AC127" s="132"/>
      <c r="AD127" s="132"/>
      <c r="AE127" s="676"/>
      <c r="AF127" s="141">
        <f>+R127+V127+W127+X127+Y127+Z127+AB127</f>
        <v>98</v>
      </c>
      <c r="AG127" s="132"/>
      <c r="AH127" s="102">
        <f>+AF127/(M127-N127)</f>
        <v>0.61250000000000004</v>
      </c>
      <c r="AI127" s="598">
        <f t="shared" si="1"/>
        <v>0.61250000000000004</v>
      </c>
      <c r="AJ127" s="125"/>
      <c r="AK127" s="671"/>
      <c r="AL127" s="148"/>
      <c r="AM127" s="148"/>
      <c r="AN127" s="148"/>
      <c r="AO127" s="148"/>
      <c r="AP127" s="148"/>
      <c r="AQ127" s="148"/>
      <c r="AR127" s="148"/>
      <c r="AS127" s="148"/>
      <c r="AT127" s="671"/>
      <c r="AU127" s="673"/>
      <c r="AV127" s="144"/>
      <c r="AW127" s="184"/>
      <c r="AX127" s="184"/>
      <c r="AY127" s="185"/>
    </row>
    <row r="128" spans="1:51" ht="45" x14ac:dyDescent="0.25">
      <c r="A128" s="632"/>
      <c r="B128" s="663"/>
      <c r="C128" s="634"/>
      <c r="D128" s="705"/>
      <c r="E128" s="622"/>
      <c r="F128" s="622"/>
      <c r="G128" s="622"/>
      <c r="H128" s="622"/>
      <c r="I128" s="622"/>
      <c r="J128" s="622"/>
      <c r="K128" s="183" t="s">
        <v>297</v>
      </c>
      <c r="L128" s="125" t="s">
        <v>298</v>
      </c>
      <c r="M128" s="132">
        <v>12341</v>
      </c>
      <c r="N128" s="132">
        <v>12341</v>
      </c>
      <c r="O128" s="132"/>
      <c r="P128" s="95"/>
      <c r="Q128" s="176">
        <v>0</v>
      </c>
      <c r="R128" s="176">
        <v>0</v>
      </c>
      <c r="S128" s="132">
        <v>0</v>
      </c>
      <c r="T128" s="132">
        <v>23341</v>
      </c>
      <c r="U128" s="274">
        <v>13597</v>
      </c>
      <c r="V128" s="290">
        <v>13797</v>
      </c>
      <c r="W128" s="307">
        <v>8163</v>
      </c>
      <c r="X128" s="307">
        <f>15731-W128</f>
        <v>7568</v>
      </c>
      <c r="Y128" s="307">
        <v>230</v>
      </c>
      <c r="Z128" s="132">
        <v>0</v>
      </c>
      <c r="AA128" s="132">
        <v>2826</v>
      </c>
      <c r="AB128" s="132">
        <v>2207</v>
      </c>
      <c r="AC128" s="132"/>
      <c r="AD128" s="132"/>
      <c r="AE128" s="677"/>
      <c r="AF128" s="147">
        <f>+W128+X128+Y128+13367+AA128+AB128</f>
        <v>34361</v>
      </c>
      <c r="AG128" s="132"/>
      <c r="AH128" s="102">
        <f>+AF128/(M128*4)</f>
        <v>0.69607406206952438</v>
      </c>
      <c r="AI128" s="598">
        <f t="shared" si="1"/>
        <v>0.69607406206952438</v>
      </c>
      <c r="AJ128" s="125"/>
      <c r="AK128" s="671"/>
      <c r="AL128" s="148"/>
      <c r="AM128" s="148"/>
      <c r="AN128" s="148"/>
      <c r="AO128" s="148"/>
      <c r="AP128" s="148"/>
      <c r="AQ128" s="148"/>
      <c r="AR128" s="148"/>
      <c r="AS128" s="148"/>
      <c r="AT128" s="671"/>
      <c r="AU128" s="673"/>
      <c r="AV128" s="144"/>
    </row>
    <row r="129" spans="1:52" ht="62.25" customHeight="1" x14ac:dyDescent="0.25">
      <c r="A129" s="632"/>
      <c r="B129" s="663"/>
      <c r="C129" s="634"/>
      <c r="D129" s="705"/>
      <c r="E129" s="622"/>
      <c r="F129" s="622"/>
      <c r="G129" s="622"/>
      <c r="H129" s="622"/>
      <c r="I129" s="622"/>
      <c r="J129" s="622"/>
      <c r="K129" s="125"/>
      <c r="L129" s="125"/>
      <c r="M129" s="132"/>
      <c r="N129" s="132"/>
      <c r="O129" s="132"/>
      <c r="P129" s="95"/>
      <c r="Q129" s="125"/>
      <c r="R129" s="125"/>
      <c r="S129" s="132"/>
      <c r="T129" s="125"/>
      <c r="U129" s="274"/>
      <c r="V129" s="290"/>
      <c r="W129" s="125"/>
      <c r="X129" s="125"/>
      <c r="Y129" s="446"/>
      <c r="Z129" s="125"/>
      <c r="AA129" s="125"/>
      <c r="AB129" s="125"/>
      <c r="AC129" s="125"/>
      <c r="AD129" s="125"/>
      <c r="AE129" s="290"/>
      <c r="AF129" s="141"/>
      <c r="AG129" s="125"/>
      <c r="AH129" s="150">
        <f>AVERAGE(AH124:AH128)</f>
        <v>0.62662069476684601</v>
      </c>
      <c r="AI129" s="598">
        <f t="shared" si="1"/>
        <v>0.62662069476684601</v>
      </c>
      <c r="AJ129" s="125"/>
      <c r="AK129" s="671"/>
      <c r="AL129" s="143"/>
      <c r="AM129" s="143"/>
      <c r="AN129" s="143"/>
      <c r="AO129" s="143"/>
      <c r="AP129" s="143"/>
      <c r="AQ129" s="143"/>
      <c r="AR129" s="143"/>
      <c r="AS129" s="143"/>
      <c r="AT129" s="671"/>
      <c r="AU129" s="673"/>
      <c r="AV129" s="144"/>
    </row>
    <row r="130" spans="1:52" ht="62.25" customHeight="1" x14ac:dyDescent="0.25">
      <c r="A130" s="632"/>
      <c r="B130" s="663"/>
      <c r="C130" s="634"/>
      <c r="D130" s="705"/>
      <c r="E130" s="622"/>
      <c r="F130" s="132"/>
      <c r="G130" s="132"/>
      <c r="H130" s="132"/>
      <c r="I130" s="132"/>
      <c r="J130" s="132"/>
      <c r="K130" s="125"/>
      <c r="L130" s="125"/>
      <c r="M130" s="132"/>
      <c r="N130" s="132"/>
      <c r="O130" s="132"/>
      <c r="P130" s="95"/>
      <c r="Q130" s="125"/>
      <c r="R130" s="125"/>
      <c r="T130" s="125"/>
      <c r="U130" s="274"/>
      <c r="V130" s="290"/>
      <c r="W130" s="125"/>
      <c r="X130" s="125"/>
      <c r="Y130" s="125"/>
      <c r="Z130" s="125"/>
      <c r="AA130" s="125"/>
      <c r="AB130" s="125"/>
      <c r="AC130" s="125"/>
      <c r="AD130" s="125"/>
      <c r="AE130" s="290"/>
      <c r="AF130" s="141"/>
      <c r="AG130" s="125"/>
      <c r="AH130" s="171">
        <f>+(AH123+AH129)/2</f>
        <v>0.68768534738342302</v>
      </c>
      <c r="AI130" s="598">
        <f t="shared" si="1"/>
        <v>0.68768534738342302</v>
      </c>
      <c r="AJ130" s="125"/>
      <c r="AK130" s="620"/>
      <c r="AL130" s="143"/>
      <c r="AM130" s="143"/>
      <c r="AN130" s="143"/>
      <c r="AO130" s="143"/>
      <c r="AP130" s="143"/>
      <c r="AQ130" s="143"/>
      <c r="AR130" s="143"/>
      <c r="AS130" s="143"/>
      <c r="AT130" s="620"/>
      <c r="AU130" s="674"/>
      <c r="AV130" s="144"/>
    </row>
    <row r="131" spans="1:52" ht="60" customHeight="1" x14ac:dyDescent="0.25">
      <c r="A131" s="632"/>
      <c r="B131" s="663"/>
      <c r="C131" s="634"/>
      <c r="D131" s="705"/>
      <c r="E131" s="622" t="s">
        <v>301</v>
      </c>
      <c r="F131" s="125" t="s">
        <v>302</v>
      </c>
      <c r="G131" s="132" t="s">
        <v>303</v>
      </c>
      <c r="H131" s="105" t="s">
        <v>305</v>
      </c>
      <c r="I131" s="105" t="s">
        <v>304</v>
      </c>
      <c r="J131" s="632" t="s">
        <v>314</v>
      </c>
      <c r="K131" s="125" t="s">
        <v>310</v>
      </c>
      <c r="L131" s="125" t="s">
        <v>311</v>
      </c>
      <c r="M131" s="105">
        <f>500*4</f>
        <v>2000</v>
      </c>
      <c r="N131" s="105">
        <v>500</v>
      </c>
      <c r="O131" s="105"/>
      <c r="P131" s="95"/>
      <c r="Q131" s="132">
        <v>306</v>
      </c>
      <c r="R131" s="132">
        <v>500</v>
      </c>
      <c r="S131" s="132">
        <v>0</v>
      </c>
      <c r="T131" s="132">
        <v>222</v>
      </c>
      <c r="U131" s="274">
        <v>436</v>
      </c>
      <c r="V131" s="290">
        <v>500</v>
      </c>
      <c r="W131" s="307">
        <v>45</v>
      </c>
      <c r="X131" s="307">
        <f>255-W131</f>
        <v>210</v>
      </c>
      <c r="Y131" s="307">
        <v>45</v>
      </c>
      <c r="Z131" s="132">
        <v>65</v>
      </c>
      <c r="AA131" s="132">
        <v>0</v>
      </c>
      <c r="AB131" s="132">
        <v>90</v>
      </c>
      <c r="AC131" s="132"/>
      <c r="AD131" s="132"/>
      <c r="AE131" s="290"/>
      <c r="AF131" s="141">
        <f>+V131+R131+W131+X131+Y131+Z131+AA131+AB131</f>
        <v>1455</v>
      </c>
      <c r="AG131" s="125"/>
      <c r="AH131" s="102">
        <f>+AF131/M131</f>
        <v>0.72750000000000004</v>
      </c>
      <c r="AI131" s="598">
        <f t="shared" si="1"/>
        <v>0.72750000000000004</v>
      </c>
      <c r="AJ131" s="125"/>
      <c r="AK131" s="619">
        <v>744828771</v>
      </c>
      <c r="AL131" s="148"/>
      <c r="AM131" s="148"/>
      <c r="AN131" s="148"/>
      <c r="AO131" s="148"/>
      <c r="AP131" s="148"/>
      <c r="AQ131" s="148"/>
      <c r="AR131" s="148"/>
      <c r="AS131" s="148"/>
      <c r="AT131" s="619">
        <v>571664204</v>
      </c>
      <c r="AU131" s="617">
        <f>+AT131/AK131</f>
        <v>0.76751090486540829</v>
      </c>
      <c r="AV131" s="144"/>
    </row>
    <row r="132" spans="1:52" ht="75" x14ac:dyDescent="0.25">
      <c r="A132" s="632"/>
      <c r="B132" s="663"/>
      <c r="C132" s="634"/>
      <c r="D132" s="705"/>
      <c r="E132" s="622"/>
      <c r="F132" s="622" t="s">
        <v>306</v>
      </c>
      <c r="G132" s="622" t="s">
        <v>307</v>
      </c>
      <c r="H132" s="622" t="s">
        <v>309</v>
      </c>
      <c r="I132" s="622" t="s">
        <v>308</v>
      </c>
      <c r="J132" s="632"/>
      <c r="K132" s="125" t="s">
        <v>312</v>
      </c>
      <c r="L132" s="125" t="s">
        <v>311</v>
      </c>
      <c r="M132" s="105">
        <f>74*4</f>
        <v>296</v>
      </c>
      <c r="N132" s="105" t="s">
        <v>313</v>
      </c>
      <c r="O132" s="105"/>
      <c r="P132" s="95"/>
      <c r="Q132" s="132">
        <v>20</v>
      </c>
      <c r="R132" s="132">
        <v>50</v>
      </c>
      <c r="S132" s="132">
        <v>12</v>
      </c>
      <c r="T132" s="132">
        <v>28</v>
      </c>
      <c r="U132" s="274">
        <v>43</v>
      </c>
      <c r="V132" s="290">
        <v>89</v>
      </c>
      <c r="W132" s="307">
        <v>43</v>
      </c>
      <c r="X132" s="307">
        <f>76-W132</f>
        <v>33</v>
      </c>
      <c r="Y132" s="307">
        <v>0</v>
      </c>
      <c r="Z132" s="132">
        <v>0</v>
      </c>
      <c r="AA132" s="132">
        <v>0</v>
      </c>
      <c r="AB132" s="132">
        <v>0</v>
      </c>
      <c r="AC132" s="132"/>
      <c r="AD132" s="132"/>
      <c r="AE132" s="290"/>
      <c r="AF132" s="141">
        <f>+V132+R132+W132+X132+Y132+41</f>
        <v>256</v>
      </c>
      <c r="AG132" s="125"/>
      <c r="AH132" s="102">
        <f>+AF132/M132</f>
        <v>0.86486486486486491</v>
      </c>
      <c r="AI132" s="598">
        <f t="shared" ref="AI132:AI195" si="2">+AH132</f>
        <v>0.86486486486486491</v>
      </c>
      <c r="AJ132" s="125"/>
      <c r="AK132" s="671"/>
      <c r="AL132" s="148"/>
      <c r="AM132" s="148"/>
      <c r="AN132" s="148"/>
      <c r="AO132" s="148"/>
      <c r="AP132" s="148"/>
      <c r="AQ132" s="148"/>
      <c r="AR132" s="148"/>
      <c r="AS132" s="148"/>
      <c r="AT132" s="671"/>
      <c r="AU132" s="670"/>
      <c r="AV132" s="144"/>
    </row>
    <row r="133" spans="1:52" ht="43.5" customHeight="1" x14ac:dyDescent="0.25">
      <c r="A133" s="632"/>
      <c r="B133" s="663"/>
      <c r="C133" s="634"/>
      <c r="D133" s="705"/>
      <c r="E133" s="622"/>
      <c r="F133" s="622"/>
      <c r="G133" s="622"/>
      <c r="H133" s="622"/>
      <c r="I133" s="622"/>
      <c r="J133" s="632"/>
      <c r="K133" s="125"/>
      <c r="L133" s="125"/>
      <c r="M133" s="105"/>
      <c r="N133" s="105"/>
      <c r="O133" s="105"/>
      <c r="P133" s="95"/>
      <c r="Q133" s="132"/>
      <c r="R133" s="132"/>
      <c r="S133" s="132"/>
      <c r="T133" s="132"/>
      <c r="U133" s="274"/>
      <c r="V133" s="290"/>
      <c r="W133" s="308"/>
      <c r="X133" s="308"/>
      <c r="Y133" s="308"/>
      <c r="Z133" s="132"/>
      <c r="AA133" s="132"/>
      <c r="AB133" s="132"/>
      <c r="AC133" s="132"/>
      <c r="AD133" s="132"/>
      <c r="AE133" s="290"/>
      <c r="AF133" s="141"/>
      <c r="AG133" s="125"/>
      <c r="AH133" s="150">
        <f>AVERAGE(AH131:AH132)</f>
        <v>0.79618243243243247</v>
      </c>
      <c r="AI133" s="598">
        <f t="shared" si="2"/>
        <v>0.79618243243243247</v>
      </c>
      <c r="AJ133" s="125"/>
      <c r="AK133" s="671"/>
      <c r="AL133" s="143"/>
      <c r="AM133" s="143"/>
      <c r="AN133" s="143"/>
      <c r="AO133" s="143"/>
      <c r="AP133" s="143"/>
      <c r="AQ133" s="143"/>
      <c r="AR133" s="143"/>
      <c r="AS133" s="143"/>
      <c r="AT133" s="671"/>
      <c r="AU133" s="670"/>
      <c r="AV133" s="144"/>
    </row>
    <row r="134" spans="1:52" ht="75" customHeight="1" x14ac:dyDescent="0.25">
      <c r="A134" s="632"/>
      <c r="B134" s="663"/>
      <c r="C134" s="634"/>
      <c r="D134" s="705"/>
      <c r="E134" s="622"/>
      <c r="F134" s="622" t="s">
        <v>315</v>
      </c>
      <c r="G134" s="622" t="s">
        <v>316</v>
      </c>
      <c r="H134" s="630">
        <v>0.8</v>
      </c>
      <c r="I134" s="630">
        <v>0.5</v>
      </c>
      <c r="J134" s="622" t="s">
        <v>320</v>
      </c>
      <c r="K134" s="125" t="s">
        <v>321</v>
      </c>
      <c r="L134" s="125" t="s">
        <v>322</v>
      </c>
      <c r="M134" s="186">
        <v>32000</v>
      </c>
      <c r="N134" s="187">
        <v>4800</v>
      </c>
      <c r="O134" s="187"/>
      <c r="P134" s="95"/>
      <c r="Q134" s="188">
        <v>5873</v>
      </c>
      <c r="R134" s="188">
        <v>8000</v>
      </c>
      <c r="S134" s="132">
        <v>1120</v>
      </c>
      <c r="T134" s="132">
        <v>4393</v>
      </c>
      <c r="U134" s="274">
        <v>7637</v>
      </c>
      <c r="V134" s="290">
        <v>8000</v>
      </c>
      <c r="W134" s="307">
        <v>1179</v>
      </c>
      <c r="X134" s="307">
        <f>1529-W134</f>
        <v>350</v>
      </c>
      <c r="Y134" s="307">
        <v>1233</v>
      </c>
      <c r="Z134" s="132">
        <v>3492</v>
      </c>
      <c r="AA134" s="132">
        <v>1080</v>
      </c>
      <c r="AB134" s="132">
        <v>1609</v>
      </c>
      <c r="AC134" s="132"/>
      <c r="AD134" s="132"/>
      <c r="AE134" s="290"/>
      <c r="AF134" s="189">
        <f>+V134+R134+W134+X134+Y134+Z134+AA134+AB134</f>
        <v>24943</v>
      </c>
      <c r="AG134" s="125"/>
      <c r="AH134" s="102">
        <f>+AF134/(M134)</f>
        <v>0.77946875000000004</v>
      </c>
      <c r="AI134" s="598">
        <f t="shared" si="2"/>
        <v>0.77946875000000004</v>
      </c>
      <c r="AJ134" s="125"/>
      <c r="AK134" s="671"/>
      <c r="AL134" s="143"/>
      <c r="AM134" s="143"/>
      <c r="AN134" s="143"/>
      <c r="AO134" s="143"/>
      <c r="AP134" s="143"/>
      <c r="AQ134" s="143"/>
      <c r="AR134" s="143"/>
      <c r="AS134" s="143"/>
      <c r="AT134" s="671"/>
      <c r="AU134" s="670"/>
      <c r="AV134" s="144"/>
    </row>
    <row r="135" spans="1:52" ht="75" customHeight="1" x14ac:dyDescent="0.25">
      <c r="A135" s="632"/>
      <c r="B135" s="663"/>
      <c r="C135" s="634"/>
      <c r="D135" s="705"/>
      <c r="E135" s="622"/>
      <c r="F135" s="622"/>
      <c r="G135" s="622"/>
      <c r="H135" s="630"/>
      <c r="I135" s="630"/>
      <c r="J135" s="622"/>
      <c r="K135" s="125"/>
      <c r="L135" s="125"/>
      <c r="M135" s="105"/>
      <c r="N135" s="187"/>
      <c r="O135" s="187"/>
      <c r="P135" s="95"/>
      <c r="Q135" s="125"/>
      <c r="R135" s="125"/>
      <c r="S135" s="125"/>
      <c r="T135" s="125"/>
      <c r="U135" s="274"/>
      <c r="V135" s="290"/>
      <c r="W135" s="308"/>
      <c r="X135" s="308"/>
      <c r="Y135" s="308"/>
      <c r="Z135" s="125"/>
      <c r="AA135" s="125"/>
      <c r="AB135" s="125"/>
      <c r="AC135" s="125"/>
      <c r="AD135" s="125"/>
      <c r="AE135" s="290"/>
      <c r="AF135" s="141"/>
      <c r="AG135" s="125"/>
      <c r="AH135" s="150">
        <f>+AH134</f>
        <v>0.77946875000000004</v>
      </c>
      <c r="AI135" s="598">
        <f t="shared" si="2"/>
        <v>0.77946875000000004</v>
      </c>
      <c r="AJ135" s="125"/>
      <c r="AK135" s="671"/>
      <c r="AL135" s="143"/>
      <c r="AM135" s="143"/>
      <c r="AN135" s="143"/>
      <c r="AO135" s="143"/>
      <c r="AP135" s="143"/>
      <c r="AQ135" s="143"/>
      <c r="AR135" s="143"/>
      <c r="AS135" s="143"/>
      <c r="AT135" s="671"/>
      <c r="AU135" s="670"/>
      <c r="AV135" s="144"/>
      <c r="AW135" s="190"/>
      <c r="AX135" s="190"/>
      <c r="AY135" s="191"/>
      <c r="AZ135" s="192"/>
    </row>
    <row r="136" spans="1:52" ht="45" customHeight="1" x14ac:dyDescent="0.25">
      <c r="A136" s="632"/>
      <c r="B136" s="663"/>
      <c r="C136" s="634"/>
      <c r="D136" s="705"/>
      <c r="E136" s="622"/>
      <c r="F136" s="622" t="s">
        <v>317</v>
      </c>
      <c r="G136" s="622" t="s">
        <v>318</v>
      </c>
      <c r="H136" s="622">
        <v>0</v>
      </c>
      <c r="I136" s="622">
        <v>0</v>
      </c>
      <c r="J136" s="622" t="s">
        <v>319</v>
      </c>
      <c r="K136" s="125" t="s">
        <v>323</v>
      </c>
      <c r="L136" s="125" t="s">
        <v>324</v>
      </c>
      <c r="M136" s="187">
        <f>143850*4</f>
        <v>575400</v>
      </c>
      <c r="N136" s="187">
        <v>132353</v>
      </c>
      <c r="O136" s="187"/>
      <c r="P136" s="95"/>
      <c r="Q136" s="132">
        <f>11711+3887</f>
        <v>15598</v>
      </c>
      <c r="R136" s="132">
        <f>80000+26000</f>
        <v>106000</v>
      </c>
      <c r="S136" s="132">
        <v>19990</v>
      </c>
      <c r="T136" s="132">
        <v>46983</v>
      </c>
      <c r="U136" s="274">
        <v>90600</v>
      </c>
      <c r="V136" s="290">
        <v>116283</v>
      </c>
      <c r="W136" s="307">
        <f>16321+6513</f>
        <v>22834</v>
      </c>
      <c r="X136" s="307">
        <f>26214+9239-W136</f>
        <v>12619</v>
      </c>
      <c r="Y136" s="307">
        <v>59305</v>
      </c>
      <c r="Z136" s="132">
        <v>12613</v>
      </c>
      <c r="AA136" s="132">
        <v>2200</v>
      </c>
      <c r="AB136" s="132">
        <v>3225</v>
      </c>
      <c r="AC136" s="132"/>
      <c r="AD136" s="132"/>
      <c r="AE136" s="290"/>
      <c r="AF136" s="141">
        <f>+R136+V136+W136+X136+Y136+31613+AA136+AB136+Z136</f>
        <v>366692</v>
      </c>
      <c r="AG136" s="125"/>
      <c r="AH136" s="102">
        <f>+AF136/M136</f>
        <v>0.63728189085853315</v>
      </c>
      <c r="AI136" s="598">
        <f t="shared" si="2"/>
        <v>0.63728189085853315</v>
      </c>
      <c r="AJ136" s="125"/>
      <c r="AK136" s="671"/>
      <c r="AL136" s="143"/>
      <c r="AM136" s="143"/>
      <c r="AN136" s="143"/>
      <c r="AO136" s="143"/>
      <c r="AP136" s="143"/>
      <c r="AQ136" s="143"/>
      <c r="AR136" s="143"/>
      <c r="AS136" s="143"/>
      <c r="AT136" s="671"/>
      <c r="AU136" s="670"/>
      <c r="AV136" s="144"/>
    </row>
    <row r="137" spans="1:52" ht="45" customHeight="1" x14ac:dyDescent="0.25">
      <c r="A137" s="632"/>
      <c r="B137" s="663"/>
      <c r="C137" s="634"/>
      <c r="D137" s="705"/>
      <c r="E137" s="622"/>
      <c r="F137" s="622"/>
      <c r="G137" s="622"/>
      <c r="H137" s="622"/>
      <c r="I137" s="622"/>
      <c r="J137" s="622"/>
      <c r="K137" s="125"/>
      <c r="L137" s="125"/>
      <c r="M137" s="187"/>
      <c r="N137" s="187"/>
      <c r="O137" s="187"/>
      <c r="P137" s="95"/>
      <c r="Q137" s="125"/>
      <c r="R137" s="125"/>
      <c r="S137" s="125"/>
      <c r="T137" s="125"/>
      <c r="U137" s="274"/>
      <c r="V137" s="290"/>
      <c r="W137" s="308"/>
      <c r="X137" s="308"/>
      <c r="Y137" s="176"/>
      <c r="Z137" s="125"/>
      <c r="AA137" s="125"/>
      <c r="AB137" s="125"/>
      <c r="AC137" s="125"/>
      <c r="AD137" s="125"/>
      <c r="AE137" s="290"/>
      <c r="AF137" s="141"/>
      <c r="AG137" s="125"/>
      <c r="AH137" s="150">
        <f>+AH136</f>
        <v>0.63728189085853315</v>
      </c>
      <c r="AI137" s="598">
        <f t="shared" si="2"/>
        <v>0.63728189085853315</v>
      </c>
      <c r="AJ137" s="125"/>
      <c r="AK137" s="671"/>
      <c r="AL137" s="143"/>
      <c r="AM137" s="143"/>
      <c r="AN137" s="143"/>
      <c r="AO137" s="143"/>
      <c r="AP137" s="143"/>
      <c r="AQ137" s="143"/>
      <c r="AR137" s="143"/>
      <c r="AS137" s="143"/>
      <c r="AT137" s="671"/>
      <c r="AU137" s="670"/>
      <c r="AV137" s="144"/>
    </row>
    <row r="138" spans="1:52" ht="45" customHeight="1" x14ac:dyDescent="0.25">
      <c r="A138" s="632"/>
      <c r="B138" s="663"/>
      <c r="C138" s="634"/>
      <c r="D138" s="705"/>
      <c r="E138" s="622"/>
      <c r="F138" s="132"/>
      <c r="G138" s="132"/>
      <c r="H138" s="132"/>
      <c r="I138" s="132"/>
      <c r="J138" s="132"/>
      <c r="K138" s="125"/>
      <c r="L138" s="125"/>
      <c r="M138" s="187"/>
      <c r="N138" s="187"/>
      <c r="O138" s="187"/>
      <c r="P138" s="95"/>
      <c r="Q138" s="125"/>
      <c r="R138" s="125"/>
      <c r="S138" s="125"/>
      <c r="T138" s="125"/>
      <c r="U138" s="274"/>
      <c r="V138" s="290"/>
      <c r="W138" s="125"/>
      <c r="X138" s="125"/>
      <c r="Y138" s="125"/>
      <c r="Z138" s="125"/>
      <c r="AA138" s="125"/>
      <c r="AB138" s="125"/>
      <c r="AC138" s="125"/>
      <c r="AD138" s="125"/>
      <c r="AE138" s="290"/>
      <c r="AF138" s="141"/>
      <c r="AG138" s="125"/>
      <c r="AH138" s="171">
        <f>+(AH133+AH135+AH137)/3</f>
        <v>0.73764435776365522</v>
      </c>
      <c r="AI138" s="598">
        <f t="shared" si="2"/>
        <v>0.73764435776365522</v>
      </c>
      <c r="AJ138" s="125"/>
      <c r="AK138" s="193"/>
      <c r="AL138" s="143"/>
      <c r="AM138" s="143"/>
      <c r="AN138" s="143"/>
      <c r="AO138" s="143"/>
      <c r="AP138" s="143"/>
      <c r="AQ138" s="143"/>
      <c r="AR138" s="143"/>
      <c r="AS138" s="143"/>
      <c r="AT138" s="193"/>
      <c r="AU138" s="194"/>
      <c r="AV138" s="144"/>
    </row>
    <row r="139" spans="1:52" ht="105" x14ac:dyDescent="0.25">
      <c r="A139" s="632"/>
      <c r="B139" s="663"/>
      <c r="C139" s="634"/>
      <c r="D139" s="705"/>
      <c r="E139" s="622" t="s">
        <v>364</v>
      </c>
      <c r="F139" s="646" t="s">
        <v>325</v>
      </c>
      <c r="G139" s="650" t="s">
        <v>326</v>
      </c>
      <c r="H139" s="628" t="s">
        <v>327</v>
      </c>
      <c r="I139" s="628">
        <v>0.41</v>
      </c>
      <c r="J139" s="622" t="s">
        <v>2193</v>
      </c>
      <c r="K139" s="125" t="s">
        <v>328</v>
      </c>
      <c r="L139" s="125" t="s">
        <v>331</v>
      </c>
      <c r="M139" s="105">
        <v>64</v>
      </c>
      <c r="N139" s="105">
        <v>77</v>
      </c>
      <c r="O139" s="105"/>
      <c r="P139" s="134"/>
      <c r="Q139" s="132">
        <v>0</v>
      </c>
      <c r="R139" s="132">
        <v>50</v>
      </c>
      <c r="S139" s="132">
        <v>65</v>
      </c>
      <c r="T139" s="132">
        <v>46</v>
      </c>
      <c r="U139" s="274">
        <v>62</v>
      </c>
      <c r="V139" s="290">
        <v>64</v>
      </c>
      <c r="W139" s="307">
        <v>9</v>
      </c>
      <c r="X139" s="307">
        <v>2</v>
      </c>
      <c r="Y139" s="307">
        <v>60</v>
      </c>
      <c r="Z139" s="132">
        <v>4</v>
      </c>
      <c r="AA139" s="132">
        <v>0</v>
      </c>
      <c r="AB139" s="132">
        <v>39</v>
      </c>
      <c r="AC139" s="132"/>
      <c r="AD139" s="132"/>
      <c r="AE139" s="675"/>
      <c r="AF139" s="141">
        <f>+W139+X139+Y139+Z139+117+AA139+AB139</f>
        <v>231</v>
      </c>
      <c r="AG139" s="132"/>
      <c r="AH139" s="102">
        <f>+AF139/(M139*4)</f>
        <v>0.90234375</v>
      </c>
      <c r="AI139" s="598">
        <f t="shared" si="2"/>
        <v>0.90234375</v>
      </c>
      <c r="AJ139" s="125"/>
      <c r="AK139" s="619">
        <v>793171775</v>
      </c>
      <c r="AL139" s="143"/>
      <c r="AM139" s="143"/>
      <c r="AN139" s="143"/>
      <c r="AO139" s="143"/>
      <c r="AP139" s="143"/>
      <c r="AQ139" s="143"/>
      <c r="AR139" s="143"/>
      <c r="AS139" s="143"/>
      <c r="AT139" s="619">
        <v>336600000</v>
      </c>
      <c r="AU139" s="619">
        <f>+AT139/AK139</f>
        <v>0.42437213553142383</v>
      </c>
      <c r="AV139" s="144"/>
    </row>
    <row r="140" spans="1:52" ht="60" x14ac:dyDescent="0.25">
      <c r="A140" s="632"/>
      <c r="B140" s="663"/>
      <c r="C140" s="634"/>
      <c r="D140" s="705"/>
      <c r="E140" s="622"/>
      <c r="F140" s="646"/>
      <c r="G140" s="650"/>
      <c r="H140" s="628"/>
      <c r="I140" s="628"/>
      <c r="J140" s="622"/>
      <c r="K140" s="125" t="s">
        <v>329</v>
      </c>
      <c r="L140" s="125" t="s">
        <v>332</v>
      </c>
      <c r="M140" s="105">
        <v>400</v>
      </c>
      <c r="N140" s="105">
        <v>90</v>
      </c>
      <c r="O140" s="105"/>
      <c r="P140" s="134"/>
      <c r="Q140" s="132">
        <v>92</v>
      </c>
      <c r="R140" s="132">
        <v>110</v>
      </c>
      <c r="S140" s="132">
        <v>0</v>
      </c>
      <c r="T140" s="132">
        <v>100</v>
      </c>
      <c r="U140" s="274">
        <v>0</v>
      </c>
      <c r="V140" s="290">
        <v>100</v>
      </c>
      <c r="W140" s="307">
        <v>50</v>
      </c>
      <c r="X140" s="307">
        <v>25</v>
      </c>
      <c r="Y140" s="307">
        <v>10</v>
      </c>
      <c r="Z140" s="132">
        <v>15</v>
      </c>
      <c r="AA140" s="132">
        <v>0</v>
      </c>
      <c r="AB140" s="132">
        <v>56</v>
      </c>
      <c r="AC140" s="132"/>
      <c r="AD140" s="132"/>
      <c r="AE140" s="676"/>
      <c r="AF140" s="141">
        <f>+R140+T140+W140+X140+Y140+Z140+AA140+AB140</f>
        <v>366</v>
      </c>
      <c r="AG140" s="132"/>
      <c r="AH140" s="102">
        <f>+AF140/400</f>
        <v>0.91500000000000004</v>
      </c>
      <c r="AI140" s="598">
        <f t="shared" si="2"/>
        <v>0.91500000000000004</v>
      </c>
      <c r="AJ140" s="125"/>
      <c r="AK140" s="671"/>
      <c r="AL140" s="143"/>
      <c r="AM140" s="143"/>
      <c r="AN140" s="143"/>
      <c r="AO140" s="143"/>
      <c r="AP140" s="143"/>
      <c r="AQ140" s="143"/>
      <c r="AR140" s="143"/>
      <c r="AS140" s="143"/>
      <c r="AT140" s="671"/>
      <c r="AU140" s="671"/>
      <c r="AV140" s="144"/>
    </row>
    <row r="141" spans="1:52" ht="75" customHeight="1" x14ac:dyDescent="0.25">
      <c r="A141" s="632"/>
      <c r="B141" s="663"/>
      <c r="C141" s="634"/>
      <c r="D141" s="705"/>
      <c r="E141" s="622"/>
      <c r="F141" s="646"/>
      <c r="G141" s="650"/>
      <c r="H141" s="628"/>
      <c r="I141" s="628"/>
      <c r="J141" s="622"/>
      <c r="K141" s="125" t="s">
        <v>2186</v>
      </c>
      <c r="L141" s="125" t="s">
        <v>333</v>
      </c>
      <c r="M141" s="105">
        <f>56*4</f>
        <v>224</v>
      </c>
      <c r="N141" s="105">
        <v>56</v>
      </c>
      <c r="O141" s="105"/>
      <c r="P141" s="134"/>
      <c r="Q141" s="132">
        <v>0</v>
      </c>
      <c r="R141" s="132">
        <v>56</v>
      </c>
      <c r="S141" s="132">
        <v>56</v>
      </c>
      <c r="T141" s="132">
        <v>16</v>
      </c>
      <c r="U141" s="274">
        <v>0</v>
      </c>
      <c r="V141" s="290">
        <v>56</v>
      </c>
      <c r="W141" s="307">
        <v>10</v>
      </c>
      <c r="X141" s="307">
        <v>4</v>
      </c>
      <c r="Y141" s="307">
        <v>31</v>
      </c>
      <c r="Z141" s="132">
        <v>56</v>
      </c>
      <c r="AA141" s="132">
        <v>0</v>
      </c>
      <c r="AB141" s="132">
        <v>14</v>
      </c>
      <c r="AC141" s="132"/>
      <c r="AD141" s="132"/>
      <c r="AE141" s="676"/>
      <c r="AF141" s="141">
        <f>+R141+W141+X141+Y141+Z141+AA141+AB141</f>
        <v>171</v>
      </c>
      <c r="AG141" s="125"/>
      <c r="AH141" s="102">
        <f>+AF141/M141</f>
        <v>0.7633928571428571</v>
      </c>
      <c r="AI141" s="598">
        <f t="shared" si="2"/>
        <v>0.7633928571428571</v>
      </c>
      <c r="AJ141" s="125"/>
      <c r="AK141" s="671"/>
      <c r="AL141" s="143"/>
      <c r="AM141" s="143"/>
      <c r="AN141" s="143"/>
      <c r="AO141" s="143"/>
      <c r="AP141" s="143"/>
      <c r="AQ141" s="143"/>
      <c r="AR141" s="143"/>
      <c r="AS141" s="143"/>
      <c r="AT141" s="671"/>
      <c r="AU141" s="671"/>
      <c r="AV141" s="144"/>
    </row>
    <row r="142" spans="1:52" ht="75" customHeight="1" x14ac:dyDescent="0.25">
      <c r="A142" s="632"/>
      <c r="B142" s="663"/>
      <c r="C142" s="634"/>
      <c r="D142" s="705"/>
      <c r="E142" s="622"/>
      <c r="F142" s="646"/>
      <c r="G142" s="650"/>
      <c r="H142" s="628"/>
      <c r="I142" s="628"/>
      <c r="J142" s="622"/>
      <c r="K142" s="125" t="s">
        <v>330</v>
      </c>
      <c r="L142" s="125" t="s">
        <v>334</v>
      </c>
      <c r="M142" s="105">
        <v>20</v>
      </c>
      <c r="N142" s="105">
        <v>20</v>
      </c>
      <c r="O142" s="105"/>
      <c r="P142" s="134"/>
      <c r="Q142" s="132">
        <v>34</v>
      </c>
      <c r="R142" s="132">
        <v>20</v>
      </c>
      <c r="S142" s="132">
        <v>21</v>
      </c>
      <c r="T142" s="132">
        <v>0</v>
      </c>
      <c r="U142" s="274">
        <v>17</v>
      </c>
      <c r="V142" s="290">
        <v>20</v>
      </c>
      <c r="W142" s="307">
        <v>9</v>
      </c>
      <c r="X142" s="307">
        <v>11</v>
      </c>
      <c r="Y142" s="307">
        <v>0</v>
      </c>
      <c r="Z142" s="132">
        <v>0</v>
      </c>
      <c r="AA142" s="132">
        <v>0</v>
      </c>
      <c r="AB142" s="132">
        <v>17</v>
      </c>
      <c r="AC142" s="132"/>
      <c r="AD142" s="132"/>
      <c r="AE142" s="677"/>
      <c r="AF142" s="141">
        <f>+W142+X142+40+AB142</f>
        <v>77</v>
      </c>
      <c r="AG142" s="125"/>
      <c r="AH142" s="102">
        <f>+AF142/80</f>
        <v>0.96250000000000002</v>
      </c>
      <c r="AI142" s="598">
        <f t="shared" si="2"/>
        <v>0.96250000000000002</v>
      </c>
      <c r="AJ142" s="125"/>
      <c r="AK142" s="671"/>
      <c r="AL142" s="143"/>
      <c r="AM142" s="143"/>
      <c r="AN142" s="143"/>
      <c r="AO142" s="143"/>
      <c r="AP142" s="143"/>
      <c r="AQ142" s="143"/>
      <c r="AR142" s="143"/>
      <c r="AS142" s="143"/>
      <c r="AT142" s="671"/>
      <c r="AU142" s="671"/>
      <c r="AV142" s="144"/>
    </row>
    <row r="143" spans="1:52" ht="90" customHeight="1" x14ac:dyDescent="0.25">
      <c r="A143" s="632"/>
      <c r="B143" s="663"/>
      <c r="C143" s="634"/>
      <c r="D143" s="705"/>
      <c r="E143" s="622"/>
      <c r="F143" s="646" t="s">
        <v>336</v>
      </c>
      <c r="G143" s="622" t="s">
        <v>335</v>
      </c>
      <c r="H143" s="630">
        <v>0.65</v>
      </c>
      <c r="I143" s="630">
        <v>0</v>
      </c>
      <c r="J143" s="622"/>
      <c r="K143" s="125" t="s">
        <v>337</v>
      </c>
      <c r="L143" s="125" t="s">
        <v>338</v>
      </c>
      <c r="M143" s="105">
        <f>81*4</f>
        <v>324</v>
      </c>
      <c r="N143" s="105">
        <v>110</v>
      </c>
      <c r="O143" s="105"/>
      <c r="P143" s="125"/>
      <c r="Q143" s="132">
        <v>0</v>
      </c>
      <c r="R143" s="132">
        <v>77</v>
      </c>
      <c r="S143" s="132">
        <v>81</v>
      </c>
      <c r="T143" s="132">
        <v>0</v>
      </c>
      <c r="U143" s="274">
        <v>69</v>
      </c>
      <c r="V143" s="290">
        <v>81</v>
      </c>
      <c r="W143" s="435">
        <v>9</v>
      </c>
      <c r="X143" s="435">
        <v>42</v>
      </c>
      <c r="Y143" s="435">
        <v>14</v>
      </c>
      <c r="Z143" s="435">
        <v>16</v>
      </c>
      <c r="AA143" s="132">
        <v>0</v>
      </c>
      <c r="AB143" s="132">
        <v>39</v>
      </c>
      <c r="AC143" s="132"/>
      <c r="AD143" s="132"/>
      <c r="AE143" s="675"/>
      <c r="AF143" s="141">
        <f>+R143+V143+W143+X143+Y143+Z143+AA143+AB143</f>
        <v>278</v>
      </c>
      <c r="AG143" s="125"/>
      <c r="AH143" s="102">
        <f>+(AF143/M143)</f>
        <v>0.85802469135802473</v>
      </c>
      <c r="AI143" s="598">
        <f t="shared" si="2"/>
        <v>0.85802469135802473</v>
      </c>
      <c r="AJ143" s="125"/>
      <c r="AK143" s="671"/>
      <c r="AL143" s="143"/>
      <c r="AM143" s="143"/>
      <c r="AN143" s="143"/>
      <c r="AO143" s="143"/>
      <c r="AP143" s="143"/>
      <c r="AQ143" s="143"/>
      <c r="AR143" s="143"/>
      <c r="AS143" s="143"/>
      <c r="AT143" s="671"/>
      <c r="AU143" s="671"/>
      <c r="AV143" s="144"/>
    </row>
    <row r="144" spans="1:52" ht="106.5" customHeight="1" x14ac:dyDescent="0.25">
      <c r="A144" s="632"/>
      <c r="B144" s="663"/>
      <c r="C144" s="634"/>
      <c r="D144" s="705"/>
      <c r="E144" s="622"/>
      <c r="F144" s="646"/>
      <c r="G144" s="622"/>
      <c r="H144" s="630"/>
      <c r="I144" s="630"/>
      <c r="J144" s="622"/>
      <c r="K144" s="125" t="s">
        <v>339</v>
      </c>
      <c r="L144" s="125" t="s">
        <v>340</v>
      </c>
      <c r="M144" s="105">
        <f>40*4</f>
        <v>160</v>
      </c>
      <c r="N144" s="105" t="s">
        <v>313</v>
      </c>
      <c r="O144" s="105"/>
      <c r="P144" s="132"/>
      <c r="Q144" s="132">
        <v>34</v>
      </c>
      <c r="R144" s="337">
        <v>40</v>
      </c>
      <c r="S144" s="132">
        <v>0</v>
      </c>
      <c r="T144" s="132">
        <v>27</v>
      </c>
      <c r="U144" s="274">
        <v>40</v>
      </c>
      <c r="V144" s="290">
        <v>40</v>
      </c>
      <c r="W144" s="435">
        <v>9</v>
      </c>
      <c r="X144" s="435">
        <v>38</v>
      </c>
      <c r="Y144" s="435">
        <v>2</v>
      </c>
      <c r="Z144" s="435">
        <v>0</v>
      </c>
      <c r="AA144" s="132">
        <v>0</v>
      </c>
      <c r="AB144" s="132">
        <v>32</v>
      </c>
      <c r="AC144" s="132"/>
      <c r="AD144" s="132"/>
      <c r="AE144" s="677"/>
      <c r="AF144" s="141">
        <f>+V144+R144+W144+X144+Y144+AA144+AB144</f>
        <v>161</v>
      </c>
      <c r="AG144" s="125"/>
      <c r="AH144" s="102">
        <v>1</v>
      </c>
      <c r="AI144" s="598">
        <f t="shared" si="2"/>
        <v>1</v>
      </c>
      <c r="AJ144" s="125"/>
      <c r="AK144" s="671"/>
      <c r="AL144" s="143"/>
      <c r="AM144" s="143"/>
      <c r="AN144" s="143"/>
      <c r="AO144" s="143"/>
      <c r="AP144" s="143"/>
      <c r="AQ144" s="143"/>
      <c r="AR144" s="143"/>
      <c r="AS144" s="143"/>
      <c r="AT144" s="671"/>
      <c r="AU144" s="671"/>
      <c r="AV144" s="144"/>
    </row>
    <row r="145" spans="1:48" ht="48.75" customHeight="1" x14ac:dyDescent="0.25">
      <c r="A145" s="632"/>
      <c r="B145" s="663"/>
      <c r="C145" s="634"/>
      <c r="D145" s="705"/>
      <c r="E145" s="622"/>
      <c r="F145" s="125"/>
      <c r="G145" s="132"/>
      <c r="H145" s="107"/>
      <c r="I145" s="107"/>
      <c r="J145" s="132"/>
      <c r="K145" s="125"/>
      <c r="L145" s="125"/>
      <c r="M145" s="105"/>
      <c r="N145" s="105"/>
      <c r="O145" s="105"/>
      <c r="P145" s="125"/>
      <c r="Q145" s="125"/>
      <c r="R145" s="125"/>
      <c r="S145" s="125"/>
      <c r="T145" s="125"/>
      <c r="U145" s="274"/>
      <c r="V145" s="290"/>
      <c r="W145" s="125"/>
      <c r="X145" s="125"/>
      <c r="Y145" s="125"/>
      <c r="Z145" s="125"/>
      <c r="AA145" s="125"/>
      <c r="AB145" s="125"/>
      <c r="AC145" s="125"/>
      <c r="AD145" s="125"/>
      <c r="AE145" s="290"/>
      <c r="AF145" s="141"/>
      <c r="AG145" s="125"/>
      <c r="AH145" s="150">
        <f>AVERAGE(AH139:AH144)</f>
        <v>0.90021021641681365</v>
      </c>
      <c r="AI145" s="598">
        <f t="shared" si="2"/>
        <v>0.90021021641681365</v>
      </c>
      <c r="AJ145" s="125"/>
      <c r="AK145" s="671"/>
      <c r="AL145" s="143"/>
      <c r="AM145" s="143"/>
      <c r="AN145" s="143"/>
      <c r="AO145" s="143"/>
      <c r="AP145" s="143"/>
      <c r="AQ145" s="143"/>
      <c r="AR145" s="143"/>
      <c r="AS145" s="143"/>
      <c r="AT145" s="671"/>
      <c r="AU145" s="671"/>
      <c r="AV145" s="144"/>
    </row>
    <row r="146" spans="1:48" ht="60" x14ac:dyDescent="0.25">
      <c r="A146" s="632"/>
      <c r="B146" s="663"/>
      <c r="C146" s="634"/>
      <c r="D146" s="705"/>
      <c r="E146" s="622"/>
      <c r="F146" s="125" t="s">
        <v>341</v>
      </c>
      <c r="G146" s="125" t="s">
        <v>342</v>
      </c>
      <c r="H146" s="132" t="s">
        <v>344</v>
      </c>
      <c r="I146" s="132" t="s">
        <v>343</v>
      </c>
      <c r="J146" s="622" t="s">
        <v>347</v>
      </c>
      <c r="K146" s="125" t="s">
        <v>345</v>
      </c>
      <c r="L146" s="125" t="s">
        <v>346</v>
      </c>
      <c r="M146" s="132">
        <f>100*4</f>
        <v>400</v>
      </c>
      <c r="N146" s="132">
        <v>0</v>
      </c>
      <c r="O146" s="132"/>
      <c r="P146" s="125"/>
      <c r="Q146" s="132">
        <v>83</v>
      </c>
      <c r="R146" s="132">
        <v>100</v>
      </c>
      <c r="S146" s="132">
        <v>114</v>
      </c>
      <c r="T146" s="132">
        <v>106</v>
      </c>
      <c r="U146" s="274">
        <v>106</v>
      </c>
      <c r="V146" s="290">
        <v>106</v>
      </c>
      <c r="W146" s="435">
        <v>29</v>
      </c>
      <c r="X146" s="435">
        <v>57</v>
      </c>
      <c r="Y146" s="435">
        <v>14</v>
      </c>
      <c r="Z146" s="435">
        <v>0</v>
      </c>
      <c r="AA146" s="132">
        <v>0</v>
      </c>
      <c r="AB146" s="132">
        <v>20</v>
      </c>
      <c r="AC146" s="132"/>
      <c r="AD146" s="132"/>
      <c r="AE146" s="290"/>
      <c r="AF146" s="141">
        <f>+R146+V146+W146+X146+Y146+AB146</f>
        <v>326</v>
      </c>
      <c r="AG146" s="125"/>
      <c r="AH146" s="102">
        <f>+AF146/M146</f>
        <v>0.81499999999999995</v>
      </c>
      <c r="AI146" s="598">
        <f t="shared" si="2"/>
        <v>0.81499999999999995</v>
      </c>
      <c r="AJ146" s="125"/>
      <c r="AK146" s="671"/>
      <c r="AL146" s="143"/>
      <c r="AM146" s="143"/>
      <c r="AN146" s="143"/>
      <c r="AO146" s="143"/>
      <c r="AP146" s="143"/>
      <c r="AQ146" s="143"/>
      <c r="AR146" s="143"/>
      <c r="AS146" s="143"/>
      <c r="AT146" s="671"/>
      <c r="AU146" s="671"/>
      <c r="AV146" s="144"/>
    </row>
    <row r="147" spans="1:48" ht="75" customHeight="1" x14ac:dyDescent="0.25">
      <c r="A147" s="632"/>
      <c r="B147" s="663"/>
      <c r="C147" s="634"/>
      <c r="D147" s="705"/>
      <c r="E147" s="622"/>
      <c r="F147" s="646" t="s">
        <v>348</v>
      </c>
      <c r="G147" s="622" t="s">
        <v>354</v>
      </c>
      <c r="H147" s="645">
        <v>1</v>
      </c>
      <c r="I147" s="622" t="s">
        <v>355</v>
      </c>
      <c r="J147" s="622"/>
      <c r="K147" s="125" t="s">
        <v>349</v>
      </c>
      <c r="L147" s="125" t="s">
        <v>350</v>
      </c>
      <c r="M147" s="105">
        <f>100*4</f>
        <v>400</v>
      </c>
      <c r="N147" s="105">
        <v>0</v>
      </c>
      <c r="O147" s="105"/>
      <c r="P147" s="125"/>
      <c r="Q147" s="132">
        <v>83</v>
      </c>
      <c r="R147" s="132">
        <v>100</v>
      </c>
      <c r="S147" s="132">
        <v>114</v>
      </c>
      <c r="T147" s="132">
        <v>100</v>
      </c>
      <c r="U147" s="274">
        <v>98</v>
      </c>
      <c r="V147" s="290">
        <v>98</v>
      </c>
      <c r="W147" s="435">
        <v>25</v>
      </c>
      <c r="X147" s="435">
        <v>61</v>
      </c>
      <c r="Y147" s="435">
        <v>14</v>
      </c>
      <c r="Z147" s="435">
        <v>0</v>
      </c>
      <c r="AA147" s="132">
        <v>0</v>
      </c>
      <c r="AB147" s="132">
        <v>20</v>
      </c>
      <c r="AC147" s="132"/>
      <c r="AD147" s="132"/>
      <c r="AE147" s="290"/>
      <c r="AF147" s="141">
        <f>+R147+V147+W147+X147+Y147+AB147</f>
        <v>318</v>
      </c>
      <c r="AG147" s="125"/>
      <c r="AH147" s="102">
        <f>+AF147/M147</f>
        <v>0.79500000000000004</v>
      </c>
      <c r="AI147" s="598">
        <f t="shared" si="2"/>
        <v>0.79500000000000004</v>
      </c>
      <c r="AJ147" s="125"/>
      <c r="AK147" s="671"/>
      <c r="AL147" s="143"/>
      <c r="AM147" s="143"/>
      <c r="AN147" s="143"/>
      <c r="AO147" s="143"/>
      <c r="AP147" s="143"/>
      <c r="AQ147" s="143"/>
      <c r="AR147" s="143"/>
      <c r="AS147" s="143"/>
      <c r="AT147" s="671"/>
      <c r="AU147" s="671"/>
      <c r="AV147" s="144"/>
    </row>
    <row r="148" spans="1:48" ht="45" customHeight="1" x14ac:dyDescent="0.25">
      <c r="A148" s="632"/>
      <c r="B148" s="663"/>
      <c r="C148" s="634"/>
      <c r="D148" s="705"/>
      <c r="E148" s="622"/>
      <c r="F148" s="646"/>
      <c r="G148" s="622"/>
      <c r="H148" s="645"/>
      <c r="I148" s="622"/>
      <c r="J148" s="622"/>
      <c r="K148" s="125" t="s">
        <v>351</v>
      </c>
      <c r="L148" s="125" t="s">
        <v>352</v>
      </c>
      <c r="M148" s="105">
        <v>1670</v>
      </c>
      <c r="N148" s="105">
        <v>0</v>
      </c>
      <c r="O148" s="105"/>
      <c r="P148" s="125"/>
      <c r="Q148" s="132">
        <v>334</v>
      </c>
      <c r="R148" s="132">
        <v>100</v>
      </c>
      <c r="S148" s="132">
        <v>334</v>
      </c>
      <c r="T148" s="132">
        <v>21</v>
      </c>
      <c r="U148" s="274">
        <v>283</v>
      </c>
      <c r="V148" s="290">
        <v>400</v>
      </c>
      <c r="W148" s="307">
        <v>92</v>
      </c>
      <c r="X148" s="307">
        <v>153</v>
      </c>
      <c r="Y148" s="307">
        <v>142</v>
      </c>
      <c r="Z148" s="132">
        <v>113</v>
      </c>
      <c r="AA148" s="132">
        <v>0</v>
      </c>
      <c r="AB148" s="132">
        <v>0</v>
      </c>
      <c r="AC148" s="132"/>
      <c r="AD148" s="132"/>
      <c r="AE148" s="290"/>
      <c r="AF148" s="141">
        <f>+R148+Q148+S148+U148+T148+V148+W148+X148+Y148+Z148+1600</f>
        <v>3572</v>
      </c>
      <c r="AG148" s="125"/>
      <c r="AH148" s="102">
        <f>+AF148/(M148*4)</f>
        <v>0.53473053892215572</v>
      </c>
      <c r="AI148" s="598">
        <f t="shared" si="2"/>
        <v>0.53473053892215572</v>
      </c>
      <c r="AJ148" s="125"/>
      <c r="AK148" s="671"/>
      <c r="AL148" s="143"/>
      <c r="AM148" s="143"/>
      <c r="AN148" s="143"/>
      <c r="AO148" s="143"/>
      <c r="AP148" s="143"/>
      <c r="AQ148" s="143"/>
      <c r="AR148" s="143"/>
      <c r="AS148" s="143"/>
      <c r="AT148" s="671"/>
      <c r="AU148" s="671"/>
      <c r="AV148" s="144"/>
    </row>
    <row r="149" spans="1:48" ht="99" customHeight="1" x14ac:dyDescent="0.25">
      <c r="A149" s="632"/>
      <c r="B149" s="663"/>
      <c r="C149" s="634"/>
      <c r="D149" s="705"/>
      <c r="E149" s="622"/>
      <c r="F149" s="622" t="s">
        <v>353</v>
      </c>
      <c r="G149" s="622" t="s">
        <v>356</v>
      </c>
      <c r="H149" s="630">
        <v>1</v>
      </c>
      <c r="I149" s="623" t="s">
        <v>355</v>
      </c>
      <c r="J149" s="622"/>
      <c r="K149" s="125" t="s">
        <v>357</v>
      </c>
      <c r="L149" s="125" t="s">
        <v>358</v>
      </c>
      <c r="M149" s="105">
        <f>100*4</f>
        <v>400</v>
      </c>
      <c r="N149" s="105">
        <v>0</v>
      </c>
      <c r="O149" s="105"/>
      <c r="P149" s="125"/>
      <c r="Q149" s="132">
        <v>83</v>
      </c>
      <c r="R149" s="132">
        <v>106</v>
      </c>
      <c r="S149" s="132">
        <v>114</v>
      </c>
      <c r="T149" s="132">
        <v>100</v>
      </c>
      <c r="U149" s="274">
        <v>100</v>
      </c>
      <c r="V149" s="290">
        <v>100</v>
      </c>
      <c r="W149" s="307">
        <v>30</v>
      </c>
      <c r="X149" s="307">
        <v>49</v>
      </c>
      <c r="Y149" s="307">
        <v>18</v>
      </c>
      <c r="Z149" s="132">
        <v>3</v>
      </c>
      <c r="AA149" s="132">
        <v>0</v>
      </c>
      <c r="AB149" s="132">
        <v>12</v>
      </c>
      <c r="AC149" s="132"/>
      <c r="AD149" s="132"/>
      <c r="AE149" s="675"/>
      <c r="AF149" s="141">
        <f>+T149+R149+W149+X149+Y149+AB149</f>
        <v>315</v>
      </c>
      <c r="AG149" s="125"/>
      <c r="AH149" s="102">
        <f>+AF149/(M149-N149)</f>
        <v>0.78749999999999998</v>
      </c>
      <c r="AI149" s="598">
        <f t="shared" si="2"/>
        <v>0.78749999999999998</v>
      </c>
      <c r="AJ149" s="125"/>
      <c r="AK149" s="671"/>
      <c r="AL149" s="143"/>
      <c r="AM149" s="143"/>
      <c r="AN149" s="143"/>
      <c r="AO149" s="143"/>
      <c r="AP149" s="143"/>
      <c r="AQ149" s="143"/>
      <c r="AR149" s="143"/>
      <c r="AS149" s="143"/>
      <c r="AT149" s="671"/>
      <c r="AU149" s="671"/>
      <c r="AV149" s="144"/>
    </row>
    <row r="150" spans="1:48" ht="60" customHeight="1" x14ac:dyDescent="0.25">
      <c r="A150" s="632"/>
      <c r="B150" s="663"/>
      <c r="C150" s="634"/>
      <c r="D150" s="705"/>
      <c r="E150" s="622"/>
      <c r="F150" s="622"/>
      <c r="G150" s="622"/>
      <c r="H150" s="622"/>
      <c r="I150" s="623"/>
      <c r="J150" s="622"/>
      <c r="K150" s="125" t="s">
        <v>359</v>
      </c>
      <c r="L150" s="125" t="s">
        <v>360</v>
      </c>
      <c r="M150" s="105">
        <f>80*4</f>
        <v>320</v>
      </c>
      <c r="N150" s="105">
        <v>0</v>
      </c>
      <c r="O150" s="105"/>
      <c r="P150" s="125"/>
      <c r="Q150" s="132">
        <v>83</v>
      </c>
      <c r="R150" s="132">
        <v>80</v>
      </c>
      <c r="S150" s="132">
        <v>83</v>
      </c>
      <c r="T150" s="132">
        <v>80</v>
      </c>
      <c r="U150" s="274">
        <v>78</v>
      </c>
      <c r="V150" s="290">
        <v>80</v>
      </c>
      <c r="W150" s="307">
        <v>11</v>
      </c>
      <c r="X150" s="307">
        <v>28</v>
      </c>
      <c r="Y150" s="307">
        <v>33</v>
      </c>
      <c r="Z150" s="132">
        <v>8</v>
      </c>
      <c r="AA150" s="132">
        <v>0</v>
      </c>
      <c r="AB150" s="132">
        <v>2</v>
      </c>
      <c r="AC150" s="132"/>
      <c r="AD150" s="132"/>
      <c r="AE150" s="676"/>
      <c r="AF150" s="141">
        <f>+R150+V150+W150+X150+Y150+AB150</f>
        <v>234</v>
      </c>
      <c r="AG150" s="125"/>
      <c r="AH150" s="102">
        <f>+AF150/M150</f>
        <v>0.73124999999999996</v>
      </c>
      <c r="AI150" s="598">
        <f t="shared" si="2"/>
        <v>0.73124999999999996</v>
      </c>
      <c r="AJ150" s="125"/>
      <c r="AK150" s="671"/>
      <c r="AL150" s="143"/>
      <c r="AM150" s="143"/>
      <c r="AN150" s="143"/>
      <c r="AO150" s="143"/>
      <c r="AP150" s="143"/>
      <c r="AQ150" s="143"/>
      <c r="AR150" s="143"/>
      <c r="AS150" s="143"/>
      <c r="AT150" s="671"/>
      <c r="AU150" s="671"/>
      <c r="AV150" s="144"/>
    </row>
    <row r="151" spans="1:48" ht="60" customHeight="1" x14ac:dyDescent="0.25">
      <c r="A151" s="632"/>
      <c r="B151" s="663"/>
      <c r="C151" s="634"/>
      <c r="D151" s="705"/>
      <c r="E151" s="622"/>
      <c r="F151" s="622"/>
      <c r="G151" s="622"/>
      <c r="H151" s="622"/>
      <c r="I151" s="623"/>
      <c r="J151" s="622"/>
      <c r="K151" s="125" t="s">
        <v>361</v>
      </c>
      <c r="L151" s="125" t="s">
        <v>362</v>
      </c>
      <c r="M151" s="105">
        <f>335*4</f>
        <v>1340</v>
      </c>
      <c r="N151" s="105">
        <v>0</v>
      </c>
      <c r="O151" s="105"/>
      <c r="P151" s="125"/>
      <c r="Q151" s="132">
        <v>218</v>
      </c>
      <c r="R151" s="132">
        <v>40</v>
      </c>
      <c r="S151" s="132">
        <v>218</v>
      </c>
      <c r="T151" s="132">
        <v>21</v>
      </c>
      <c r="U151" s="274">
        <v>140</v>
      </c>
      <c r="V151" s="290">
        <v>140</v>
      </c>
      <c r="W151" s="307">
        <v>32</v>
      </c>
      <c r="X151" s="307">
        <v>75</v>
      </c>
      <c r="Y151" s="307">
        <v>0</v>
      </c>
      <c r="Z151" s="132">
        <v>0</v>
      </c>
      <c r="AA151" s="132">
        <v>0</v>
      </c>
      <c r="AB151" s="132">
        <v>0</v>
      </c>
      <c r="AC151" s="132"/>
      <c r="AD151" s="132"/>
      <c r="AE151" s="677"/>
      <c r="AF151" s="141">
        <f>+S151+Q151+R151+T151+U151+W151+X151+Y151+AB151</f>
        <v>744</v>
      </c>
      <c r="AG151" s="125"/>
      <c r="AH151" s="102">
        <f>+AF151/M151</f>
        <v>0.55522388059701488</v>
      </c>
      <c r="AI151" s="598">
        <f t="shared" si="2"/>
        <v>0.55522388059701488</v>
      </c>
      <c r="AJ151" s="125"/>
      <c r="AK151" s="671"/>
      <c r="AL151" s="143"/>
      <c r="AM151" s="143"/>
      <c r="AN151" s="143"/>
      <c r="AO151" s="143"/>
      <c r="AP151" s="143"/>
      <c r="AQ151" s="143"/>
      <c r="AR151" s="143"/>
      <c r="AS151" s="143"/>
      <c r="AT151" s="671"/>
      <c r="AU151" s="671"/>
      <c r="AV151" s="144"/>
    </row>
    <row r="152" spans="1:48" ht="60" customHeight="1" x14ac:dyDescent="0.25">
      <c r="A152" s="632"/>
      <c r="B152" s="663"/>
      <c r="C152" s="634"/>
      <c r="D152" s="705"/>
      <c r="E152" s="622"/>
      <c r="F152" s="622"/>
      <c r="G152" s="622"/>
      <c r="H152" s="622"/>
      <c r="I152" s="623"/>
      <c r="J152" s="622"/>
      <c r="K152" s="125"/>
      <c r="L152" s="125"/>
      <c r="M152" s="105"/>
      <c r="N152" s="105"/>
      <c r="O152" s="105"/>
      <c r="P152" s="125"/>
      <c r="Q152" s="125"/>
      <c r="R152" s="125"/>
      <c r="S152" s="125"/>
      <c r="T152" s="125"/>
      <c r="U152" s="274"/>
      <c r="V152" s="290"/>
      <c r="W152" s="125"/>
      <c r="X152" s="125"/>
      <c r="Y152" s="125"/>
      <c r="Z152" s="125"/>
      <c r="AA152" s="125"/>
      <c r="AB152" s="125"/>
      <c r="AC152" s="125"/>
      <c r="AD152" s="125"/>
      <c r="AE152" s="290"/>
      <c r="AF152" s="141"/>
      <c r="AG152" s="125"/>
      <c r="AH152" s="150">
        <f>AVERAGE(AH146:AH151)</f>
        <v>0.70311740325319505</v>
      </c>
      <c r="AI152" s="598">
        <f t="shared" si="2"/>
        <v>0.70311740325319505</v>
      </c>
      <c r="AJ152" s="125"/>
      <c r="AK152" s="671"/>
      <c r="AL152" s="143"/>
      <c r="AM152" s="143"/>
      <c r="AN152" s="143"/>
      <c r="AO152" s="143"/>
      <c r="AP152" s="143"/>
      <c r="AQ152" s="143"/>
      <c r="AR152" s="143"/>
      <c r="AS152" s="143"/>
      <c r="AT152" s="671"/>
      <c r="AU152" s="671"/>
      <c r="AV152" s="144"/>
    </row>
    <row r="153" spans="1:48" ht="60" customHeight="1" x14ac:dyDescent="0.25">
      <c r="A153" s="632"/>
      <c r="B153" s="663"/>
      <c r="C153" s="634"/>
      <c r="D153" s="705"/>
      <c r="E153" s="622"/>
      <c r="F153" s="125"/>
      <c r="G153" s="132"/>
      <c r="H153" s="105"/>
      <c r="I153" s="108"/>
      <c r="J153" s="132"/>
      <c r="K153" s="125"/>
      <c r="L153" s="125"/>
      <c r="M153" s="105"/>
      <c r="N153" s="105"/>
      <c r="O153" s="105"/>
      <c r="P153" s="125"/>
      <c r="Q153" s="125"/>
      <c r="R153" s="125"/>
      <c r="S153" s="125"/>
      <c r="T153" s="125"/>
      <c r="U153" s="274"/>
      <c r="V153" s="290"/>
      <c r="W153" s="125"/>
      <c r="X153" s="125"/>
      <c r="Y153" s="125"/>
      <c r="Z153" s="125"/>
      <c r="AA153" s="125"/>
      <c r="AB153" s="125"/>
      <c r="AC153" s="125"/>
      <c r="AD153" s="125"/>
      <c r="AE153" s="290"/>
      <c r="AF153" s="141"/>
      <c r="AG153" s="125"/>
      <c r="AH153" s="171">
        <f>+(AH145+AH152)/2</f>
        <v>0.8016638098350044</v>
      </c>
      <c r="AI153" s="598">
        <f t="shared" si="2"/>
        <v>0.8016638098350044</v>
      </c>
      <c r="AJ153" s="125"/>
      <c r="AK153" s="180"/>
      <c r="AL153" s="143"/>
      <c r="AM153" s="143"/>
      <c r="AN153" s="143"/>
      <c r="AO153" s="143"/>
      <c r="AP153" s="143"/>
      <c r="AQ153" s="143"/>
      <c r="AR153" s="143"/>
      <c r="AS153" s="143"/>
      <c r="AT153" s="180"/>
      <c r="AU153" s="195"/>
      <c r="AV153" s="144"/>
    </row>
    <row r="154" spans="1:48" ht="93" customHeight="1" x14ac:dyDescent="0.25">
      <c r="A154" s="632"/>
      <c r="B154" s="663"/>
      <c r="C154" s="634"/>
      <c r="D154" s="705"/>
      <c r="E154" s="622" t="s">
        <v>365</v>
      </c>
      <c r="F154" s="646" t="s">
        <v>363</v>
      </c>
      <c r="G154" s="622" t="s">
        <v>375</v>
      </c>
      <c r="H154" s="622" t="s">
        <v>368</v>
      </c>
      <c r="I154" s="622" t="s">
        <v>367</v>
      </c>
      <c r="J154" s="622" t="s">
        <v>366</v>
      </c>
      <c r="K154" s="132" t="s">
        <v>369</v>
      </c>
      <c r="L154" s="125" t="s">
        <v>370</v>
      </c>
      <c r="M154" s="108">
        <v>1</v>
      </c>
      <c r="N154" s="105">
        <v>130</v>
      </c>
      <c r="O154" s="105"/>
      <c r="P154" s="125"/>
      <c r="Q154" s="196">
        <f>10/219</f>
        <v>4.5662100456621002E-2</v>
      </c>
      <c r="R154" s="196">
        <v>1</v>
      </c>
      <c r="S154" s="197">
        <v>100</v>
      </c>
      <c r="T154" s="132">
        <v>218</v>
      </c>
      <c r="U154" s="274">
        <v>338</v>
      </c>
      <c r="V154" s="290">
        <v>348</v>
      </c>
      <c r="W154" s="307">
        <v>117</v>
      </c>
      <c r="X154" s="307">
        <v>123</v>
      </c>
      <c r="Y154" s="307">
        <v>140</v>
      </c>
      <c r="Z154" s="132">
        <v>140</v>
      </c>
      <c r="AA154" s="132"/>
      <c r="AB154" s="132"/>
      <c r="AC154" s="132"/>
      <c r="AD154" s="132"/>
      <c r="AE154" s="675"/>
      <c r="AF154" s="198">
        <f>+R154</f>
        <v>1</v>
      </c>
      <c r="AG154" s="125"/>
      <c r="AH154" s="199">
        <f>+AF154</f>
        <v>1</v>
      </c>
      <c r="AI154" s="598">
        <f t="shared" si="2"/>
        <v>1</v>
      </c>
      <c r="AJ154" s="125"/>
      <c r="AK154" s="619">
        <v>1153823535</v>
      </c>
      <c r="AL154" s="148"/>
      <c r="AM154" s="148"/>
      <c r="AN154" s="148"/>
      <c r="AO154" s="148"/>
      <c r="AP154" s="148"/>
      <c r="AQ154" s="148"/>
      <c r="AR154" s="148"/>
      <c r="AS154" s="148"/>
      <c r="AT154" s="619">
        <v>716670020</v>
      </c>
      <c r="AU154" s="617">
        <f>+AT154/AK154</f>
        <v>0.62112619327009999</v>
      </c>
      <c r="AV154" s="144"/>
    </row>
    <row r="155" spans="1:48" ht="110.25" customHeight="1" x14ac:dyDescent="0.25">
      <c r="A155" s="632"/>
      <c r="B155" s="663"/>
      <c r="C155" s="634"/>
      <c r="D155" s="705"/>
      <c r="E155" s="622"/>
      <c r="F155" s="646"/>
      <c r="G155" s="622"/>
      <c r="H155" s="622"/>
      <c r="I155" s="622"/>
      <c r="J155" s="622"/>
      <c r="K155" s="132" t="s">
        <v>371</v>
      </c>
      <c r="L155" s="125" t="s">
        <v>372</v>
      </c>
      <c r="M155" s="105">
        <v>94</v>
      </c>
      <c r="N155" s="105">
        <v>80</v>
      </c>
      <c r="O155" s="105"/>
      <c r="P155" s="125"/>
      <c r="Q155" s="132">
        <v>37</v>
      </c>
      <c r="R155" s="132">
        <v>94</v>
      </c>
      <c r="S155" s="200">
        <v>80</v>
      </c>
      <c r="T155" s="132">
        <v>19</v>
      </c>
      <c r="U155" s="274">
        <v>55</v>
      </c>
      <c r="V155" s="290">
        <v>94</v>
      </c>
      <c r="W155" s="307">
        <v>28</v>
      </c>
      <c r="X155" s="307">
        <v>56</v>
      </c>
      <c r="Y155" s="307">
        <v>8</v>
      </c>
      <c r="Z155" s="132">
        <v>0</v>
      </c>
      <c r="AA155" s="132">
        <v>0</v>
      </c>
      <c r="AB155" s="132">
        <v>15</v>
      </c>
      <c r="AC155" s="132"/>
      <c r="AD155" s="132"/>
      <c r="AE155" s="677"/>
      <c r="AF155" s="147">
        <f>+R155+V155+W155+X155+Y155+AB155</f>
        <v>295</v>
      </c>
      <c r="AG155" s="125"/>
      <c r="AH155" s="102">
        <f>+AF155/(M155*4)</f>
        <v>0.78457446808510634</v>
      </c>
      <c r="AI155" s="598">
        <f t="shared" si="2"/>
        <v>0.78457446808510634</v>
      </c>
      <c r="AJ155" s="125"/>
      <c r="AK155" s="671"/>
      <c r="AL155" s="143"/>
      <c r="AM155" s="143"/>
      <c r="AN155" s="143"/>
      <c r="AO155" s="143"/>
      <c r="AP155" s="143"/>
      <c r="AQ155" s="143"/>
      <c r="AR155" s="143"/>
      <c r="AS155" s="143"/>
      <c r="AT155" s="671"/>
      <c r="AU155" s="670"/>
      <c r="AV155" s="144"/>
    </row>
    <row r="156" spans="1:48" ht="105" customHeight="1" x14ac:dyDescent="0.25">
      <c r="A156" s="632"/>
      <c r="B156" s="663"/>
      <c r="C156" s="634"/>
      <c r="D156" s="705"/>
      <c r="E156" s="622"/>
      <c r="F156" s="622" t="s">
        <v>373</v>
      </c>
      <c r="G156" s="622" t="s">
        <v>374</v>
      </c>
      <c r="H156" s="645">
        <v>1</v>
      </c>
      <c r="I156" s="622" t="s">
        <v>313</v>
      </c>
      <c r="J156" s="622"/>
      <c r="K156" s="132" t="s">
        <v>376</v>
      </c>
      <c r="L156" s="125" t="s">
        <v>377</v>
      </c>
      <c r="M156" s="108">
        <v>1</v>
      </c>
      <c r="N156" s="105">
        <v>0</v>
      </c>
      <c r="O156" s="105"/>
      <c r="P156" s="125"/>
      <c r="Q156" s="107">
        <v>0.25</v>
      </c>
      <c r="R156" s="107">
        <v>0.25</v>
      </c>
      <c r="S156" s="201">
        <v>0.25</v>
      </c>
      <c r="T156" s="132">
        <v>0</v>
      </c>
      <c r="U156" s="274">
        <v>0.4</v>
      </c>
      <c r="V156" s="290">
        <v>1</v>
      </c>
      <c r="W156" s="307">
        <v>0.25</v>
      </c>
      <c r="X156" s="307">
        <v>0.25</v>
      </c>
      <c r="Y156" s="307">
        <v>0</v>
      </c>
      <c r="Z156" s="132">
        <v>0</v>
      </c>
      <c r="AA156" s="132"/>
      <c r="AB156" s="132"/>
      <c r="AC156" s="132"/>
      <c r="AD156" s="132"/>
      <c r="AE156" s="675"/>
      <c r="AF156" s="182">
        <f>+V156</f>
        <v>1</v>
      </c>
      <c r="AG156" s="125"/>
      <c r="AH156" s="102">
        <f>+(AF156/M156)</f>
        <v>1</v>
      </c>
      <c r="AI156" s="598">
        <f t="shared" si="2"/>
        <v>1</v>
      </c>
      <c r="AJ156" s="125"/>
      <c r="AK156" s="671"/>
      <c r="AL156" s="143"/>
      <c r="AM156" s="143"/>
      <c r="AN156" s="143"/>
      <c r="AO156" s="143"/>
      <c r="AP156" s="143"/>
      <c r="AQ156" s="143"/>
      <c r="AR156" s="143"/>
      <c r="AS156" s="143"/>
      <c r="AT156" s="671"/>
      <c r="AU156" s="670"/>
      <c r="AV156" s="144"/>
    </row>
    <row r="157" spans="1:48" ht="75" customHeight="1" x14ac:dyDescent="0.25">
      <c r="A157" s="632"/>
      <c r="B157" s="663"/>
      <c r="C157" s="634"/>
      <c r="D157" s="705"/>
      <c r="E157" s="622"/>
      <c r="F157" s="622"/>
      <c r="G157" s="622"/>
      <c r="H157" s="645"/>
      <c r="I157" s="622"/>
      <c r="J157" s="622"/>
      <c r="K157" s="132" t="s">
        <v>378</v>
      </c>
      <c r="L157" s="109" t="s">
        <v>379</v>
      </c>
      <c r="M157" s="105">
        <v>5</v>
      </c>
      <c r="N157" s="105">
        <v>6</v>
      </c>
      <c r="O157" s="105"/>
      <c r="P157" s="125"/>
      <c r="Q157" s="132">
        <v>5</v>
      </c>
      <c r="R157" s="132">
        <v>5</v>
      </c>
      <c r="S157" s="200">
        <v>0</v>
      </c>
      <c r="T157" s="132">
        <v>0</v>
      </c>
      <c r="U157" s="274">
        <v>5</v>
      </c>
      <c r="V157" s="290">
        <v>5</v>
      </c>
      <c r="W157" s="307">
        <v>2</v>
      </c>
      <c r="X157" s="307">
        <v>1</v>
      </c>
      <c r="Y157" s="307">
        <v>2</v>
      </c>
      <c r="Z157" s="132">
        <v>0</v>
      </c>
      <c r="AA157" s="132">
        <v>0</v>
      </c>
      <c r="AB157" s="132">
        <v>5</v>
      </c>
      <c r="AC157" s="132"/>
      <c r="AD157" s="132"/>
      <c r="AE157" s="677"/>
      <c r="AF157" s="147">
        <v>15</v>
      </c>
      <c r="AG157" s="125"/>
      <c r="AH157" s="102">
        <f>+AF157/20</f>
        <v>0.75</v>
      </c>
      <c r="AI157" s="598">
        <f t="shared" si="2"/>
        <v>0.75</v>
      </c>
      <c r="AJ157" s="125"/>
      <c r="AK157" s="671"/>
      <c r="AL157" s="143"/>
      <c r="AM157" s="143"/>
      <c r="AN157" s="143"/>
      <c r="AO157" s="143"/>
      <c r="AP157" s="143"/>
      <c r="AQ157" s="143"/>
      <c r="AR157" s="143"/>
      <c r="AS157" s="143"/>
      <c r="AT157" s="671"/>
      <c r="AU157" s="670"/>
      <c r="AV157" s="144"/>
    </row>
    <row r="158" spans="1:48" ht="75" customHeight="1" x14ac:dyDescent="0.25">
      <c r="A158" s="632"/>
      <c r="B158" s="663"/>
      <c r="C158" s="634"/>
      <c r="D158" s="705"/>
      <c r="E158" s="622"/>
      <c r="F158" s="622"/>
      <c r="G158" s="622"/>
      <c r="H158" s="645"/>
      <c r="I158" s="622"/>
      <c r="J158" s="622"/>
      <c r="K158" s="132"/>
      <c r="L158" s="109"/>
      <c r="M158" s="105"/>
      <c r="N158" s="105"/>
      <c r="O158" s="105"/>
      <c r="P158" s="125"/>
      <c r="Q158" s="125"/>
      <c r="R158" s="125"/>
      <c r="S158" s="125"/>
      <c r="T158" s="125"/>
      <c r="U158" s="274"/>
      <c r="V158" s="290"/>
      <c r="W158" s="125"/>
      <c r="X158" s="125"/>
      <c r="Y158" s="125"/>
      <c r="Z158" s="125"/>
      <c r="AA158" s="125"/>
      <c r="AB158" s="125"/>
      <c r="AC158" s="125"/>
      <c r="AD158" s="125"/>
      <c r="AE158" s="290"/>
      <c r="AF158" s="141"/>
      <c r="AG158" s="125"/>
      <c r="AH158" s="150">
        <f>AVERAGE(AH154:AH157)</f>
        <v>0.88364361702127658</v>
      </c>
      <c r="AI158" s="598">
        <f t="shared" si="2"/>
        <v>0.88364361702127658</v>
      </c>
      <c r="AJ158" s="125"/>
      <c r="AK158" s="671"/>
      <c r="AL158" s="143"/>
      <c r="AM158" s="143"/>
      <c r="AN158" s="143"/>
      <c r="AO158" s="143"/>
      <c r="AP158" s="143"/>
      <c r="AQ158" s="143"/>
      <c r="AR158" s="143"/>
      <c r="AS158" s="143"/>
      <c r="AT158" s="671"/>
      <c r="AU158" s="670"/>
      <c r="AV158" s="144"/>
    </row>
    <row r="159" spans="1:48" ht="75" customHeight="1" x14ac:dyDescent="0.25">
      <c r="A159" s="632"/>
      <c r="B159" s="663"/>
      <c r="C159" s="634"/>
      <c r="D159" s="705"/>
      <c r="E159" s="622"/>
      <c r="F159" s="125"/>
      <c r="G159" s="132"/>
      <c r="H159" s="202"/>
      <c r="I159" s="132"/>
      <c r="J159" s="132"/>
      <c r="K159" s="132"/>
      <c r="L159" s="109"/>
      <c r="M159" s="105"/>
      <c r="N159" s="105"/>
      <c r="O159" s="105"/>
      <c r="P159" s="125"/>
      <c r="Q159" s="125"/>
      <c r="R159" s="125"/>
      <c r="S159" s="125"/>
      <c r="T159" s="125"/>
      <c r="U159" s="274"/>
      <c r="V159" s="290"/>
      <c r="W159" s="125"/>
      <c r="X159" s="125"/>
      <c r="Y159" s="125"/>
      <c r="Z159" s="125"/>
      <c r="AA159" s="125"/>
      <c r="AB159" s="125"/>
      <c r="AC159" s="125"/>
      <c r="AD159" s="125"/>
      <c r="AE159" s="290"/>
      <c r="AF159" s="141"/>
      <c r="AG159" s="125"/>
      <c r="AH159" s="160">
        <f>+AH158</f>
        <v>0.88364361702127658</v>
      </c>
      <c r="AI159" s="598">
        <f t="shared" si="2"/>
        <v>0.88364361702127658</v>
      </c>
      <c r="AJ159" s="125"/>
      <c r="AK159" s="620"/>
      <c r="AL159" s="143"/>
      <c r="AM159" s="143"/>
      <c r="AN159" s="143"/>
      <c r="AO159" s="143"/>
      <c r="AP159" s="143"/>
      <c r="AQ159" s="143"/>
      <c r="AR159" s="143"/>
      <c r="AS159" s="143"/>
      <c r="AT159" s="620"/>
      <c r="AU159" s="618"/>
      <c r="AV159" s="144"/>
    </row>
    <row r="160" spans="1:48" ht="63.75" customHeight="1" x14ac:dyDescent="0.25">
      <c r="A160" s="632"/>
      <c r="B160" s="663"/>
      <c r="C160" s="634"/>
      <c r="D160" s="705"/>
      <c r="E160" s="622" t="s">
        <v>380</v>
      </c>
      <c r="F160" s="125" t="s">
        <v>381</v>
      </c>
      <c r="G160" s="132" t="s">
        <v>382</v>
      </c>
      <c r="H160" s="132">
        <v>3</v>
      </c>
      <c r="I160" s="132" t="s">
        <v>383</v>
      </c>
      <c r="J160" s="622" t="s">
        <v>403</v>
      </c>
      <c r="K160" s="132" t="s">
        <v>384</v>
      </c>
      <c r="L160" s="109" t="s">
        <v>385</v>
      </c>
      <c r="M160" s="132">
        <v>4</v>
      </c>
      <c r="N160" s="132">
        <v>0</v>
      </c>
      <c r="O160" s="132"/>
      <c r="P160" s="125"/>
      <c r="Q160" s="132">
        <v>1</v>
      </c>
      <c r="R160" s="132">
        <v>1</v>
      </c>
      <c r="S160" s="200">
        <v>2</v>
      </c>
      <c r="T160" s="132">
        <v>1</v>
      </c>
      <c r="U160" s="274">
        <v>1</v>
      </c>
      <c r="V160" s="290">
        <v>1</v>
      </c>
      <c r="W160" s="132">
        <v>1</v>
      </c>
      <c r="X160" s="132">
        <v>0</v>
      </c>
      <c r="Y160" s="132">
        <v>2</v>
      </c>
      <c r="Z160" s="132">
        <v>0</v>
      </c>
      <c r="AA160" s="132">
        <v>1</v>
      </c>
      <c r="AB160" s="132">
        <v>1</v>
      </c>
      <c r="AC160" s="132"/>
      <c r="AD160" s="132"/>
      <c r="AE160" s="290"/>
      <c r="AF160" s="147">
        <f>+R160+V160+Y160+Z160</f>
        <v>4</v>
      </c>
      <c r="AG160" s="125"/>
      <c r="AH160" s="102">
        <f>+(AF160/M160)</f>
        <v>1</v>
      </c>
      <c r="AI160" s="598">
        <f t="shared" si="2"/>
        <v>1</v>
      </c>
      <c r="AJ160" s="125"/>
      <c r="AK160" s="690">
        <v>335472966</v>
      </c>
      <c r="AL160" s="203"/>
      <c r="AM160" s="203"/>
      <c r="AN160" s="203"/>
      <c r="AO160" s="203"/>
      <c r="AP160" s="203"/>
      <c r="AQ160" s="203"/>
      <c r="AR160" s="203"/>
      <c r="AS160" s="203"/>
      <c r="AT160" s="690">
        <v>315672966</v>
      </c>
      <c r="AU160" s="617">
        <f>+AT160/AK160</f>
        <v>0.94097885073696219</v>
      </c>
      <c r="AV160" s="144"/>
    </row>
    <row r="161" spans="1:48" ht="60" customHeight="1" x14ac:dyDescent="0.25">
      <c r="A161" s="632"/>
      <c r="B161" s="663"/>
      <c r="C161" s="634"/>
      <c r="D161" s="705"/>
      <c r="E161" s="622"/>
      <c r="F161" s="646" t="s">
        <v>386</v>
      </c>
      <c r="G161" s="622" t="s">
        <v>387</v>
      </c>
      <c r="H161" s="640" t="s">
        <v>389</v>
      </c>
      <c r="I161" s="640" t="s">
        <v>388</v>
      </c>
      <c r="J161" s="622"/>
      <c r="K161" s="132" t="s">
        <v>390</v>
      </c>
      <c r="L161" s="132" t="s">
        <v>391</v>
      </c>
      <c r="M161" s="132">
        <v>80</v>
      </c>
      <c r="N161" s="132">
        <v>20</v>
      </c>
      <c r="O161" s="132"/>
      <c r="P161" s="125"/>
      <c r="Q161" s="132">
        <v>15</v>
      </c>
      <c r="R161" s="132">
        <v>20</v>
      </c>
      <c r="S161" s="200">
        <v>10</v>
      </c>
      <c r="T161" s="132">
        <v>20</v>
      </c>
      <c r="U161" s="274">
        <v>20</v>
      </c>
      <c r="V161" s="290">
        <v>20</v>
      </c>
      <c r="W161" s="447">
        <v>5</v>
      </c>
      <c r="X161" s="447">
        <v>15</v>
      </c>
      <c r="Y161" s="447">
        <v>0</v>
      </c>
      <c r="Z161" s="447">
        <v>20</v>
      </c>
      <c r="AA161" s="132">
        <v>7</v>
      </c>
      <c r="AB161" s="132">
        <v>4</v>
      </c>
      <c r="AC161" s="132"/>
      <c r="AD161" s="132"/>
      <c r="AE161" s="675"/>
      <c r="AF161" s="147">
        <f>+R161+V161+W161+X161+Y161+AA161+AB161</f>
        <v>71</v>
      </c>
      <c r="AG161" s="125"/>
      <c r="AH161" s="102">
        <f>+AF161/M161</f>
        <v>0.88749999999999996</v>
      </c>
      <c r="AI161" s="598">
        <f t="shared" si="2"/>
        <v>0.88749999999999996</v>
      </c>
      <c r="AJ161" s="125"/>
      <c r="AK161" s="691"/>
      <c r="AL161" s="203"/>
      <c r="AM161" s="203"/>
      <c r="AN161" s="203"/>
      <c r="AO161" s="203"/>
      <c r="AP161" s="203"/>
      <c r="AQ161" s="203"/>
      <c r="AR161" s="203"/>
      <c r="AS161" s="203"/>
      <c r="AT161" s="691"/>
      <c r="AU161" s="670"/>
      <c r="AV161" s="144"/>
    </row>
    <row r="162" spans="1:48" ht="60" customHeight="1" x14ac:dyDescent="0.25">
      <c r="A162" s="632"/>
      <c r="B162" s="663"/>
      <c r="C162" s="634"/>
      <c r="D162" s="705"/>
      <c r="E162" s="622"/>
      <c r="F162" s="646"/>
      <c r="G162" s="622"/>
      <c r="H162" s="640"/>
      <c r="I162" s="640"/>
      <c r="J162" s="622"/>
      <c r="K162" s="132" t="s">
        <v>392</v>
      </c>
      <c r="L162" s="132" t="s">
        <v>393</v>
      </c>
      <c r="M162" s="132">
        <v>48</v>
      </c>
      <c r="N162" s="132">
        <v>12</v>
      </c>
      <c r="O162" s="132"/>
      <c r="P162" s="125"/>
      <c r="Q162" s="132">
        <v>12</v>
      </c>
      <c r="R162" s="132">
        <v>12</v>
      </c>
      <c r="S162" s="200">
        <v>3</v>
      </c>
      <c r="T162" s="132">
        <v>12</v>
      </c>
      <c r="U162" s="274">
        <v>14</v>
      </c>
      <c r="V162" s="290">
        <v>14</v>
      </c>
      <c r="W162" s="307">
        <v>0</v>
      </c>
      <c r="X162" s="307">
        <v>3</v>
      </c>
      <c r="Y162" s="307">
        <v>8</v>
      </c>
      <c r="Z162" s="132">
        <v>12</v>
      </c>
      <c r="AA162" s="132">
        <v>1</v>
      </c>
      <c r="AB162" s="132">
        <v>4</v>
      </c>
      <c r="AC162" s="132"/>
      <c r="AD162" s="132"/>
      <c r="AE162" s="677"/>
      <c r="AF162" s="147">
        <f>+R162+V162+Z162+AA162+AB162</f>
        <v>43</v>
      </c>
      <c r="AG162" s="125"/>
      <c r="AH162" s="102">
        <f>+AF162/M162</f>
        <v>0.89583333333333337</v>
      </c>
      <c r="AI162" s="598">
        <f t="shared" si="2"/>
        <v>0.89583333333333337</v>
      </c>
      <c r="AJ162" s="125"/>
      <c r="AK162" s="691"/>
      <c r="AL162" s="203"/>
      <c r="AM162" s="203"/>
      <c r="AN162" s="203"/>
      <c r="AO162" s="203"/>
      <c r="AP162" s="203"/>
      <c r="AQ162" s="203"/>
      <c r="AR162" s="203"/>
      <c r="AS162" s="203"/>
      <c r="AT162" s="691"/>
      <c r="AU162" s="670"/>
      <c r="AV162" s="144"/>
    </row>
    <row r="163" spans="1:48" ht="45" customHeight="1" x14ac:dyDescent="0.25">
      <c r="A163" s="632"/>
      <c r="B163" s="663"/>
      <c r="C163" s="634"/>
      <c r="D163" s="705"/>
      <c r="E163" s="622"/>
      <c r="F163" s="622" t="s">
        <v>394</v>
      </c>
      <c r="G163" s="622" t="s">
        <v>395</v>
      </c>
      <c r="H163" s="622" t="s">
        <v>397</v>
      </c>
      <c r="I163" s="622" t="s">
        <v>396</v>
      </c>
      <c r="J163" s="622"/>
      <c r="K163" s="132" t="s">
        <v>398</v>
      </c>
      <c r="L163" s="133" t="s">
        <v>399</v>
      </c>
      <c r="M163" s="133">
        <f>18000*4</f>
        <v>72000</v>
      </c>
      <c r="N163" s="133">
        <v>0</v>
      </c>
      <c r="O163" s="133"/>
      <c r="P163" s="172"/>
      <c r="Q163" s="133">
        <v>0</v>
      </c>
      <c r="R163" s="133">
        <v>18000</v>
      </c>
      <c r="S163" s="200">
        <v>0</v>
      </c>
      <c r="T163" s="133">
        <v>8521</v>
      </c>
      <c r="U163" s="276">
        <v>12185</v>
      </c>
      <c r="V163" s="294">
        <v>13538</v>
      </c>
      <c r="W163" s="309">
        <v>7333</v>
      </c>
      <c r="X163" s="309">
        <v>2556</v>
      </c>
      <c r="Y163" s="309">
        <v>0</v>
      </c>
      <c r="Z163" s="133">
        <v>17600</v>
      </c>
      <c r="AA163" s="133">
        <v>2579</v>
      </c>
      <c r="AB163" s="133">
        <v>2238</v>
      </c>
      <c r="AC163" s="133"/>
      <c r="AD163" s="133"/>
      <c r="AE163" s="294"/>
      <c r="AF163" s="204">
        <f>+R163+V163+W163+X163+Y163+Z163+AA163+AB163</f>
        <v>63844</v>
      </c>
      <c r="AG163" s="172"/>
      <c r="AH163" s="102">
        <f>+AF163/M163</f>
        <v>0.88672222222222219</v>
      </c>
      <c r="AI163" s="598">
        <f t="shared" si="2"/>
        <v>0.88672222222222219</v>
      </c>
      <c r="AJ163" s="125"/>
      <c r="AK163" s="691"/>
      <c r="AL163" s="203"/>
      <c r="AM163" s="203"/>
      <c r="AN163" s="203"/>
      <c r="AO163" s="203"/>
      <c r="AP163" s="203"/>
      <c r="AQ163" s="203"/>
      <c r="AR163" s="203"/>
      <c r="AS163" s="203"/>
      <c r="AT163" s="691"/>
      <c r="AU163" s="670"/>
      <c r="AV163" s="144"/>
    </row>
    <row r="164" spans="1:48" ht="45" customHeight="1" x14ac:dyDescent="0.25">
      <c r="A164" s="632"/>
      <c r="B164" s="663"/>
      <c r="C164" s="634"/>
      <c r="D164" s="705"/>
      <c r="E164" s="622"/>
      <c r="F164" s="622"/>
      <c r="G164" s="622"/>
      <c r="H164" s="622"/>
      <c r="I164" s="622"/>
      <c r="J164" s="622"/>
      <c r="K164" s="132"/>
      <c r="L164" s="132"/>
      <c r="M164" s="132"/>
      <c r="N164" s="132"/>
      <c r="O164" s="132"/>
      <c r="P164" s="125"/>
      <c r="Q164" s="125"/>
      <c r="R164" s="125"/>
      <c r="S164" s="125"/>
      <c r="T164" s="125"/>
      <c r="U164" s="274"/>
      <c r="V164" s="290"/>
      <c r="W164" s="310"/>
      <c r="X164" s="310"/>
      <c r="Y164" s="310"/>
      <c r="Z164" s="125"/>
      <c r="AA164" s="125"/>
      <c r="AB164" s="125"/>
      <c r="AC164" s="125"/>
      <c r="AD164" s="125"/>
      <c r="AE164" s="290"/>
      <c r="AF164" s="141"/>
      <c r="AG164" s="125"/>
      <c r="AH164" s="150">
        <f>AVERAGE(AH160:AH163)</f>
        <v>0.91751388888888885</v>
      </c>
      <c r="AI164" s="598">
        <f t="shared" si="2"/>
        <v>0.91751388888888885</v>
      </c>
      <c r="AJ164" s="125"/>
      <c r="AK164" s="691"/>
      <c r="AL164" s="203"/>
      <c r="AM164" s="203"/>
      <c r="AN164" s="203"/>
      <c r="AO164" s="203"/>
      <c r="AP164" s="203"/>
      <c r="AQ164" s="203"/>
      <c r="AR164" s="203"/>
      <c r="AS164" s="203"/>
      <c r="AT164" s="691"/>
      <c r="AU164" s="670"/>
      <c r="AV164" s="144"/>
    </row>
    <row r="165" spans="1:48" ht="180" customHeight="1" x14ac:dyDescent="0.25">
      <c r="A165" s="632"/>
      <c r="B165" s="663"/>
      <c r="C165" s="634"/>
      <c r="D165" s="705"/>
      <c r="E165" s="622"/>
      <c r="F165" s="622" t="s">
        <v>400</v>
      </c>
      <c r="G165" s="622" t="s">
        <v>401</v>
      </c>
      <c r="H165" s="628">
        <v>0.8</v>
      </c>
      <c r="I165" s="628">
        <v>0.6</v>
      </c>
      <c r="J165" s="622" t="s">
        <v>402</v>
      </c>
      <c r="K165" s="132" t="s">
        <v>404</v>
      </c>
      <c r="L165" s="132" t="s">
        <v>252</v>
      </c>
      <c r="M165" s="132">
        <f>3300*4</f>
        <v>13200</v>
      </c>
      <c r="N165" s="132">
        <v>3300</v>
      </c>
      <c r="O165" s="132"/>
      <c r="P165" s="125"/>
      <c r="Q165" s="132">
        <v>2194</v>
      </c>
      <c r="R165" s="132">
        <v>3300</v>
      </c>
      <c r="S165" s="132">
        <v>701</v>
      </c>
      <c r="T165" s="132">
        <v>1372</v>
      </c>
      <c r="U165" s="274">
        <v>1991</v>
      </c>
      <c r="V165" s="290">
        <v>3300</v>
      </c>
      <c r="W165" s="307">
        <v>877</v>
      </c>
      <c r="X165" s="307">
        <v>369</v>
      </c>
      <c r="Y165" s="307">
        <v>836</v>
      </c>
      <c r="Z165" s="132">
        <v>2775</v>
      </c>
      <c r="AA165" s="132">
        <v>402</v>
      </c>
      <c r="AB165" s="132">
        <v>750</v>
      </c>
      <c r="AC165" s="132"/>
      <c r="AD165" s="132"/>
      <c r="AE165" s="290"/>
      <c r="AF165" s="141">
        <f>+V165+R165+W165+X165+Y165+Z165+AB165</f>
        <v>12207</v>
      </c>
      <c r="AG165" s="125"/>
      <c r="AH165" s="102">
        <f>+(AF165/M165)</f>
        <v>0.9247727272727273</v>
      </c>
      <c r="AI165" s="598">
        <f t="shared" si="2"/>
        <v>0.9247727272727273</v>
      </c>
      <c r="AJ165" s="125"/>
      <c r="AK165" s="691"/>
      <c r="AL165" s="203"/>
      <c r="AM165" s="203"/>
      <c r="AN165" s="203"/>
      <c r="AO165" s="203"/>
      <c r="AP165" s="203"/>
      <c r="AQ165" s="203"/>
      <c r="AR165" s="203"/>
      <c r="AS165" s="203"/>
      <c r="AT165" s="691"/>
      <c r="AU165" s="670"/>
      <c r="AV165" s="144"/>
    </row>
    <row r="166" spans="1:48" ht="47.25" customHeight="1" x14ac:dyDescent="0.25">
      <c r="A166" s="632"/>
      <c r="B166" s="663"/>
      <c r="C166" s="634"/>
      <c r="D166" s="705"/>
      <c r="E166" s="622"/>
      <c r="F166" s="622"/>
      <c r="G166" s="622"/>
      <c r="H166" s="628"/>
      <c r="I166" s="628"/>
      <c r="J166" s="622"/>
      <c r="K166" s="132"/>
      <c r="L166" s="132"/>
      <c r="M166" s="132"/>
      <c r="N166" s="132"/>
      <c r="O166" s="132"/>
      <c r="P166" s="125"/>
      <c r="Q166" s="125"/>
      <c r="R166" s="125"/>
      <c r="S166" s="125"/>
      <c r="T166" s="125"/>
      <c r="U166" s="274"/>
      <c r="V166" s="290"/>
      <c r="W166" s="308"/>
      <c r="X166" s="308"/>
      <c r="Y166" s="308"/>
      <c r="Z166" s="125"/>
      <c r="AA166" s="125"/>
      <c r="AB166" s="125"/>
      <c r="AC166" s="125"/>
      <c r="AD166" s="125"/>
      <c r="AE166" s="290"/>
      <c r="AF166" s="141"/>
      <c r="AG166" s="125"/>
      <c r="AH166" s="150">
        <f>+AH165</f>
        <v>0.9247727272727273</v>
      </c>
      <c r="AI166" s="598">
        <f t="shared" si="2"/>
        <v>0.9247727272727273</v>
      </c>
      <c r="AJ166" s="125"/>
      <c r="AK166" s="691"/>
      <c r="AL166" s="203"/>
      <c r="AM166" s="203"/>
      <c r="AN166" s="203"/>
      <c r="AO166" s="203"/>
      <c r="AP166" s="203"/>
      <c r="AQ166" s="203"/>
      <c r="AR166" s="203"/>
      <c r="AS166" s="203"/>
      <c r="AT166" s="691"/>
      <c r="AU166" s="670"/>
      <c r="AV166" s="144"/>
    </row>
    <row r="167" spans="1:48" ht="39.75" customHeight="1" x14ac:dyDescent="0.25">
      <c r="A167" s="632"/>
      <c r="B167" s="663"/>
      <c r="C167" s="634"/>
      <c r="D167" s="705"/>
      <c r="E167" s="622"/>
      <c r="F167" s="125"/>
      <c r="G167" s="132"/>
      <c r="H167" s="108"/>
      <c r="I167" s="108"/>
      <c r="J167" s="132"/>
      <c r="K167" s="132"/>
      <c r="L167" s="132"/>
      <c r="M167" s="132"/>
      <c r="N167" s="132"/>
      <c r="O167" s="132"/>
      <c r="P167" s="125"/>
      <c r="Q167" s="125"/>
      <c r="R167" s="125"/>
      <c r="S167" s="125"/>
      <c r="T167" s="125"/>
      <c r="U167" s="274"/>
      <c r="V167" s="290"/>
      <c r="W167" s="308"/>
      <c r="X167" s="308"/>
      <c r="Y167" s="308"/>
      <c r="Z167" s="125"/>
      <c r="AA167" s="125"/>
      <c r="AB167" s="125"/>
      <c r="AC167" s="125"/>
      <c r="AD167" s="125"/>
      <c r="AE167" s="290"/>
      <c r="AF167" s="141"/>
      <c r="AG167" s="125"/>
      <c r="AH167" s="171">
        <f>+(AH164+AH166)/2</f>
        <v>0.92114330808080802</v>
      </c>
      <c r="AI167" s="598">
        <f t="shared" si="2"/>
        <v>0.92114330808080802</v>
      </c>
      <c r="AJ167" s="125"/>
      <c r="AK167" s="692"/>
      <c r="AL167" s="203"/>
      <c r="AM167" s="203"/>
      <c r="AN167" s="203"/>
      <c r="AO167" s="203"/>
      <c r="AP167" s="203"/>
      <c r="AQ167" s="203"/>
      <c r="AR167" s="203"/>
      <c r="AS167" s="203"/>
      <c r="AT167" s="692"/>
      <c r="AU167" s="618"/>
      <c r="AV167" s="144"/>
    </row>
    <row r="168" spans="1:48" ht="45" customHeight="1" x14ac:dyDescent="0.25">
      <c r="A168" s="632"/>
      <c r="B168" s="663"/>
      <c r="C168" s="634"/>
      <c r="D168" s="705"/>
      <c r="E168" s="622" t="s">
        <v>405</v>
      </c>
      <c r="F168" s="646" t="s">
        <v>407</v>
      </c>
      <c r="G168" s="622" t="s">
        <v>408</v>
      </c>
      <c r="H168" s="628">
        <v>0.02</v>
      </c>
      <c r="I168" s="628">
        <v>0.1153</v>
      </c>
      <c r="J168" s="622" t="s">
        <v>406</v>
      </c>
      <c r="K168" s="132" t="s">
        <v>409</v>
      </c>
      <c r="L168" s="132" t="s">
        <v>410</v>
      </c>
      <c r="M168" s="132">
        <v>400</v>
      </c>
      <c r="N168" s="132">
        <v>100</v>
      </c>
      <c r="O168" s="132"/>
      <c r="P168" s="125"/>
      <c r="Q168" s="132">
        <v>29</v>
      </c>
      <c r="R168" s="132">
        <v>98</v>
      </c>
      <c r="S168" s="132">
        <v>100</v>
      </c>
      <c r="T168" s="132">
        <v>36</v>
      </c>
      <c r="U168" s="274">
        <v>71</v>
      </c>
      <c r="V168" s="290">
        <v>98</v>
      </c>
      <c r="W168" s="307">
        <v>21</v>
      </c>
      <c r="X168" s="307">
        <v>43</v>
      </c>
      <c r="Y168" s="307">
        <v>34</v>
      </c>
      <c r="Z168" s="132">
        <v>98</v>
      </c>
      <c r="AA168" s="132">
        <v>4</v>
      </c>
      <c r="AB168" s="132">
        <v>46</v>
      </c>
      <c r="AC168" s="132"/>
      <c r="AD168" s="132"/>
      <c r="AE168" s="290"/>
      <c r="AF168" s="141">
        <f>+R168+W168+X168+Y168+Z168+AB168+AA168</f>
        <v>344</v>
      </c>
      <c r="AG168" s="132"/>
      <c r="AH168" s="102">
        <f>+AF168/M168</f>
        <v>0.86</v>
      </c>
      <c r="AI168" s="598">
        <f t="shared" si="2"/>
        <v>0.86</v>
      </c>
      <c r="AJ168" s="125"/>
      <c r="AK168" s="619">
        <v>645692193</v>
      </c>
      <c r="AL168" s="148"/>
      <c r="AM168" s="148"/>
      <c r="AN168" s="148"/>
      <c r="AO168" s="148"/>
      <c r="AP168" s="148"/>
      <c r="AQ168" s="148"/>
      <c r="AR168" s="148"/>
      <c r="AS168" s="148"/>
      <c r="AT168" s="619">
        <v>528472641</v>
      </c>
      <c r="AU168" s="617">
        <f>+AT168/AK168</f>
        <v>0.81845908426524838</v>
      </c>
      <c r="AV168" s="144"/>
    </row>
    <row r="169" spans="1:48" ht="60" customHeight="1" x14ac:dyDescent="0.25">
      <c r="A169" s="632"/>
      <c r="B169" s="663"/>
      <c r="C169" s="634"/>
      <c r="D169" s="705"/>
      <c r="E169" s="622"/>
      <c r="F169" s="646"/>
      <c r="G169" s="622"/>
      <c r="H169" s="640"/>
      <c r="I169" s="628"/>
      <c r="J169" s="622"/>
      <c r="K169" s="132" t="s">
        <v>411</v>
      </c>
      <c r="L169" s="132" t="s">
        <v>412</v>
      </c>
      <c r="M169" s="132">
        <f>18000*4</f>
        <v>72000</v>
      </c>
      <c r="N169" s="132" t="s">
        <v>313</v>
      </c>
      <c r="O169" s="132"/>
      <c r="P169" s="125"/>
      <c r="Q169" s="132">
        <v>7380</v>
      </c>
      <c r="R169" s="132">
        <v>7380</v>
      </c>
      <c r="S169" s="132">
        <v>0</v>
      </c>
      <c r="T169" s="132">
        <v>8730</v>
      </c>
      <c r="U169" s="274">
        <v>12385</v>
      </c>
      <c r="V169" s="290">
        <v>13930</v>
      </c>
      <c r="W169" s="308">
        <v>2859</v>
      </c>
      <c r="X169" s="308">
        <v>2556</v>
      </c>
      <c r="Y169" s="308">
        <v>2236</v>
      </c>
      <c r="Z169" s="132">
        <v>17600</v>
      </c>
      <c r="AA169" s="132">
        <v>2579</v>
      </c>
      <c r="AB169" s="132">
        <v>2244</v>
      </c>
      <c r="AC169" s="132"/>
      <c r="AD169" s="132"/>
      <c r="AE169" s="290"/>
      <c r="AF169" s="141">
        <f>+V169+W169+X169+Y169+R169+Z169+AA169+AB169</f>
        <v>51384</v>
      </c>
      <c r="AG169" s="132"/>
      <c r="AH169" s="102">
        <f>+AF169/M169</f>
        <v>0.71366666666666667</v>
      </c>
      <c r="AI169" s="598">
        <f t="shared" si="2"/>
        <v>0.71366666666666667</v>
      </c>
      <c r="AJ169" s="125"/>
      <c r="AK169" s="671"/>
      <c r="AL169" s="148"/>
      <c r="AM169" s="148"/>
      <c r="AN169" s="148"/>
      <c r="AO169" s="148"/>
      <c r="AP169" s="148"/>
      <c r="AQ169" s="148"/>
      <c r="AR169" s="148"/>
      <c r="AS169" s="148"/>
      <c r="AT169" s="671"/>
      <c r="AU169" s="670"/>
      <c r="AV169" s="144"/>
    </row>
    <row r="170" spans="1:48" ht="88.5" customHeight="1" x14ac:dyDescent="0.25">
      <c r="A170" s="632"/>
      <c r="B170" s="663"/>
      <c r="C170" s="634"/>
      <c r="D170" s="705"/>
      <c r="E170" s="622"/>
      <c r="F170" s="125" t="s">
        <v>413</v>
      </c>
      <c r="G170" s="132" t="s">
        <v>414</v>
      </c>
      <c r="H170" s="108" t="s">
        <v>415</v>
      </c>
      <c r="I170" s="108">
        <v>0.01</v>
      </c>
      <c r="J170" s="622"/>
      <c r="K170" s="132" t="s">
        <v>416</v>
      </c>
      <c r="L170" s="132" t="s">
        <v>417</v>
      </c>
      <c r="M170" s="105">
        <v>30</v>
      </c>
      <c r="N170" s="105">
        <v>30</v>
      </c>
      <c r="O170" s="105"/>
      <c r="P170" s="125"/>
      <c r="Q170" s="132">
        <v>30</v>
      </c>
      <c r="R170" s="132">
        <v>30</v>
      </c>
      <c r="S170" s="132">
        <v>30</v>
      </c>
      <c r="T170" s="132">
        <v>29</v>
      </c>
      <c r="U170" s="274">
        <v>30</v>
      </c>
      <c r="V170" s="290">
        <v>30</v>
      </c>
      <c r="W170" s="307">
        <v>28</v>
      </c>
      <c r="X170" s="307">
        <v>1</v>
      </c>
      <c r="Y170" s="307">
        <v>1</v>
      </c>
      <c r="Z170" s="132">
        <v>30</v>
      </c>
      <c r="AA170" s="132">
        <v>35</v>
      </c>
      <c r="AB170" s="132">
        <v>15</v>
      </c>
      <c r="AC170" s="132"/>
      <c r="AD170" s="132"/>
      <c r="AE170" s="290"/>
      <c r="AF170" s="141">
        <f>+U170+Z170+30+AA170+AB170</f>
        <v>140</v>
      </c>
      <c r="AG170" s="132"/>
      <c r="AH170" s="102">
        <v>1</v>
      </c>
      <c r="AI170" s="598">
        <f t="shared" si="2"/>
        <v>1</v>
      </c>
      <c r="AJ170" s="125"/>
      <c r="AK170" s="671"/>
      <c r="AL170" s="148"/>
      <c r="AM170" s="148"/>
      <c r="AN170" s="148"/>
      <c r="AO170" s="148"/>
      <c r="AP170" s="148"/>
      <c r="AQ170" s="148"/>
      <c r="AR170" s="148"/>
      <c r="AS170" s="148"/>
      <c r="AT170" s="671"/>
      <c r="AU170" s="670"/>
      <c r="AV170" s="144"/>
    </row>
    <row r="171" spans="1:48" ht="75" customHeight="1" x14ac:dyDescent="0.25">
      <c r="A171" s="632"/>
      <c r="B171" s="663"/>
      <c r="C171" s="634"/>
      <c r="D171" s="705"/>
      <c r="E171" s="622"/>
      <c r="F171" s="622" t="s">
        <v>418</v>
      </c>
      <c r="G171" s="622" t="s">
        <v>419</v>
      </c>
      <c r="H171" s="649">
        <v>0.19</v>
      </c>
      <c r="I171" s="649">
        <v>0.19600000000000001</v>
      </c>
      <c r="J171" s="622"/>
      <c r="K171" s="132" t="s">
        <v>420</v>
      </c>
      <c r="L171" s="132" t="s">
        <v>421</v>
      </c>
      <c r="M171" s="132">
        <v>1</v>
      </c>
      <c r="N171" s="132">
        <v>1</v>
      </c>
      <c r="O171" s="132"/>
      <c r="P171" s="125"/>
      <c r="Q171" s="132">
        <v>1</v>
      </c>
      <c r="R171" s="132">
        <v>1</v>
      </c>
      <c r="S171" s="132">
        <v>1</v>
      </c>
      <c r="T171" s="132">
        <v>1</v>
      </c>
      <c r="U171" s="274">
        <v>1</v>
      </c>
      <c r="V171" s="290">
        <v>1</v>
      </c>
      <c r="W171" s="307">
        <v>1</v>
      </c>
      <c r="X171" s="307">
        <v>0</v>
      </c>
      <c r="Y171" s="307">
        <v>0</v>
      </c>
      <c r="Z171" s="132"/>
      <c r="AA171" s="132"/>
      <c r="AB171" s="132"/>
      <c r="AC171" s="132"/>
      <c r="AD171" s="132"/>
      <c r="AE171" s="290"/>
      <c r="AF171" s="141">
        <f>+S171</f>
        <v>1</v>
      </c>
      <c r="AG171" s="132"/>
      <c r="AH171" s="102">
        <f>+(AF171/M171)</f>
        <v>1</v>
      </c>
      <c r="AI171" s="598">
        <f t="shared" si="2"/>
        <v>1</v>
      </c>
      <c r="AJ171" s="125"/>
      <c r="AK171" s="671"/>
      <c r="AL171" s="148"/>
      <c r="AM171" s="148"/>
      <c r="AN171" s="148"/>
      <c r="AO171" s="148"/>
      <c r="AP171" s="148"/>
      <c r="AQ171" s="148"/>
      <c r="AR171" s="148"/>
      <c r="AS171" s="148"/>
      <c r="AT171" s="671"/>
      <c r="AU171" s="670"/>
      <c r="AV171" s="144"/>
    </row>
    <row r="172" spans="1:48" ht="75" customHeight="1" x14ac:dyDescent="0.25">
      <c r="A172" s="632"/>
      <c r="B172" s="663"/>
      <c r="C172" s="634"/>
      <c r="D172" s="705"/>
      <c r="E172" s="622"/>
      <c r="F172" s="622"/>
      <c r="G172" s="622"/>
      <c r="H172" s="649"/>
      <c r="I172" s="649"/>
      <c r="J172" s="622"/>
      <c r="K172" s="132"/>
      <c r="L172" s="132"/>
      <c r="M172" s="132"/>
      <c r="N172" s="132"/>
      <c r="O172" s="132"/>
      <c r="P172" s="125"/>
      <c r="Q172" s="125"/>
      <c r="R172" s="125"/>
      <c r="S172" s="125"/>
      <c r="T172" s="125"/>
      <c r="U172" s="274"/>
      <c r="V172" s="290"/>
      <c r="W172" s="125"/>
      <c r="X172" s="125"/>
      <c r="Y172" s="125"/>
      <c r="Z172" s="125"/>
      <c r="AA172" s="125"/>
      <c r="AB172" s="125"/>
      <c r="AC172" s="125"/>
      <c r="AD172" s="125"/>
      <c r="AE172" s="290"/>
      <c r="AF172" s="141"/>
      <c r="AG172" s="125"/>
      <c r="AH172" s="150">
        <f>AVERAGE(AH168:AH171)</f>
        <v>0.89341666666666664</v>
      </c>
      <c r="AI172" s="598">
        <f t="shared" si="2"/>
        <v>0.89341666666666664</v>
      </c>
      <c r="AJ172" s="125"/>
      <c r="AK172" s="671"/>
      <c r="AL172" s="148"/>
      <c r="AM172" s="148"/>
      <c r="AN172" s="148"/>
      <c r="AO172" s="148"/>
      <c r="AP172" s="148"/>
      <c r="AQ172" s="148"/>
      <c r="AR172" s="148"/>
      <c r="AS172" s="148"/>
      <c r="AT172" s="671"/>
      <c r="AU172" s="670"/>
      <c r="AV172" s="144"/>
    </row>
    <row r="173" spans="1:48" ht="75" customHeight="1" x14ac:dyDescent="0.25">
      <c r="A173" s="632"/>
      <c r="B173" s="663"/>
      <c r="C173" s="634"/>
      <c r="D173" s="705"/>
      <c r="E173" s="622"/>
      <c r="F173" s="622" t="s">
        <v>422</v>
      </c>
      <c r="G173" s="622" t="s">
        <v>423</v>
      </c>
      <c r="H173" s="622">
        <v>31.2</v>
      </c>
      <c r="I173" s="622">
        <v>46.55</v>
      </c>
      <c r="J173" s="622" t="s">
        <v>432</v>
      </c>
      <c r="K173" s="132" t="s">
        <v>424</v>
      </c>
      <c r="L173" s="132" t="s">
        <v>425</v>
      </c>
      <c r="M173" s="132">
        <f>98*4</f>
        <v>392</v>
      </c>
      <c r="N173" s="132">
        <v>110</v>
      </c>
      <c r="O173" s="132"/>
      <c r="P173" s="125"/>
      <c r="Q173" s="132">
        <v>0</v>
      </c>
      <c r="R173" s="132">
        <v>108</v>
      </c>
      <c r="S173" s="132">
        <v>100</v>
      </c>
      <c r="T173" s="132">
        <v>1</v>
      </c>
      <c r="U173" s="274">
        <v>1</v>
      </c>
      <c r="V173" s="290">
        <v>0</v>
      </c>
      <c r="W173" s="307">
        <v>22</v>
      </c>
      <c r="X173" s="307">
        <v>43</v>
      </c>
      <c r="Y173" s="307">
        <v>33</v>
      </c>
      <c r="Z173" s="132">
        <v>98</v>
      </c>
      <c r="AA173" s="132">
        <v>4</v>
      </c>
      <c r="AB173" s="132">
        <v>46</v>
      </c>
      <c r="AC173" s="132"/>
      <c r="AD173" s="132"/>
      <c r="AE173" s="675"/>
      <c r="AF173" s="141">
        <f>+R173+Z173+98+AB173+AA173</f>
        <v>354</v>
      </c>
      <c r="AG173" s="125"/>
      <c r="AH173" s="102">
        <f>+AF173/M173</f>
        <v>0.90306122448979587</v>
      </c>
      <c r="AI173" s="598">
        <f t="shared" si="2"/>
        <v>0.90306122448979587</v>
      </c>
      <c r="AJ173" s="125"/>
      <c r="AK173" s="671"/>
      <c r="AL173" s="148"/>
      <c r="AM173" s="148"/>
      <c r="AN173" s="148"/>
      <c r="AO173" s="148"/>
      <c r="AP173" s="148"/>
      <c r="AQ173" s="148"/>
      <c r="AR173" s="148"/>
      <c r="AS173" s="148"/>
      <c r="AT173" s="671"/>
      <c r="AU173" s="670"/>
      <c r="AV173" s="144"/>
    </row>
    <row r="174" spans="1:48" ht="60" customHeight="1" x14ac:dyDescent="0.25">
      <c r="A174" s="632"/>
      <c r="B174" s="663"/>
      <c r="C174" s="634"/>
      <c r="D174" s="705"/>
      <c r="E174" s="622"/>
      <c r="F174" s="622"/>
      <c r="G174" s="622"/>
      <c r="H174" s="622"/>
      <c r="I174" s="622"/>
      <c r="J174" s="622"/>
      <c r="K174" s="132" t="s">
        <v>426</v>
      </c>
      <c r="L174" s="132" t="s">
        <v>427</v>
      </c>
      <c r="M174" s="105">
        <v>600</v>
      </c>
      <c r="N174" s="105">
        <v>150</v>
      </c>
      <c r="O174" s="105"/>
      <c r="P174" s="95"/>
      <c r="Q174" s="132">
        <v>0</v>
      </c>
      <c r="R174" s="132">
        <v>150</v>
      </c>
      <c r="S174" s="132">
        <v>150</v>
      </c>
      <c r="T174" s="132">
        <v>0</v>
      </c>
      <c r="U174" s="274">
        <v>0</v>
      </c>
      <c r="V174" s="290">
        <v>0</v>
      </c>
      <c r="W174" s="307">
        <v>0</v>
      </c>
      <c r="X174" s="307">
        <v>75</v>
      </c>
      <c r="Y174" s="307">
        <v>0</v>
      </c>
      <c r="Z174" s="132">
        <v>75</v>
      </c>
      <c r="AA174" s="132">
        <v>0</v>
      </c>
      <c r="AB174" s="132">
        <v>0</v>
      </c>
      <c r="AC174" s="132"/>
      <c r="AD174" s="132"/>
      <c r="AE174" s="676"/>
      <c r="AF174" s="141">
        <f>+S174+R174+W174+X174+Y174</f>
        <v>375</v>
      </c>
      <c r="AG174" s="125"/>
      <c r="AH174" s="102">
        <f>+(AF174/M174)</f>
        <v>0.625</v>
      </c>
      <c r="AI174" s="598">
        <f t="shared" si="2"/>
        <v>0.625</v>
      </c>
      <c r="AJ174" s="125"/>
      <c r="AK174" s="671"/>
      <c r="AL174" s="148"/>
      <c r="AM174" s="148"/>
      <c r="AN174" s="148"/>
      <c r="AO174" s="148"/>
      <c r="AP174" s="148"/>
      <c r="AQ174" s="148"/>
      <c r="AR174" s="148"/>
      <c r="AS174" s="148"/>
      <c r="AT174" s="671"/>
      <c r="AU174" s="670"/>
      <c r="AV174" s="144"/>
    </row>
    <row r="175" spans="1:48" ht="75" x14ac:dyDescent="0.25">
      <c r="A175" s="632"/>
      <c r="B175" s="663"/>
      <c r="C175" s="634"/>
      <c r="D175" s="705"/>
      <c r="E175" s="622"/>
      <c r="F175" s="622"/>
      <c r="G175" s="622"/>
      <c r="H175" s="622"/>
      <c r="I175" s="622"/>
      <c r="J175" s="622"/>
      <c r="K175" s="132" t="s">
        <v>428</v>
      </c>
      <c r="L175" s="132" t="s">
        <v>429</v>
      </c>
      <c r="M175" s="187">
        <f>18000*4</f>
        <v>72000</v>
      </c>
      <c r="N175" s="187">
        <v>16985</v>
      </c>
      <c r="O175" s="187"/>
      <c r="P175" s="95"/>
      <c r="Q175" s="132">
        <v>11733</v>
      </c>
      <c r="R175" s="132">
        <v>16985</v>
      </c>
      <c r="S175" s="132">
        <v>3744</v>
      </c>
      <c r="T175" s="132">
        <v>6393</v>
      </c>
      <c r="U175" s="274"/>
      <c r="V175" s="290">
        <v>16863</v>
      </c>
      <c r="W175" s="307">
        <v>2573</v>
      </c>
      <c r="X175" s="307">
        <v>5016</v>
      </c>
      <c r="Y175" s="307">
        <v>2726</v>
      </c>
      <c r="Z175" s="132">
        <v>15800</v>
      </c>
      <c r="AA175" s="132">
        <v>3685</v>
      </c>
      <c r="AB175" s="132">
        <v>3578</v>
      </c>
      <c r="AC175" s="132"/>
      <c r="AD175" s="132"/>
      <c r="AE175" s="676"/>
      <c r="AF175" s="141">
        <f>+R175+V175+W175+X175+Y175+Z175+AA175+AB175</f>
        <v>67226</v>
      </c>
      <c r="AG175" s="125"/>
      <c r="AH175" s="102">
        <f>+(AF175/M175)</f>
        <v>0.93369444444444449</v>
      </c>
      <c r="AI175" s="598">
        <f t="shared" si="2"/>
        <v>0.93369444444444449</v>
      </c>
      <c r="AJ175" s="125"/>
      <c r="AK175" s="671"/>
      <c r="AL175" s="148"/>
      <c r="AM175" s="148"/>
      <c r="AN175" s="148"/>
      <c r="AO175" s="148"/>
      <c r="AP175" s="148"/>
      <c r="AQ175" s="148"/>
      <c r="AR175" s="148"/>
      <c r="AS175" s="148"/>
      <c r="AT175" s="671"/>
      <c r="AU175" s="670"/>
      <c r="AV175" s="144"/>
    </row>
    <row r="176" spans="1:48" ht="60" customHeight="1" x14ac:dyDescent="0.25">
      <c r="A176" s="632"/>
      <c r="B176" s="663"/>
      <c r="C176" s="634"/>
      <c r="D176" s="705"/>
      <c r="E176" s="622"/>
      <c r="F176" s="622"/>
      <c r="G176" s="622"/>
      <c r="H176" s="622"/>
      <c r="I176" s="622"/>
      <c r="J176" s="622"/>
      <c r="K176" s="132" t="s">
        <v>430</v>
      </c>
      <c r="L176" s="132" t="s">
        <v>431</v>
      </c>
      <c r="M176" s="108">
        <v>1</v>
      </c>
      <c r="N176" s="105" t="s">
        <v>313</v>
      </c>
      <c r="O176" s="105"/>
      <c r="P176" s="95"/>
      <c r="Q176" s="107">
        <v>1</v>
      </c>
      <c r="R176" s="107">
        <v>1</v>
      </c>
      <c r="S176" s="107">
        <v>1</v>
      </c>
      <c r="T176" s="107">
        <v>1</v>
      </c>
      <c r="U176" s="275">
        <v>1</v>
      </c>
      <c r="V176" s="292">
        <v>1</v>
      </c>
      <c r="W176" s="338">
        <v>1</v>
      </c>
      <c r="X176" s="338">
        <v>1</v>
      </c>
      <c r="Y176" s="338">
        <v>1</v>
      </c>
      <c r="Z176" s="440">
        <v>1</v>
      </c>
      <c r="AA176" s="577">
        <v>0.25</v>
      </c>
      <c r="AB176" s="577">
        <v>1</v>
      </c>
      <c r="AC176" s="132"/>
      <c r="AD176" s="132"/>
      <c r="AE176" s="677"/>
      <c r="AF176" s="182">
        <f>+AB176</f>
        <v>1</v>
      </c>
      <c r="AG176" s="125"/>
      <c r="AH176" s="102">
        <f>+(AF176/M176)</f>
        <v>1</v>
      </c>
      <c r="AI176" s="598">
        <f t="shared" si="2"/>
        <v>1</v>
      </c>
      <c r="AJ176" s="125"/>
      <c r="AK176" s="671"/>
      <c r="AL176" s="148"/>
      <c r="AM176" s="148"/>
      <c r="AN176" s="148"/>
      <c r="AO176" s="148"/>
      <c r="AP176" s="148"/>
      <c r="AQ176" s="148"/>
      <c r="AR176" s="148"/>
      <c r="AS176" s="148"/>
      <c r="AT176" s="671"/>
      <c r="AU176" s="670"/>
      <c r="AV176" s="144"/>
    </row>
    <row r="177" spans="1:48" ht="60" customHeight="1" x14ac:dyDescent="0.25">
      <c r="A177" s="632"/>
      <c r="B177" s="663"/>
      <c r="C177" s="634"/>
      <c r="D177" s="705"/>
      <c r="E177" s="622"/>
      <c r="F177" s="622"/>
      <c r="G177" s="622"/>
      <c r="H177" s="622"/>
      <c r="I177" s="622"/>
      <c r="J177" s="622"/>
      <c r="K177" s="132"/>
      <c r="L177" s="132"/>
      <c r="M177" s="108"/>
      <c r="N177" s="105"/>
      <c r="O177" s="105"/>
      <c r="P177" s="95"/>
      <c r="Q177" s="125"/>
      <c r="R177" s="125"/>
      <c r="S177" s="125"/>
      <c r="T177" s="125"/>
      <c r="U177" s="274"/>
      <c r="V177" s="290"/>
      <c r="W177" s="125"/>
      <c r="X177" s="125"/>
      <c r="Y177" s="125"/>
      <c r="Z177" s="125"/>
      <c r="AA177" s="125"/>
      <c r="AB177" s="125"/>
      <c r="AC177" s="125"/>
      <c r="AD177" s="125"/>
      <c r="AE177" s="290"/>
      <c r="AF177" s="141"/>
      <c r="AG177" s="125"/>
      <c r="AH177" s="150">
        <f>AVERAGE(AH173:AH176)</f>
        <v>0.86543891723356003</v>
      </c>
      <c r="AI177" s="598">
        <f t="shared" si="2"/>
        <v>0.86543891723356003</v>
      </c>
      <c r="AJ177" s="125"/>
      <c r="AK177" s="671"/>
      <c r="AL177" s="148"/>
      <c r="AM177" s="148"/>
      <c r="AN177" s="148"/>
      <c r="AO177" s="148"/>
      <c r="AP177" s="148"/>
      <c r="AQ177" s="148"/>
      <c r="AR177" s="148"/>
      <c r="AS177" s="148"/>
      <c r="AT177" s="671"/>
      <c r="AU177" s="670"/>
      <c r="AV177" s="144"/>
    </row>
    <row r="178" spans="1:48" ht="60" customHeight="1" x14ac:dyDescent="0.25">
      <c r="A178" s="632"/>
      <c r="B178" s="663"/>
      <c r="C178" s="634"/>
      <c r="D178" s="705"/>
      <c r="E178" s="622"/>
      <c r="F178" s="132"/>
      <c r="G178" s="132"/>
      <c r="H178" s="132"/>
      <c r="I178" s="132"/>
      <c r="J178" s="132"/>
      <c r="K178" s="132"/>
      <c r="L178" s="132"/>
      <c r="M178" s="108"/>
      <c r="N178" s="105"/>
      <c r="O178" s="105"/>
      <c r="P178" s="95"/>
      <c r="Q178" s="125"/>
      <c r="R178" s="125"/>
      <c r="S178" s="125"/>
      <c r="T178" s="125"/>
      <c r="U178" s="274"/>
      <c r="V178" s="290"/>
      <c r="W178" s="125"/>
      <c r="X178" s="125"/>
      <c r="Y178" s="125"/>
      <c r="Z178" s="125"/>
      <c r="AA178" s="125"/>
      <c r="AB178" s="125"/>
      <c r="AC178" s="125"/>
      <c r="AD178" s="125"/>
      <c r="AE178" s="290"/>
      <c r="AF178" s="141"/>
      <c r="AG178" s="125"/>
      <c r="AH178" s="171">
        <f>+(AH172+AH177)/2</f>
        <v>0.87942779195011334</v>
      </c>
      <c r="AI178" s="598">
        <f t="shared" si="2"/>
        <v>0.87942779195011334</v>
      </c>
      <c r="AJ178" s="125"/>
      <c r="AK178" s="6"/>
      <c r="AL178" s="143"/>
      <c r="AM178" s="143"/>
      <c r="AN178" s="143"/>
      <c r="AO178" s="143"/>
      <c r="AP178" s="143"/>
      <c r="AQ178" s="143"/>
      <c r="AR178" s="143"/>
      <c r="AS178" s="143"/>
      <c r="AT178" s="6"/>
      <c r="AU178" s="194"/>
      <c r="AV178" s="144"/>
    </row>
    <row r="179" spans="1:48" ht="84.75" customHeight="1" x14ac:dyDescent="0.25">
      <c r="A179" s="632"/>
      <c r="B179" s="663"/>
      <c r="C179" s="634"/>
      <c r="D179" s="705"/>
      <c r="E179" s="622" t="s">
        <v>433</v>
      </c>
      <c r="F179" s="622" t="s">
        <v>434</v>
      </c>
      <c r="G179" s="622" t="s">
        <v>435</v>
      </c>
      <c r="H179" s="622" t="s">
        <v>436</v>
      </c>
      <c r="I179" s="622">
        <v>0.18</v>
      </c>
      <c r="J179" s="622" t="s">
        <v>437</v>
      </c>
      <c r="K179" s="132" t="s">
        <v>438</v>
      </c>
      <c r="L179" s="132" t="s">
        <v>439</v>
      </c>
      <c r="M179" s="105">
        <v>53</v>
      </c>
      <c r="N179" s="105">
        <v>53</v>
      </c>
      <c r="O179" s="105"/>
      <c r="P179" s="125"/>
      <c r="Q179" s="132">
        <v>11</v>
      </c>
      <c r="R179" s="132">
        <v>53</v>
      </c>
      <c r="S179" s="132">
        <v>0</v>
      </c>
      <c r="T179" s="132">
        <v>53</v>
      </c>
      <c r="U179" s="274">
        <v>129</v>
      </c>
      <c r="V179" s="290">
        <v>108</v>
      </c>
      <c r="W179" s="307">
        <v>12</v>
      </c>
      <c r="X179" s="307">
        <v>8</v>
      </c>
      <c r="Y179" s="307">
        <v>33</v>
      </c>
      <c r="Z179" s="132">
        <v>79</v>
      </c>
      <c r="AA179" s="132">
        <v>6</v>
      </c>
      <c r="AB179" s="132">
        <v>11</v>
      </c>
      <c r="AC179" s="132"/>
      <c r="AD179" s="132"/>
      <c r="AE179" s="290"/>
      <c r="AF179" s="141">
        <f>+V179+R179+W179+X179+Y179+Z179+AA179+AB179</f>
        <v>310</v>
      </c>
      <c r="AG179" s="125"/>
      <c r="AH179" s="102">
        <v>1</v>
      </c>
      <c r="AI179" s="598">
        <f t="shared" si="2"/>
        <v>1</v>
      </c>
      <c r="AJ179" s="125"/>
      <c r="AK179" s="671">
        <v>4159541700</v>
      </c>
      <c r="AL179" s="148"/>
      <c r="AM179" s="148"/>
      <c r="AN179" s="148"/>
      <c r="AO179" s="148"/>
      <c r="AP179" s="148"/>
      <c r="AQ179" s="148"/>
      <c r="AR179" s="148"/>
      <c r="AS179" s="148"/>
      <c r="AT179" s="671">
        <v>2977141077</v>
      </c>
      <c r="AU179" s="670">
        <f>+AT179/AK179</f>
        <v>0.71573776433110403</v>
      </c>
      <c r="AV179" s="144"/>
    </row>
    <row r="180" spans="1:48" ht="87.75" customHeight="1" x14ac:dyDescent="0.25">
      <c r="A180" s="632"/>
      <c r="B180" s="663"/>
      <c r="C180" s="634"/>
      <c r="D180" s="705"/>
      <c r="E180" s="622"/>
      <c r="F180" s="622"/>
      <c r="G180" s="622"/>
      <c r="H180" s="622"/>
      <c r="I180" s="622"/>
      <c r="J180" s="622"/>
      <c r="K180" s="132" t="s">
        <v>440</v>
      </c>
      <c r="L180" s="132" t="s">
        <v>441</v>
      </c>
      <c r="M180" s="105">
        <f>127*4</f>
        <v>508</v>
      </c>
      <c r="N180" s="105">
        <v>127</v>
      </c>
      <c r="O180" s="105"/>
      <c r="P180" s="125"/>
      <c r="Q180" s="132">
        <v>25</v>
      </c>
      <c r="R180" s="132">
        <v>127</v>
      </c>
      <c r="S180" s="132">
        <v>0</v>
      </c>
      <c r="T180" s="132">
        <v>0</v>
      </c>
      <c r="U180" s="274">
        <v>127</v>
      </c>
      <c r="V180" s="290">
        <v>108</v>
      </c>
      <c r="W180" s="307">
        <v>31</v>
      </c>
      <c r="X180" s="307">
        <f>60-W180</f>
        <v>29</v>
      </c>
      <c r="Y180" s="307">
        <v>67</v>
      </c>
      <c r="Z180" s="132">
        <v>498</v>
      </c>
      <c r="AA180" s="132">
        <v>12</v>
      </c>
      <c r="AB180" s="132">
        <v>50</v>
      </c>
      <c r="AC180" s="132"/>
      <c r="AD180" s="132"/>
      <c r="AE180" s="290"/>
      <c r="AF180" s="141">
        <f>+V180+R180+W180+X180+Y180+Z180+AA180+AB180</f>
        <v>922</v>
      </c>
      <c r="AG180" s="125"/>
      <c r="AH180" s="102">
        <v>1</v>
      </c>
      <c r="AI180" s="598">
        <f t="shared" si="2"/>
        <v>1</v>
      </c>
      <c r="AJ180" s="125"/>
      <c r="AK180" s="671"/>
      <c r="AL180" s="148"/>
      <c r="AM180" s="148"/>
      <c r="AN180" s="148"/>
      <c r="AO180" s="148"/>
      <c r="AP180" s="148"/>
      <c r="AQ180" s="148"/>
      <c r="AR180" s="148"/>
      <c r="AS180" s="148"/>
      <c r="AT180" s="671"/>
      <c r="AU180" s="670"/>
      <c r="AV180" s="144"/>
    </row>
    <row r="181" spans="1:48" ht="87.75" customHeight="1" x14ac:dyDescent="0.25">
      <c r="A181" s="632"/>
      <c r="B181" s="663"/>
      <c r="C181" s="634"/>
      <c r="D181" s="705"/>
      <c r="E181" s="622"/>
      <c r="F181" s="622"/>
      <c r="G181" s="622"/>
      <c r="H181" s="622"/>
      <c r="I181" s="622"/>
      <c r="J181" s="622"/>
      <c r="K181" s="132"/>
      <c r="L181" s="132"/>
      <c r="M181" s="105"/>
      <c r="N181" s="105"/>
      <c r="O181" s="105"/>
      <c r="P181" s="125"/>
      <c r="Q181" s="125"/>
      <c r="R181" s="125"/>
      <c r="S181" s="125"/>
      <c r="T181" s="125"/>
      <c r="U181" s="274"/>
      <c r="V181" s="290"/>
      <c r="W181" s="125"/>
      <c r="X181" s="125"/>
      <c r="Y181" s="125"/>
      <c r="Z181" s="125"/>
      <c r="AA181" s="125"/>
      <c r="AB181" s="125"/>
      <c r="AC181" s="125"/>
      <c r="AD181" s="125"/>
      <c r="AE181" s="290"/>
      <c r="AF181" s="141"/>
      <c r="AG181" s="125"/>
      <c r="AH181" s="150">
        <f>AVERAGE(AH179:AH180)</f>
        <v>1</v>
      </c>
      <c r="AI181" s="598">
        <f t="shared" si="2"/>
        <v>1</v>
      </c>
      <c r="AJ181" s="125"/>
      <c r="AK181" s="671"/>
      <c r="AL181" s="148"/>
      <c r="AM181" s="148"/>
      <c r="AN181" s="148"/>
      <c r="AO181" s="148"/>
      <c r="AP181" s="148"/>
      <c r="AQ181" s="148"/>
      <c r="AR181" s="148"/>
      <c r="AS181" s="148"/>
      <c r="AT181" s="671"/>
      <c r="AU181" s="670"/>
      <c r="AV181" s="144"/>
    </row>
    <row r="182" spans="1:48" ht="61.5" customHeight="1" x14ac:dyDescent="0.25">
      <c r="A182" s="632"/>
      <c r="B182" s="663"/>
      <c r="C182" s="634"/>
      <c r="D182" s="705"/>
      <c r="E182" s="622"/>
      <c r="F182" s="622" t="s">
        <v>442</v>
      </c>
      <c r="G182" s="622" t="s">
        <v>443</v>
      </c>
      <c r="H182" s="622" t="s">
        <v>444</v>
      </c>
      <c r="I182" s="622" t="s">
        <v>445</v>
      </c>
      <c r="J182" s="622" t="s">
        <v>446</v>
      </c>
      <c r="K182" s="132" t="s">
        <v>447</v>
      </c>
      <c r="L182" s="132" t="s">
        <v>448</v>
      </c>
      <c r="M182" s="105">
        <f>122*4</f>
        <v>488</v>
      </c>
      <c r="N182" s="105">
        <v>100</v>
      </c>
      <c r="O182" s="105"/>
      <c r="P182" s="125"/>
      <c r="Q182" s="132">
        <v>116</v>
      </c>
      <c r="R182" s="132">
        <v>122</v>
      </c>
      <c r="S182" s="132">
        <v>0</v>
      </c>
      <c r="T182" s="132">
        <v>56</v>
      </c>
      <c r="U182" s="274">
        <v>56</v>
      </c>
      <c r="V182" s="290">
        <v>108</v>
      </c>
      <c r="W182" s="307">
        <v>24</v>
      </c>
      <c r="X182" s="307">
        <v>53</v>
      </c>
      <c r="Y182" s="307">
        <v>24</v>
      </c>
      <c r="Z182" s="132">
        <v>133</v>
      </c>
      <c r="AA182" s="132">
        <v>0</v>
      </c>
      <c r="AB182" s="132">
        <v>37</v>
      </c>
      <c r="AC182" s="132"/>
      <c r="AD182" s="132"/>
      <c r="AE182" s="290"/>
      <c r="AF182" s="141">
        <f>+R182+V182+Z182+AA182+AB182</f>
        <v>400</v>
      </c>
      <c r="AG182" s="125"/>
      <c r="AH182" s="102">
        <f>+AF182/M182</f>
        <v>0.81967213114754101</v>
      </c>
      <c r="AI182" s="598">
        <f t="shared" si="2"/>
        <v>0.81967213114754101</v>
      </c>
      <c r="AJ182" s="125"/>
      <c r="AK182" s="671"/>
      <c r="AL182" s="148"/>
      <c r="AM182" s="148"/>
      <c r="AN182" s="148"/>
      <c r="AO182" s="148"/>
      <c r="AP182" s="148"/>
      <c r="AQ182" s="148"/>
      <c r="AR182" s="148"/>
      <c r="AS182" s="148"/>
      <c r="AT182" s="671"/>
      <c r="AU182" s="670"/>
      <c r="AV182" s="144"/>
    </row>
    <row r="183" spans="1:48" ht="61.5" customHeight="1" x14ac:dyDescent="0.25">
      <c r="A183" s="632"/>
      <c r="B183" s="663"/>
      <c r="C183" s="634"/>
      <c r="D183" s="705"/>
      <c r="E183" s="622"/>
      <c r="F183" s="622"/>
      <c r="G183" s="622"/>
      <c r="H183" s="622"/>
      <c r="I183" s="622"/>
      <c r="J183" s="622"/>
      <c r="K183" s="132" t="s">
        <v>449</v>
      </c>
      <c r="L183" s="132" t="s">
        <v>450</v>
      </c>
      <c r="M183" s="105">
        <v>1000</v>
      </c>
      <c r="N183" s="105">
        <v>277</v>
      </c>
      <c r="O183" s="105"/>
      <c r="P183" s="125"/>
      <c r="Q183" s="132">
        <v>157</v>
      </c>
      <c r="R183" s="132">
        <v>250</v>
      </c>
      <c r="S183" s="132">
        <v>31</v>
      </c>
      <c r="T183" s="132">
        <v>172</v>
      </c>
      <c r="U183" s="274">
        <v>172</v>
      </c>
      <c r="V183" s="290">
        <v>250</v>
      </c>
      <c r="W183" s="307">
        <v>77</v>
      </c>
      <c r="X183" s="307">
        <v>17</v>
      </c>
      <c r="Y183" s="307"/>
      <c r="Z183" s="132">
        <v>291</v>
      </c>
      <c r="AA183" s="132">
        <v>60</v>
      </c>
      <c r="AB183" s="132">
        <v>58</v>
      </c>
      <c r="AC183" s="132"/>
      <c r="AD183" s="132"/>
      <c r="AE183" s="290"/>
      <c r="AF183" s="141">
        <f>+V183+R183+W183+X183+Z183+50+AA183+AB183</f>
        <v>1053</v>
      </c>
      <c r="AG183" s="125"/>
      <c r="AH183" s="102">
        <v>1</v>
      </c>
      <c r="AI183" s="598">
        <f t="shared" si="2"/>
        <v>1</v>
      </c>
      <c r="AJ183" s="125"/>
      <c r="AK183" s="671"/>
      <c r="AL183" s="148"/>
      <c r="AM183" s="148"/>
      <c r="AN183" s="148"/>
      <c r="AO183" s="148"/>
      <c r="AP183" s="148"/>
      <c r="AQ183" s="148"/>
      <c r="AR183" s="148"/>
      <c r="AS183" s="148"/>
      <c r="AT183" s="671"/>
      <c r="AU183" s="670"/>
      <c r="AV183" s="144"/>
    </row>
    <row r="184" spans="1:48" ht="61.5" customHeight="1" x14ac:dyDescent="0.25">
      <c r="A184" s="632"/>
      <c r="B184" s="663"/>
      <c r="C184" s="634"/>
      <c r="D184" s="705"/>
      <c r="E184" s="622"/>
      <c r="F184" s="622"/>
      <c r="G184" s="622"/>
      <c r="H184" s="622"/>
      <c r="I184" s="622"/>
      <c r="J184" s="622"/>
      <c r="K184" s="132"/>
      <c r="L184" s="132"/>
      <c r="M184" s="105"/>
      <c r="N184" s="105"/>
      <c r="O184" s="105"/>
      <c r="P184" s="125"/>
      <c r="Q184" s="132"/>
      <c r="R184" s="132"/>
      <c r="S184" s="132"/>
      <c r="T184" s="132"/>
      <c r="U184" s="274"/>
      <c r="V184" s="290"/>
      <c r="W184" s="132"/>
      <c r="X184" s="132"/>
      <c r="Y184" s="132"/>
      <c r="Z184" s="132"/>
      <c r="AA184" s="132"/>
      <c r="AB184" s="132"/>
      <c r="AC184" s="132"/>
      <c r="AD184" s="132"/>
      <c r="AE184" s="290"/>
      <c r="AF184" s="141"/>
      <c r="AG184" s="125"/>
      <c r="AH184" s="150">
        <f>AVERAGE(AH182:AH183)</f>
        <v>0.9098360655737705</v>
      </c>
      <c r="AI184" s="598">
        <f t="shared" si="2"/>
        <v>0.9098360655737705</v>
      </c>
      <c r="AJ184" s="125"/>
      <c r="AK184" s="671"/>
      <c r="AL184" s="148"/>
      <c r="AM184" s="148"/>
      <c r="AN184" s="148"/>
      <c r="AO184" s="148"/>
      <c r="AP184" s="148"/>
      <c r="AQ184" s="148"/>
      <c r="AR184" s="148"/>
      <c r="AS184" s="148"/>
      <c r="AT184" s="671"/>
      <c r="AU184" s="670"/>
      <c r="AV184" s="144"/>
    </row>
    <row r="185" spans="1:48" ht="84.75" customHeight="1" x14ac:dyDescent="0.25">
      <c r="A185" s="632"/>
      <c r="B185" s="663"/>
      <c r="C185" s="634"/>
      <c r="D185" s="705"/>
      <c r="E185" s="622"/>
      <c r="F185" s="109" t="s">
        <v>452</v>
      </c>
      <c r="G185" s="109" t="s">
        <v>453</v>
      </c>
      <c r="H185" s="132" t="s">
        <v>454</v>
      </c>
      <c r="I185" s="132">
        <v>0.95</v>
      </c>
      <c r="J185" s="622" t="s">
        <v>451</v>
      </c>
      <c r="K185" s="132" t="s">
        <v>458</v>
      </c>
      <c r="L185" s="132" t="s">
        <v>459</v>
      </c>
      <c r="M185" s="105">
        <f>18400*4</f>
        <v>73600</v>
      </c>
      <c r="N185" s="105">
        <v>18086</v>
      </c>
      <c r="O185" s="105"/>
      <c r="P185" s="125"/>
      <c r="Q185" s="132">
        <v>13484</v>
      </c>
      <c r="R185" s="132">
        <v>17279</v>
      </c>
      <c r="S185" s="132">
        <v>4133</v>
      </c>
      <c r="T185" s="132">
        <v>8685</v>
      </c>
      <c r="U185" s="274">
        <v>13159</v>
      </c>
      <c r="V185" s="290">
        <v>17357</v>
      </c>
      <c r="W185" s="307">
        <v>4425</v>
      </c>
      <c r="X185" s="307">
        <v>5136</v>
      </c>
      <c r="Y185" s="307">
        <v>4124</v>
      </c>
      <c r="Z185" s="132">
        <v>19187</v>
      </c>
      <c r="AA185" s="132">
        <v>4275</v>
      </c>
      <c r="AB185" s="132">
        <v>8774</v>
      </c>
      <c r="AC185" s="132"/>
      <c r="AD185" s="132"/>
      <c r="AE185" s="290"/>
      <c r="AF185" s="141">
        <f>+R185+V185+Z185+AA185+AB185</f>
        <v>66872</v>
      </c>
      <c r="AG185" s="125"/>
      <c r="AH185" s="102">
        <f>+(AF185/M185)</f>
        <v>0.90858695652173915</v>
      </c>
      <c r="AI185" s="598">
        <f t="shared" si="2"/>
        <v>0.90858695652173915</v>
      </c>
      <c r="AJ185" s="125"/>
      <c r="AK185" s="671"/>
      <c r="AL185" s="148"/>
      <c r="AM185" s="148"/>
      <c r="AN185" s="148"/>
      <c r="AO185" s="148"/>
      <c r="AP185" s="148"/>
      <c r="AQ185" s="148"/>
      <c r="AR185" s="148"/>
      <c r="AS185" s="148"/>
      <c r="AT185" s="671"/>
      <c r="AU185" s="670"/>
      <c r="AV185" s="144"/>
    </row>
    <row r="186" spans="1:48" ht="75" customHeight="1" x14ac:dyDescent="0.25">
      <c r="A186" s="632"/>
      <c r="B186" s="663"/>
      <c r="C186" s="634"/>
      <c r="D186" s="705"/>
      <c r="E186" s="622"/>
      <c r="F186" s="622" t="s">
        <v>455</v>
      </c>
      <c r="G186" s="622" t="s">
        <v>456</v>
      </c>
      <c r="H186" s="630">
        <v>0.95</v>
      </c>
      <c r="I186" s="622" t="s">
        <v>457</v>
      </c>
      <c r="J186" s="622"/>
      <c r="K186" s="132" t="s">
        <v>460</v>
      </c>
      <c r="L186" s="132" t="s">
        <v>461</v>
      </c>
      <c r="M186" s="105">
        <f>18608*4</f>
        <v>74432</v>
      </c>
      <c r="N186" s="105">
        <v>18125</v>
      </c>
      <c r="O186" s="105"/>
      <c r="P186" s="125"/>
      <c r="Q186" s="132">
        <v>13222</v>
      </c>
      <c r="R186" s="132">
        <v>18046</v>
      </c>
      <c r="S186" s="132">
        <v>4629</v>
      </c>
      <c r="T186" s="132">
        <v>8911</v>
      </c>
      <c r="U186" s="274">
        <v>12929</v>
      </c>
      <c r="V186" s="290">
        <v>17663</v>
      </c>
      <c r="W186" s="307">
        <v>4983</v>
      </c>
      <c r="X186" s="307">
        <v>4459</v>
      </c>
      <c r="Y186" s="307">
        <v>4608</v>
      </c>
      <c r="Z186" s="132">
        <v>19817</v>
      </c>
      <c r="AA186" s="132">
        <v>4645</v>
      </c>
      <c r="AB186" s="132">
        <v>8476</v>
      </c>
      <c r="AC186" s="132"/>
      <c r="AD186" s="132"/>
      <c r="AE186" s="290"/>
      <c r="AF186" s="141">
        <f>+R186+V186+Z186+AA186+AB186</f>
        <v>68647</v>
      </c>
      <c r="AG186" s="125"/>
      <c r="AH186" s="102">
        <f>+(AF186/M186)</f>
        <v>0.92227805245055894</v>
      </c>
      <c r="AI186" s="598">
        <f t="shared" si="2"/>
        <v>0.92227805245055894</v>
      </c>
      <c r="AJ186" s="125"/>
      <c r="AK186" s="671"/>
      <c r="AL186" s="148"/>
      <c r="AM186" s="148"/>
      <c r="AN186" s="148"/>
      <c r="AO186" s="148"/>
      <c r="AP186" s="148"/>
      <c r="AQ186" s="148"/>
      <c r="AR186" s="148"/>
      <c r="AS186" s="148"/>
      <c r="AT186" s="671"/>
      <c r="AU186" s="670"/>
      <c r="AV186" s="144"/>
    </row>
    <row r="187" spans="1:48" ht="45" customHeight="1" x14ac:dyDescent="0.25">
      <c r="A187" s="632"/>
      <c r="B187" s="663"/>
      <c r="C187" s="634"/>
      <c r="D187" s="705"/>
      <c r="E187" s="622"/>
      <c r="F187" s="622"/>
      <c r="G187" s="622"/>
      <c r="H187" s="630"/>
      <c r="I187" s="622"/>
      <c r="J187" s="622"/>
      <c r="K187" s="132"/>
      <c r="L187" s="132"/>
      <c r="M187" s="105"/>
      <c r="N187" s="105"/>
      <c r="O187" s="105"/>
      <c r="P187" s="125"/>
      <c r="Q187" s="125"/>
      <c r="R187" s="125"/>
      <c r="S187" s="125"/>
      <c r="T187" s="125"/>
      <c r="U187" s="274"/>
      <c r="V187" s="290"/>
      <c r="W187" s="308"/>
      <c r="X187" s="308"/>
      <c r="Y187" s="308"/>
      <c r="Z187" s="125"/>
      <c r="AA187" s="125"/>
      <c r="AB187" s="125"/>
      <c r="AC187" s="125"/>
      <c r="AD187" s="125"/>
      <c r="AE187" s="290"/>
      <c r="AF187" s="141"/>
      <c r="AG187" s="125"/>
      <c r="AH187" s="150">
        <f>AVERAGE(AH185:AH186)</f>
        <v>0.9154325044861491</v>
      </c>
      <c r="AI187" s="598">
        <f t="shared" si="2"/>
        <v>0.9154325044861491</v>
      </c>
      <c r="AJ187" s="125"/>
      <c r="AK187" s="671"/>
      <c r="AL187" s="148"/>
      <c r="AM187" s="148"/>
      <c r="AN187" s="148"/>
      <c r="AO187" s="148"/>
      <c r="AP187" s="148"/>
      <c r="AQ187" s="148"/>
      <c r="AR187" s="148"/>
      <c r="AS187" s="148"/>
      <c r="AT187" s="671"/>
      <c r="AU187" s="670"/>
      <c r="AV187" s="144"/>
    </row>
    <row r="188" spans="1:48" ht="75" customHeight="1" x14ac:dyDescent="0.25">
      <c r="A188" s="632"/>
      <c r="B188" s="663"/>
      <c r="C188" s="634"/>
      <c r="D188" s="705"/>
      <c r="E188" s="622"/>
      <c r="F188" s="622" t="s">
        <v>462</v>
      </c>
      <c r="G188" s="640" t="s">
        <v>463</v>
      </c>
      <c r="H188" s="628">
        <v>0.02</v>
      </c>
      <c r="I188" s="644">
        <v>5.3999999999999999E-2</v>
      </c>
      <c r="J188" s="622" t="s">
        <v>464</v>
      </c>
      <c r="K188" s="132" t="s">
        <v>465</v>
      </c>
      <c r="L188" s="132" t="s">
        <v>466</v>
      </c>
      <c r="M188" s="108">
        <v>1</v>
      </c>
      <c r="N188" s="105">
        <v>37</v>
      </c>
      <c r="O188" s="105"/>
      <c r="P188" s="125"/>
      <c r="Q188" s="132">
        <v>0</v>
      </c>
      <c r="R188" s="107">
        <v>1</v>
      </c>
      <c r="S188" s="205">
        <v>1</v>
      </c>
      <c r="T188" s="132">
        <v>0</v>
      </c>
      <c r="U188" s="274">
        <v>2</v>
      </c>
      <c r="V188" s="290">
        <v>0</v>
      </c>
      <c r="W188" s="307">
        <v>0</v>
      </c>
      <c r="X188" s="307">
        <v>0</v>
      </c>
      <c r="Y188" s="307">
        <v>0</v>
      </c>
      <c r="Z188" s="132">
        <v>0</v>
      </c>
      <c r="AA188" s="132"/>
      <c r="AB188" s="132"/>
      <c r="AC188" s="132"/>
      <c r="AD188" s="132"/>
      <c r="AE188" s="290"/>
      <c r="AF188" s="182">
        <f>+R188</f>
        <v>1</v>
      </c>
      <c r="AG188" s="125"/>
      <c r="AH188" s="102">
        <f>+(AF188/M188)</f>
        <v>1</v>
      </c>
      <c r="AI188" s="598">
        <f t="shared" si="2"/>
        <v>1</v>
      </c>
      <c r="AJ188" s="125"/>
      <c r="AK188" s="671"/>
      <c r="AL188" s="148"/>
      <c r="AM188" s="148"/>
      <c r="AN188" s="148"/>
      <c r="AO188" s="148"/>
      <c r="AP188" s="148"/>
      <c r="AQ188" s="148"/>
      <c r="AR188" s="148"/>
      <c r="AS188" s="148"/>
      <c r="AT188" s="671"/>
      <c r="AU188" s="670"/>
      <c r="AV188" s="144"/>
    </row>
    <row r="189" spans="1:48" ht="75" customHeight="1" x14ac:dyDescent="0.25">
      <c r="A189" s="632"/>
      <c r="B189" s="663"/>
      <c r="C189" s="634"/>
      <c r="D189" s="705"/>
      <c r="E189" s="622"/>
      <c r="F189" s="622"/>
      <c r="G189" s="640"/>
      <c r="H189" s="628"/>
      <c r="I189" s="644"/>
      <c r="J189" s="622"/>
      <c r="K189" s="132"/>
      <c r="L189" s="132"/>
      <c r="M189" s="108"/>
      <c r="N189" s="105"/>
      <c r="O189" s="105"/>
      <c r="P189" s="125"/>
      <c r="Q189" s="132"/>
      <c r="R189" s="132"/>
      <c r="S189" s="132"/>
      <c r="T189" s="132"/>
      <c r="U189" s="274"/>
      <c r="V189" s="290"/>
      <c r="W189" s="308"/>
      <c r="X189" s="308"/>
      <c r="Y189" s="308"/>
      <c r="Z189" s="132"/>
      <c r="AA189" s="132"/>
      <c r="AB189" s="132"/>
      <c r="AC189" s="132"/>
      <c r="AD189" s="132"/>
      <c r="AE189" s="290"/>
      <c r="AF189" s="141"/>
      <c r="AG189" s="125"/>
      <c r="AH189" s="150">
        <f>+AH188</f>
        <v>1</v>
      </c>
      <c r="AI189" s="598">
        <f t="shared" si="2"/>
        <v>1</v>
      </c>
      <c r="AJ189" s="125"/>
      <c r="AK189" s="671"/>
      <c r="AL189" s="148"/>
      <c r="AM189" s="148"/>
      <c r="AN189" s="148"/>
      <c r="AO189" s="148"/>
      <c r="AP189" s="148"/>
      <c r="AQ189" s="148"/>
      <c r="AR189" s="148"/>
      <c r="AS189" s="148"/>
      <c r="AT189" s="671"/>
      <c r="AU189" s="670"/>
      <c r="AV189" s="144"/>
    </row>
    <row r="190" spans="1:48" ht="75" customHeight="1" x14ac:dyDescent="0.25">
      <c r="A190" s="632"/>
      <c r="B190" s="663"/>
      <c r="C190" s="634"/>
      <c r="D190" s="705"/>
      <c r="E190" s="622"/>
      <c r="F190" s="622" t="s">
        <v>467</v>
      </c>
      <c r="G190" s="622" t="s">
        <v>468</v>
      </c>
      <c r="H190" s="640">
        <v>15</v>
      </c>
      <c r="I190" s="640">
        <v>18.22</v>
      </c>
      <c r="J190" s="622" t="s">
        <v>469</v>
      </c>
      <c r="K190" s="132" t="s">
        <v>470</v>
      </c>
      <c r="L190" s="132" t="s">
        <v>471</v>
      </c>
      <c r="M190" s="105">
        <v>600</v>
      </c>
      <c r="N190" s="105">
        <v>80</v>
      </c>
      <c r="O190" s="105"/>
      <c r="P190" s="125"/>
      <c r="Q190" s="132">
        <v>0</v>
      </c>
      <c r="R190" s="132">
        <v>80</v>
      </c>
      <c r="S190" s="132">
        <v>0</v>
      </c>
      <c r="T190" s="132">
        <v>0</v>
      </c>
      <c r="U190" s="274"/>
      <c r="V190" s="290">
        <v>300</v>
      </c>
      <c r="W190" s="308">
        <v>0</v>
      </c>
      <c r="X190" s="308">
        <v>80</v>
      </c>
      <c r="Y190" s="308">
        <v>67</v>
      </c>
      <c r="Z190" s="132">
        <v>150</v>
      </c>
      <c r="AA190" s="584">
        <v>0</v>
      </c>
      <c r="AB190" s="584">
        <v>0</v>
      </c>
      <c r="AC190" s="132"/>
      <c r="AD190" s="132"/>
      <c r="AE190" s="675"/>
      <c r="AF190" s="141">
        <f>+R190+V190+Z190</f>
        <v>530</v>
      </c>
      <c r="AG190" s="125"/>
      <c r="AH190" s="102">
        <f>+AF190/M190</f>
        <v>0.8833333333333333</v>
      </c>
      <c r="AI190" s="598">
        <f t="shared" si="2"/>
        <v>0.8833333333333333</v>
      </c>
      <c r="AJ190" s="125"/>
      <c r="AK190" s="671"/>
      <c r="AL190" s="148"/>
      <c r="AM190" s="148"/>
      <c r="AN190" s="148"/>
      <c r="AO190" s="148"/>
      <c r="AP190" s="148"/>
      <c r="AQ190" s="148"/>
      <c r="AR190" s="148"/>
      <c r="AS190" s="148"/>
      <c r="AT190" s="671"/>
      <c r="AU190" s="670"/>
      <c r="AV190" s="144"/>
    </row>
    <row r="191" spans="1:48" ht="75" customHeight="1" x14ac:dyDescent="0.25">
      <c r="A191" s="632"/>
      <c r="B191" s="663"/>
      <c r="C191" s="634"/>
      <c r="D191" s="705"/>
      <c r="E191" s="622"/>
      <c r="F191" s="622"/>
      <c r="G191" s="622"/>
      <c r="H191" s="640"/>
      <c r="I191" s="640"/>
      <c r="J191" s="622"/>
      <c r="K191" s="132" t="s">
        <v>472</v>
      </c>
      <c r="L191" s="132" t="s">
        <v>473</v>
      </c>
      <c r="M191" s="105">
        <v>4000</v>
      </c>
      <c r="N191" s="105" t="s">
        <v>313</v>
      </c>
      <c r="O191" s="105"/>
      <c r="P191" s="125"/>
      <c r="Q191" s="132">
        <v>0</v>
      </c>
      <c r="R191" s="132">
        <v>200</v>
      </c>
      <c r="S191" s="132">
        <v>0</v>
      </c>
      <c r="T191" s="132">
        <v>50</v>
      </c>
      <c r="U191" s="274">
        <v>291</v>
      </c>
      <c r="V191" s="290">
        <v>2000</v>
      </c>
      <c r="W191" s="307">
        <v>0</v>
      </c>
      <c r="X191" s="307">
        <v>380</v>
      </c>
      <c r="Y191" s="307">
        <v>700</v>
      </c>
      <c r="Z191" s="132">
        <v>1000</v>
      </c>
      <c r="AA191" s="584">
        <v>0</v>
      </c>
      <c r="AB191" s="584">
        <v>0</v>
      </c>
      <c r="AC191" s="132"/>
      <c r="AD191" s="132"/>
      <c r="AE191" s="676"/>
      <c r="AF191" s="141">
        <f>+R191+V191+Z191</f>
        <v>3200</v>
      </c>
      <c r="AG191" s="125"/>
      <c r="AH191" s="102">
        <v>1</v>
      </c>
      <c r="AI191" s="598">
        <f t="shared" si="2"/>
        <v>1</v>
      </c>
      <c r="AJ191" s="125"/>
      <c r="AK191" s="671"/>
      <c r="AL191" s="148"/>
      <c r="AM191" s="148"/>
      <c r="AN191" s="148"/>
      <c r="AO191" s="148"/>
      <c r="AP191" s="148"/>
      <c r="AQ191" s="148"/>
      <c r="AR191" s="148"/>
      <c r="AS191" s="148"/>
      <c r="AT191" s="671"/>
      <c r="AU191" s="670"/>
      <c r="AV191" s="144"/>
    </row>
    <row r="192" spans="1:48" ht="45" customHeight="1" thickBot="1" x14ac:dyDescent="0.3">
      <c r="A192" s="632"/>
      <c r="B192" s="663"/>
      <c r="C192" s="634"/>
      <c r="D192" s="705"/>
      <c r="E192" s="622"/>
      <c r="F192" s="622"/>
      <c r="G192" s="622"/>
      <c r="H192" s="640"/>
      <c r="I192" s="640"/>
      <c r="J192" s="622"/>
      <c r="K192" s="132" t="s">
        <v>474</v>
      </c>
      <c r="L192" s="132" t="s">
        <v>475</v>
      </c>
      <c r="M192" s="105">
        <v>40</v>
      </c>
      <c r="N192" s="105">
        <v>10</v>
      </c>
      <c r="O192" s="105"/>
      <c r="P192" s="125"/>
      <c r="Q192" s="132">
        <v>10</v>
      </c>
      <c r="R192" s="132">
        <v>10</v>
      </c>
      <c r="S192" s="132">
        <v>10</v>
      </c>
      <c r="T192" s="132">
        <v>3</v>
      </c>
      <c r="U192" s="274">
        <v>7</v>
      </c>
      <c r="V192" s="290">
        <v>10</v>
      </c>
      <c r="W192" s="307">
        <v>3</v>
      </c>
      <c r="X192" s="307">
        <v>2</v>
      </c>
      <c r="Y192" s="307">
        <v>5</v>
      </c>
      <c r="Z192" s="132">
        <v>10</v>
      </c>
      <c r="AA192" s="585">
        <v>2</v>
      </c>
      <c r="AB192" s="585">
        <v>3</v>
      </c>
      <c r="AC192" s="132"/>
      <c r="AD192" s="132"/>
      <c r="AE192" s="677"/>
      <c r="AF192" s="141">
        <f>+S192+V192+W192+X192+Y192+AA192+AB192</f>
        <v>35</v>
      </c>
      <c r="AG192" s="125"/>
      <c r="AH192" s="102">
        <f>+(AF192/M192)</f>
        <v>0.875</v>
      </c>
      <c r="AI192" s="598">
        <f t="shared" si="2"/>
        <v>0.875</v>
      </c>
      <c r="AJ192" s="125"/>
      <c r="AK192" s="671"/>
      <c r="AL192" s="148"/>
      <c r="AM192" s="148"/>
      <c r="AN192" s="148"/>
      <c r="AO192" s="148"/>
      <c r="AP192" s="148"/>
      <c r="AQ192" s="148"/>
      <c r="AR192" s="148"/>
      <c r="AS192" s="148"/>
      <c r="AT192" s="671"/>
      <c r="AU192" s="670"/>
      <c r="AV192" s="144"/>
    </row>
    <row r="193" spans="1:48" ht="45" customHeight="1" x14ac:dyDescent="0.25">
      <c r="A193" s="632"/>
      <c r="B193" s="663"/>
      <c r="C193" s="634"/>
      <c r="D193" s="705"/>
      <c r="E193" s="622"/>
      <c r="F193" s="622"/>
      <c r="G193" s="622"/>
      <c r="H193" s="640"/>
      <c r="I193" s="640"/>
      <c r="J193" s="622"/>
      <c r="K193" s="132"/>
      <c r="L193" s="132"/>
      <c r="M193" s="105"/>
      <c r="N193" s="105"/>
      <c r="O193" s="105"/>
      <c r="P193" s="125"/>
      <c r="Q193" s="125"/>
      <c r="R193" s="125"/>
      <c r="S193" s="125"/>
      <c r="T193" s="125"/>
      <c r="U193" s="274"/>
      <c r="V193" s="290"/>
      <c r="W193" s="125"/>
      <c r="X193" s="125"/>
      <c r="Y193" s="125"/>
      <c r="Z193" s="125"/>
      <c r="AA193" s="125"/>
      <c r="AB193" s="125"/>
      <c r="AC193" s="125"/>
      <c r="AD193" s="125"/>
      <c r="AE193" s="290"/>
      <c r="AF193" s="141"/>
      <c r="AG193" s="125"/>
      <c r="AH193" s="150">
        <f>AVERAGE(AH190:AH192)</f>
        <v>0.9194444444444444</v>
      </c>
      <c r="AI193" s="598">
        <f t="shared" si="2"/>
        <v>0.9194444444444444</v>
      </c>
      <c r="AJ193" s="125"/>
      <c r="AK193" s="671"/>
      <c r="AL193" s="148"/>
      <c r="AM193" s="148"/>
      <c r="AN193" s="148"/>
      <c r="AO193" s="148"/>
      <c r="AP193" s="148"/>
      <c r="AQ193" s="148"/>
      <c r="AR193" s="148"/>
      <c r="AS193" s="148"/>
      <c r="AT193" s="671"/>
      <c r="AU193" s="670"/>
      <c r="AV193" s="144"/>
    </row>
    <row r="194" spans="1:48" ht="45" customHeight="1" x14ac:dyDescent="0.25">
      <c r="A194" s="632"/>
      <c r="B194" s="663"/>
      <c r="C194" s="634"/>
      <c r="D194" s="705"/>
      <c r="E194" s="622"/>
      <c r="F194" s="132"/>
      <c r="G194" s="132"/>
      <c r="H194" s="105"/>
      <c r="I194" s="105"/>
      <c r="J194" s="132"/>
      <c r="K194" s="132"/>
      <c r="L194" s="132"/>
      <c r="M194" s="105"/>
      <c r="N194" s="105"/>
      <c r="O194" s="105"/>
      <c r="P194" s="125"/>
      <c r="Q194" s="125"/>
      <c r="R194" s="125"/>
      <c r="S194" s="125"/>
      <c r="T194" s="125"/>
      <c r="U194" s="274"/>
      <c r="V194" s="290"/>
      <c r="W194" s="125"/>
      <c r="X194" s="125"/>
      <c r="Y194" s="125"/>
      <c r="Z194" s="125"/>
      <c r="AA194" s="125"/>
      <c r="AB194" s="125"/>
      <c r="AC194" s="125"/>
      <c r="AD194" s="125"/>
      <c r="AE194" s="290"/>
      <c r="AF194" s="141"/>
      <c r="AG194" s="125"/>
      <c r="AH194" s="171">
        <f>+(AH181+AH184+AH187+AH189+AH193)/5</f>
        <v>0.94894260290087273</v>
      </c>
      <c r="AI194" s="598">
        <f t="shared" si="2"/>
        <v>0.94894260290087273</v>
      </c>
      <c r="AJ194" s="125"/>
      <c r="AK194" s="3"/>
      <c r="AL194" s="143"/>
      <c r="AM194" s="143"/>
      <c r="AN194" s="143"/>
      <c r="AO194" s="143"/>
      <c r="AP194" s="143"/>
      <c r="AQ194" s="143"/>
      <c r="AR194" s="143"/>
      <c r="AS194" s="143"/>
      <c r="AT194" s="3"/>
      <c r="AU194" s="195"/>
      <c r="AV194" s="144"/>
    </row>
    <row r="195" spans="1:48" ht="84" customHeight="1" x14ac:dyDescent="0.25">
      <c r="A195" s="632"/>
      <c r="B195" s="663"/>
      <c r="C195" s="634"/>
      <c r="D195" s="705"/>
      <c r="E195" s="622" t="s">
        <v>476</v>
      </c>
      <c r="F195" s="622" t="s">
        <v>477</v>
      </c>
      <c r="G195" s="622" t="s">
        <v>478</v>
      </c>
      <c r="H195" s="622" t="s">
        <v>480</v>
      </c>
      <c r="I195" s="632" t="s">
        <v>479</v>
      </c>
      <c r="J195" s="632" t="s">
        <v>489</v>
      </c>
      <c r="K195" s="132" t="s">
        <v>481</v>
      </c>
      <c r="L195" s="132" t="s">
        <v>482</v>
      </c>
      <c r="M195" s="105">
        <v>1</v>
      </c>
      <c r="N195" s="105">
        <v>1</v>
      </c>
      <c r="O195" s="105"/>
      <c r="P195" s="125"/>
      <c r="Q195" s="132">
        <v>1</v>
      </c>
      <c r="R195" s="132">
        <v>23</v>
      </c>
      <c r="S195" s="205">
        <v>23</v>
      </c>
      <c r="T195" s="132"/>
      <c r="U195" s="274"/>
      <c r="V195" s="290"/>
      <c r="W195" s="307">
        <v>1</v>
      </c>
      <c r="X195" s="307">
        <v>1</v>
      </c>
      <c r="Y195" s="307">
        <v>0</v>
      </c>
      <c r="Z195" s="132">
        <v>100</v>
      </c>
      <c r="AA195" s="132">
        <v>0.21</v>
      </c>
      <c r="AB195" s="132">
        <v>0.59</v>
      </c>
      <c r="AC195" s="132"/>
      <c r="AD195" s="132"/>
      <c r="AE195" s="675"/>
      <c r="AF195" s="141">
        <f>+S195+X195</f>
        <v>24</v>
      </c>
      <c r="AG195" s="125"/>
      <c r="AH195" s="102">
        <v>1</v>
      </c>
      <c r="AI195" s="598">
        <f t="shared" si="2"/>
        <v>1</v>
      </c>
      <c r="AJ195" s="125"/>
      <c r="AK195" s="619">
        <v>962086877</v>
      </c>
      <c r="AL195" s="148"/>
      <c r="AM195" s="148"/>
      <c r="AN195" s="148"/>
      <c r="AO195" s="148"/>
      <c r="AP195" s="148"/>
      <c r="AQ195" s="148"/>
      <c r="AR195" s="148"/>
      <c r="AS195" s="148"/>
      <c r="AT195" s="619">
        <v>956680000</v>
      </c>
      <c r="AU195" s="617">
        <f>+AT195/AK195</f>
        <v>0.99438005326830792</v>
      </c>
      <c r="AV195" s="144"/>
    </row>
    <row r="196" spans="1:48" ht="60" customHeight="1" x14ac:dyDescent="0.25">
      <c r="A196" s="632"/>
      <c r="B196" s="663"/>
      <c r="C196" s="634"/>
      <c r="D196" s="705"/>
      <c r="E196" s="622"/>
      <c r="F196" s="622"/>
      <c r="G196" s="622"/>
      <c r="H196" s="622"/>
      <c r="I196" s="632"/>
      <c r="J196" s="632"/>
      <c r="K196" s="132" t="s">
        <v>483</v>
      </c>
      <c r="L196" s="132" t="s">
        <v>484</v>
      </c>
      <c r="M196" s="105">
        <v>33</v>
      </c>
      <c r="N196" s="105">
        <v>0</v>
      </c>
      <c r="O196" s="105"/>
      <c r="P196" s="125"/>
      <c r="Q196" s="132">
        <v>12</v>
      </c>
      <c r="R196" s="132">
        <v>26</v>
      </c>
      <c r="S196" s="132">
        <v>11</v>
      </c>
      <c r="T196" s="132">
        <v>21</v>
      </c>
      <c r="U196" s="274">
        <v>30</v>
      </c>
      <c r="V196" s="290">
        <v>30</v>
      </c>
      <c r="W196" s="307">
        <v>10</v>
      </c>
      <c r="X196" s="307">
        <v>20</v>
      </c>
      <c r="Y196" s="307">
        <v>0</v>
      </c>
      <c r="Z196" s="132">
        <v>30</v>
      </c>
      <c r="AA196" s="132">
        <v>4</v>
      </c>
      <c r="AB196" s="132">
        <v>15</v>
      </c>
      <c r="AC196" s="132"/>
      <c r="AD196" s="132"/>
      <c r="AE196" s="676"/>
      <c r="AF196" s="141">
        <f>+R196+V196+Z196+AA196+AB196</f>
        <v>105</v>
      </c>
      <c r="AG196" s="125"/>
      <c r="AH196" s="102">
        <f>+AF196/(M196*4)</f>
        <v>0.79545454545454541</v>
      </c>
      <c r="AI196" s="598">
        <f t="shared" ref="AI196:AI259" si="3">+AH196</f>
        <v>0.79545454545454541</v>
      </c>
      <c r="AJ196" s="125"/>
      <c r="AK196" s="671"/>
      <c r="AL196" s="148"/>
      <c r="AM196" s="148"/>
      <c r="AN196" s="148"/>
      <c r="AO196" s="148"/>
      <c r="AP196" s="148"/>
      <c r="AQ196" s="148"/>
      <c r="AR196" s="148"/>
      <c r="AS196" s="148"/>
      <c r="AT196" s="671"/>
      <c r="AU196" s="670"/>
      <c r="AV196" s="144"/>
    </row>
    <row r="197" spans="1:48" ht="60" customHeight="1" x14ac:dyDescent="0.25">
      <c r="A197" s="632"/>
      <c r="B197" s="663"/>
      <c r="C197" s="634"/>
      <c r="D197" s="705"/>
      <c r="E197" s="622"/>
      <c r="F197" s="622"/>
      <c r="G197" s="622"/>
      <c r="H197" s="622"/>
      <c r="I197" s="632"/>
      <c r="J197" s="632"/>
      <c r="K197" s="132" t="s">
        <v>485</v>
      </c>
      <c r="L197" s="132" t="s">
        <v>486</v>
      </c>
      <c r="M197" s="108">
        <v>1</v>
      </c>
      <c r="N197" s="105">
        <v>0</v>
      </c>
      <c r="O197" s="105"/>
      <c r="P197" s="125"/>
      <c r="Q197" s="132">
        <v>0</v>
      </c>
      <c r="R197" s="132">
        <v>0</v>
      </c>
      <c r="S197" s="132">
        <v>0</v>
      </c>
      <c r="T197" s="132">
        <v>0</v>
      </c>
      <c r="U197" s="274">
        <v>0</v>
      </c>
      <c r="V197" s="290">
        <v>0</v>
      </c>
      <c r="W197" s="307">
        <v>0</v>
      </c>
      <c r="X197" s="307">
        <v>0</v>
      </c>
      <c r="Y197" s="307">
        <v>0</v>
      </c>
      <c r="Z197" s="132">
        <v>0</v>
      </c>
      <c r="AA197" s="132">
        <v>0</v>
      </c>
      <c r="AB197" s="132">
        <v>0</v>
      </c>
      <c r="AC197" s="132"/>
      <c r="AD197" s="132"/>
      <c r="AE197" s="676"/>
      <c r="AF197" s="141">
        <f>+R197</f>
        <v>0</v>
      </c>
      <c r="AG197" s="125"/>
      <c r="AH197" s="102">
        <f>+(AF197/M197)</f>
        <v>0</v>
      </c>
      <c r="AI197" s="598">
        <f t="shared" si="3"/>
        <v>0</v>
      </c>
      <c r="AJ197" s="125"/>
      <c r="AK197" s="671"/>
      <c r="AL197" s="148"/>
      <c r="AM197" s="148"/>
      <c r="AN197" s="148"/>
      <c r="AO197" s="148"/>
      <c r="AP197" s="148"/>
      <c r="AQ197" s="148"/>
      <c r="AR197" s="148"/>
      <c r="AS197" s="148"/>
      <c r="AT197" s="671"/>
      <c r="AU197" s="670"/>
      <c r="AV197" s="144"/>
    </row>
    <row r="198" spans="1:48" ht="60" customHeight="1" x14ac:dyDescent="0.25">
      <c r="A198" s="632"/>
      <c r="B198" s="663"/>
      <c r="C198" s="634"/>
      <c r="D198" s="705"/>
      <c r="E198" s="622"/>
      <c r="F198" s="622"/>
      <c r="G198" s="622"/>
      <c r="H198" s="622"/>
      <c r="I198" s="632"/>
      <c r="J198" s="632"/>
      <c r="K198" s="132" t="s">
        <v>487</v>
      </c>
      <c r="L198" s="132" t="s">
        <v>488</v>
      </c>
      <c r="M198" s="105">
        <v>33</v>
      </c>
      <c r="N198" s="105">
        <v>14</v>
      </c>
      <c r="O198" s="105"/>
      <c r="P198" s="125"/>
      <c r="Q198" s="132">
        <v>12</v>
      </c>
      <c r="R198" s="132">
        <v>33</v>
      </c>
      <c r="S198" s="132">
        <v>11</v>
      </c>
      <c r="T198" s="132">
        <v>21</v>
      </c>
      <c r="U198" s="274">
        <v>30</v>
      </c>
      <c r="V198" s="290">
        <v>30</v>
      </c>
      <c r="W198" s="307">
        <v>10</v>
      </c>
      <c r="X198" s="307">
        <v>20</v>
      </c>
      <c r="Y198" s="307">
        <v>0</v>
      </c>
      <c r="Z198" s="132">
        <v>30</v>
      </c>
      <c r="AA198" s="132">
        <v>4</v>
      </c>
      <c r="AB198" s="132">
        <v>15</v>
      </c>
      <c r="AC198" s="132"/>
      <c r="AD198" s="132"/>
      <c r="AE198" s="677"/>
      <c r="AF198" s="141">
        <f>+R198+V198+Z198+AA198+AB198</f>
        <v>112</v>
      </c>
      <c r="AG198" s="125"/>
      <c r="AH198" s="102">
        <f>+AF198/(M198*4)</f>
        <v>0.84848484848484851</v>
      </c>
      <c r="AI198" s="598">
        <f t="shared" si="3"/>
        <v>0.84848484848484851</v>
      </c>
      <c r="AJ198" s="125"/>
      <c r="AK198" s="671"/>
      <c r="AL198" s="148"/>
      <c r="AM198" s="148"/>
      <c r="AN198" s="148"/>
      <c r="AO198" s="148"/>
      <c r="AP198" s="148"/>
      <c r="AQ198" s="148"/>
      <c r="AR198" s="148"/>
      <c r="AS198" s="148"/>
      <c r="AT198" s="671"/>
      <c r="AU198" s="670"/>
      <c r="AV198" s="144"/>
    </row>
    <row r="199" spans="1:48" ht="60" customHeight="1" x14ac:dyDescent="0.25">
      <c r="A199" s="632"/>
      <c r="B199" s="663"/>
      <c r="C199" s="634"/>
      <c r="D199" s="705"/>
      <c r="E199" s="622"/>
      <c r="F199" s="622"/>
      <c r="G199" s="622"/>
      <c r="H199" s="622"/>
      <c r="I199" s="632"/>
      <c r="J199" s="632"/>
      <c r="K199" s="132"/>
      <c r="L199" s="132"/>
      <c r="M199" s="105"/>
      <c r="N199" s="105"/>
      <c r="O199" s="105"/>
      <c r="P199" s="125"/>
      <c r="Q199" s="125"/>
      <c r="R199" s="125"/>
      <c r="S199" s="125"/>
      <c r="T199" s="125"/>
      <c r="U199" s="274"/>
      <c r="V199" s="290"/>
      <c r="W199" s="125"/>
      <c r="X199" s="125"/>
      <c r="Y199" s="125"/>
      <c r="Z199" s="125"/>
      <c r="AA199" s="125"/>
      <c r="AB199" s="125"/>
      <c r="AC199" s="125"/>
      <c r="AD199" s="125"/>
      <c r="AE199" s="290"/>
      <c r="AF199" s="141"/>
      <c r="AG199" s="125"/>
      <c r="AH199" s="150">
        <f>AVERAGE(AH195:AH198)</f>
        <v>0.66098484848484851</v>
      </c>
      <c r="AI199" s="598">
        <f t="shared" si="3"/>
        <v>0.66098484848484851</v>
      </c>
      <c r="AJ199" s="125"/>
      <c r="AK199" s="671"/>
      <c r="AL199" s="148"/>
      <c r="AM199" s="148"/>
      <c r="AN199" s="148"/>
      <c r="AO199" s="148"/>
      <c r="AP199" s="148"/>
      <c r="AQ199" s="148"/>
      <c r="AR199" s="148"/>
      <c r="AS199" s="148"/>
      <c r="AT199" s="671"/>
      <c r="AU199" s="670"/>
      <c r="AV199" s="144"/>
    </row>
    <row r="200" spans="1:48" ht="60" customHeight="1" x14ac:dyDescent="0.25">
      <c r="A200" s="632"/>
      <c r="B200" s="663"/>
      <c r="C200" s="634"/>
      <c r="D200" s="705"/>
      <c r="E200" s="622"/>
      <c r="F200" s="132"/>
      <c r="G200" s="132"/>
      <c r="H200" s="132"/>
      <c r="I200" s="131"/>
      <c r="J200" s="131"/>
      <c r="K200" s="132"/>
      <c r="L200" s="132"/>
      <c r="M200" s="105"/>
      <c r="N200" s="105"/>
      <c r="O200" s="105"/>
      <c r="P200" s="125"/>
      <c r="Q200" s="125"/>
      <c r="R200" s="125"/>
      <c r="S200" s="125"/>
      <c r="T200" s="125"/>
      <c r="U200" s="274"/>
      <c r="V200" s="290"/>
      <c r="W200" s="125"/>
      <c r="X200" s="125"/>
      <c r="Y200" s="125"/>
      <c r="Z200" s="125"/>
      <c r="AA200" s="125"/>
      <c r="AB200" s="125"/>
      <c r="AC200" s="125"/>
      <c r="AD200" s="125"/>
      <c r="AE200" s="290"/>
      <c r="AF200" s="141"/>
      <c r="AG200" s="125"/>
      <c r="AH200" s="160">
        <f>+AH199</f>
        <v>0.66098484848484851</v>
      </c>
      <c r="AI200" s="598">
        <f t="shared" si="3"/>
        <v>0.66098484848484851</v>
      </c>
      <c r="AJ200" s="125"/>
      <c r="AK200" s="6"/>
      <c r="AL200" s="143"/>
      <c r="AM200" s="143"/>
      <c r="AN200" s="143"/>
      <c r="AO200" s="143"/>
      <c r="AP200" s="143"/>
      <c r="AQ200" s="143"/>
      <c r="AR200" s="143"/>
      <c r="AS200" s="143"/>
      <c r="AT200" s="6"/>
      <c r="AU200" s="194"/>
      <c r="AV200" s="144"/>
    </row>
    <row r="201" spans="1:48" ht="94.5" customHeight="1" x14ac:dyDescent="0.25">
      <c r="A201" s="632"/>
      <c r="B201" s="663"/>
      <c r="C201" s="634"/>
      <c r="D201" s="705"/>
      <c r="E201" s="622" t="s">
        <v>490</v>
      </c>
      <c r="F201" s="622" t="s">
        <v>491</v>
      </c>
      <c r="G201" s="622" t="s">
        <v>492</v>
      </c>
      <c r="H201" s="623">
        <v>0.25</v>
      </c>
      <c r="I201" s="623">
        <v>0</v>
      </c>
      <c r="J201" s="622" t="s">
        <v>497</v>
      </c>
      <c r="K201" s="132" t="s">
        <v>493</v>
      </c>
      <c r="L201" s="132" t="s">
        <v>494</v>
      </c>
      <c r="M201" s="108" t="s">
        <v>2194</v>
      </c>
      <c r="N201" s="105">
        <v>0</v>
      </c>
      <c r="O201" s="105"/>
      <c r="P201" s="125"/>
      <c r="Q201" s="132">
        <v>0</v>
      </c>
      <c r="R201" s="107">
        <v>0.3</v>
      </c>
      <c r="S201" s="132">
        <v>0</v>
      </c>
      <c r="T201" s="132">
        <v>1</v>
      </c>
      <c r="U201" s="274">
        <v>1</v>
      </c>
      <c r="V201" s="290">
        <v>0</v>
      </c>
      <c r="W201" s="307">
        <v>0</v>
      </c>
      <c r="X201" s="307">
        <v>0</v>
      </c>
      <c r="Y201" s="307">
        <v>0</v>
      </c>
      <c r="Z201" s="132">
        <v>1</v>
      </c>
      <c r="AA201" s="132">
        <v>0</v>
      </c>
      <c r="AB201" s="132">
        <v>0</v>
      </c>
      <c r="AC201" s="132"/>
      <c r="AD201" s="132"/>
      <c r="AE201" s="675"/>
      <c r="AF201" s="182">
        <v>0.33</v>
      </c>
      <c r="AG201" s="125"/>
      <c r="AH201" s="102">
        <v>0.33</v>
      </c>
      <c r="AI201" s="598">
        <f t="shared" si="3"/>
        <v>0.33</v>
      </c>
      <c r="AJ201" s="125"/>
      <c r="AK201" s="671">
        <v>140567754</v>
      </c>
      <c r="AL201" s="148"/>
      <c r="AM201" s="148"/>
      <c r="AN201" s="148"/>
      <c r="AO201" s="148"/>
      <c r="AP201" s="148"/>
      <c r="AQ201" s="148"/>
      <c r="AR201" s="148"/>
      <c r="AS201" s="148"/>
      <c r="AT201" s="671">
        <v>87739292</v>
      </c>
      <c r="AU201" s="670">
        <f>+AT201/AK201</f>
        <v>0.62417794624505418</v>
      </c>
      <c r="AV201" s="144"/>
    </row>
    <row r="202" spans="1:48" ht="60" customHeight="1" x14ac:dyDescent="0.25">
      <c r="A202" s="632"/>
      <c r="B202" s="663"/>
      <c r="C202" s="634"/>
      <c r="D202" s="705"/>
      <c r="E202" s="622"/>
      <c r="F202" s="622"/>
      <c r="G202" s="622"/>
      <c r="H202" s="623"/>
      <c r="I202" s="623"/>
      <c r="J202" s="622"/>
      <c r="K202" s="132" t="s">
        <v>495</v>
      </c>
      <c r="L202" s="132" t="s">
        <v>496</v>
      </c>
      <c r="M202" s="105">
        <v>15</v>
      </c>
      <c r="N202" s="105">
        <v>0</v>
      </c>
      <c r="O202" s="105"/>
      <c r="P202" s="125"/>
      <c r="Q202" s="132">
        <v>0</v>
      </c>
      <c r="R202" s="132">
        <v>2</v>
      </c>
      <c r="S202" s="132">
        <v>0</v>
      </c>
      <c r="T202" s="132">
        <v>2</v>
      </c>
      <c r="U202" s="274"/>
      <c r="V202" s="290">
        <v>4</v>
      </c>
      <c r="W202" s="307">
        <v>0</v>
      </c>
      <c r="X202" s="307">
        <v>5</v>
      </c>
      <c r="Y202" s="307">
        <v>0</v>
      </c>
      <c r="Z202" s="132">
        <v>5</v>
      </c>
      <c r="AA202" s="132">
        <v>0</v>
      </c>
      <c r="AB202" s="132">
        <v>0</v>
      </c>
      <c r="AC202" s="132"/>
      <c r="AD202" s="132"/>
      <c r="AE202" s="677"/>
      <c r="AF202" s="141">
        <f>+R202+T202+V202+X202+Z202</f>
        <v>18</v>
      </c>
      <c r="AG202" s="125"/>
      <c r="AH202" s="102">
        <v>1</v>
      </c>
      <c r="AI202" s="598">
        <f t="shared" si="3"/>
        <v>1</v>
      </c>
      <c r="AJ202" s="125"/>
      <c r="AK202" s="671"/>
      <c r="AL202" s="148"/>
      <c r="AM202" s="148"/>
      <c r="AN202" s="148"/>
      <c r="AO202" s="148"/>
      <c r="AP202" s="148"/>
      <c r="AQ202" s="148"/>
      <c r="AR202" s="148"/>
      <c r="AS202" s="148"/>
      <c r="AT202" s="671"/>
      <c r="AU202" s="670"/>
      <c r="AV202" s="144"/>
    </row>
    <row r="203" spans="1:48" ht="60" customHeight="1" x14ac:dyDescent="0.25">
      <c r="A203" s="632"/>
      <c r="B203" s="663"/>
      <c r="C203" s="634"/>
      <c r="D203" s="705"/>
      <c r="E203" s="622"/>
      <c r="F203" s="622"/>
      <c r="G203" s="622"/>
      <c r="H203" s="623"/>
      <c r="I203" s="623"/>
      <c r="J203" s="622"/>
      <c r="K203" s="132"/>
      <c r="L203" s="132"/>
      <c r="M203" s="105"/>
      <c r="N203" s="105"/>
      <c r="O203" s="105"/>
      <c r="P203" s="125"/>
      <c r="Q203" s="125"/>
      <c r="R203" s="125"/>
      <c r="S203" s="125"/>
      <c r="T203" s="125"/>
      <c r="U203" s="274"/>
      <c r="V203" s="290"/>
      <c r="W203" s="125"/>
      <c r="X203" s="125"/>
      <c r="Y203" s="125"/>
      <c r="Z203" s="125"/>
      <c r="AA203" s="125"/>
      <c r="AB203" s="125"/>
      <c r="AC203" s="125"/>
      <c r="AD203" s="125"/>
      <c r="AE203" s="290"/>
      <c r="AF203" s="141"/>
      <c r="AG203" s="125"/>
      <c r="AH203" s="150">
        <f>AVERAGE(AH201:AH202)</f>
        <v>0.66500000000000004</v>
      </c>
      <c r="AI203" s="598">
        <f t="shared" si="3"/>
        <v>0.66500000000000004</v>
      </c>
      <c r="AJ203" s="125"/>
      <c r="AK203" s="671"/>
      <c r="AL203" s="148"/>
      <c r="AM203" s="148"/>
      <c r="AN203" s="148"/>
      <c r="AO203" s="148"/>
      <c r="AP203" s="148"/>
      <c r="AQ203" s="148"/>
      <c r="AR203" s="148"/>
      <c r="AS203" s="148"/>
      <c r="AT203" s="671"/>
      <c r="AU203" s="670"/>
      <c r="AV203" s="144"/>
    </row>
    <row r="204" spans="1:48" ht="45" customHeight="1" x14ac:dyDescent="0.25">
      <c r="A204" s="632"/>
      <c r="B204" s="663"/>
      <c r="C204" s="634"/>
      <c r="D204" s="705"/>
      <c r="E204" s="622"/>
      <c r="F204" s="622" t="s">
        <v>498</v>
      </c>
      <c r="G204" s="622" t="s">
        <v>499</v>
      </c>
      <c r="H204" s="622" t="s">
        <v>500</v>
      </c>
      <c r="I204" s="623">
        <v>0.06</v>
      </c>
      <c r="J204" s="622" t="s">
        <v>501</v>
      </c>
      <c r="K204" s="132" t="s">
        <v>502</v>
      </c>
      <c r="L204" s="132" t="s">
        <v>503</v>
      </c>
      <c r="M204" s="105">
        <v>480</v>
      </c>
      <c r="N204" s="105">
        <v>120</v>
      </c>
      <c r="O204" s="105"/>
      <c r="P204" s="125"/>
      <c r="Q204" s="132">
        <v>60</v>
      </c>
      <c r="R204" s="132">
        <v>120</v>
      </c>
      <c r="S204" s="132">
        <v>0</v>
      </c>
      <c r="T204" s="132">
        <v>73</v>
      </c>
      <c r="U204" s="274">
        <v>84</v>
      </c>
      <c r="V204" s="290">
        <v>120</v>
      </c>
      <c r="W204" s="307">
        <v>30</v>
      </c>
      <c r="X204" s="307">
        <v>90</v>
      </c>
      <c r="Y204" s="307">
        <v>0</v>
      </c>
      <c r="Z204" s="132">
        <v>120</v>
      </c>
      <c r="AA204" s="132">
        <v>0</v>
      </c>
      <c r="AB204" s="132">
        <v>15</v>
      </c>
      <c r="AC204" s="132"/>
      <c r="AD204" s="132"/>
      <c r="AE204" s="675"/>
      <c r="AF204" s="141">
        <f>+R204+V204+Z204+AA204+AB204</f>
        <v>375</v>
      </c>
      <c r="AG204" s="125"/>
      <c r="AH204" s="102">
        <f>+AF204/M204</f>
        <v>0.78125</v>
      </c>
      <c r="AI204" s="598">
        <f t="shared" si="3"/>
        <v>0.78125</v>
      </c>
      <c r="AJ204" s="125"/>
      <c r="AK204" s="671"/>
      <c r="AL204" s="148"/>
      <c r="AM204" s="148"/>
      <c r="AN204" s="148"/>
      <c r="AO204" s="148"/>
      <c r="AP204" s="148"/>
      <c r="AQ204" s="148"/>
      <c r="AR204" s="148"/>
      <c r="AS204" s="148"/>
      <c r="AT204" s="671"/>
      <c r="AU204" s="670"/>
      <c r="AV204" s="144"/>
    </row>
    <row r="205" spans="1:48" ht="45" x14ac:dyDescent="0.25">
      <c r="A205" s="632"/>
      <c r="B205" s="663"/>
      <c r="C205" s="634"/>
      <c r="D205" s="705"/>
      <c r="E205" s="622"/>
      <c r="F205" s="622"/>
      <c r="G205" s="622"/>
      <c r="H205" s="622"/>
      <c r="I205" s="623"/>
      <c r="J205" s="622"/>
      <c r="K205" s="132" t="s">
        <v>504</v>
      </c>
      <c r="L205" s="132" t="s">
        <v>505</v>
      </c>
      <c r="M205" s="105">
        <v>9</v>
      </c>
      <c r="N205" s="105">
        <v>9</v>
      </c>
      <c r="O205" s="105"/>
      <c r="P205" s="125"/>
      <c r="Q205" s="132">
        <v>5</v>
      </c>
      <c r="R205" s="132">
        <v>8</v>
      </c>
      <c r="S205" s="132">
        <v>0</v>
      </c>
      <c r="T205" s="132">
        <v>4</v>
      </c>
      <c r="U205" s="274">
        <v>6</v>
      </c>
      <c r="V205" s="290">
        <v>9</v>
      </c>
      <c r="W205" s="307">
        <v>9</v>
      </c>
      <c r="X205" s="307">
        <v>9</v>
      </c>
      <c r="Y205" s="307">
        <v>0</v>
      </c>
      <c r="Z205" s="132">
        <v>8</v>
      </c>
      <c r="AA205" s="132">
        <v>1</v>
      </c>
      <c r="AB205" s="132">
        <v>3</v>
      </c>
      <c r="AC205" s="132"/>
      <c r="AD205" s="132"/>
      <c r="AE205" s="677"/>
      <c r="AF205" s="141">
        <f>+S205+T205+R205+AB205</f>
        <v>15</v>
      </c>
      <c r="AG205" s="125"/>
      <c r="AH205" s="102">
        <v>1</v>
      </c>
      <c r="AI205" s="598">
        <f t="shared" si="3"/>
        <v>1</v>
      </c>
      <c r="AJ205" s="125"/>
      <c r="AK205" s="671"/>
      <c r="AL205" s="148"/>
      <c r="AM205" s="148"/>
      <c r="AN205" s="148"/>
      <c r="AO205" s="148"/>
      <c r="AP205" s="148"/>
      <c r="AQ205" s="148"/>
      <c r="AR205" s="148"/>
      <c r="AS205" s="148"/>
      <c r="AT205" s="671"/>
      <c r="AU205" s="670"/>
      <c r="AV205" s="144"/>
    </row>
    <row r="206" spans="1:48" ht="62.25" customHeight="1" x14ac:dyDescent="0.25">
      <c r="A206" s="632"/>
      <c r="B206" s="663"/>
      <c r="C206" s="634"/>
      <c r="D206" s="705"/>
      <c r="E206" s="622"/>
      <c r="F206" s="622"/>
      <c r="G206" s="622"/>
      <c r="H206" s="622"/>
      <c r="I206" s="623"/>
      <c r="J206" s="622"/>
      <c r="K206" s="132"/>
      <c r="L206" s="132"/>
      <c r="M206" s="105"/>
      <c r="N206" s="105"/>
      <c r="O206" s="105"/>
      <c r="P206" s="125"/>
      <c r="Q206" s="125"/>
      <c r="R206" s="125"/>
      <c r="S206" s="125"/>
      <c r="T206" s="125"/>
      <c r="U206" s="274"/>
      <c r="V206" s="290"/>
      <c r="W206" s="125"/>
      <c r="X206" s="125"/>
      <c r="Y206" s="125"/>
      <c r="Z206" s="125"/>
      <c r="AA206" s="125"/>
      <c r="AB206" s="125"/>
      <c r="AC206" s="125"/>
      <c r="AD206" s="125"/>
      <c r="AE206" s="290"/>
      <c r="AF206" s="141"/>
      <c r="AG206" s="125"/>
      <c r="AH206" s="150">
        <f>AVERAGE(AH204:AH205)</f>
        <v>0.890625</v>
      </c>
      <c r="AI206" s="598">
        <f t="shared" si="3"/>
        <v>0.890625</v>
      </c>
      <c r="AJ206" s="125"/>
      <c r="AK206" s="671"/>
      <c r="AL206" s="148"/>
      <c r="AM206" s="148"/>
      <c r="AN206" s="148"/>
      <c r="AO206" s="148"/>
      <c r="AP206" s="148"/>
      <c r="AQ206" s="148"/>
      <c r="AR206" s="148"/>
      <c r="AS206" s="148"/>
      <c r="AT206" s="671"/>
      <c r="AU206" s="670"/>
      <c r="AV206" s="144"/>
    </row>
    <row r="207" spans="1:48" ht="62.25" customHeight="1" x14ac:dyDescent="0.25">
      <c r="A207" s="632"/>
      <c r="B207" s="663"/>
      <c r="C207" s="634"/>
      <c r="D207" s="705"/>
      <c r="E207" s="622"/>
      <c r="F207" s="132"/>
      <c r="G207" s="132"/>
      <c r="H207" s="132"/>
      <c r="I207" s="206"/>
      <c r="J207" s="132"/>
      <c r="K207" s="132"/>
      <c r="L207" s="132"/>
      <c r="M207" s="105"/>
      <c r="N207" s="105"/>
      <c r="O207" s="105"/>
      <c r="P207" s="125"/>
      <c r="Q207" s="125"/>
      <c r="R207" s="125"/>
      <c r="S207" s="125"/>
      <c r="T207" s="125"/>
      <c r="U207" s="274"/>
      <c r="V207" s="290"/>
      <c r="W207" s="125"/>
      <c r="X207" s="125"/>
      <c r="Y207" s="125"/>
      <c r="Z207" s="125"/>
      <c r="AA207" s="125"/>
      <c r="AB207" s="125"/>
      <c r="AC207" s="125"/>
      <c r="AD207" s="125"/>
      <c r="AE207" s="290"/>
      <c r="AF207" s="141"/>
      <c r="AG207" s="125"/>
      <c r="AH207" s="171">
        <f>+(AH203+AH206)/2</f>
        <v>0.77781250000000002</v>
      </c>
      <c r="AI207" s="598">
        <f t="shared" si="3"/>
        <v>0.77781250000000002</v>
      </c>
      <c r="AJ207" s="125"/>
      <c r="AK207" s="3"/>
      <c r="AL207" s="143"/>
      <c r="AM207" s="143"/>
      <c r="AN207" s="143"/>
      <c r="AO207" s="143"/>
      <c r="AP207" s="143"/>
      <c r="AQ207" s="143"/>
      <c r="AR207" s="143"/>
      <c r="AS207" s="143"/>
      <c r="AT207" s="3"/>
      <c r="AU207" s="195"/>
      <c r="AV207" s="144"/>
    </row>
    <row r="208" spans="1:48" ht="62.25" customHeight="1" x14ac:dyDescent="0.25">
      <c r="A208" s="632"/>
      <c r="B208" s="663"/>
      <c r="C208" s="634"/>
      <c r="D208" s="706"/>
      <c r="E208" s="132"/>
      <c r="F208" s="132"/>
      <c r="G208" s="132"/>
      <c r="H208" s="132"/>
      <c r="I208" s="206"/>
      <c r="J208" s="132"/>
      <c r="K208" s="132"/>
      <c r="L208" s="132"/>
      <c r="M208" s="105"/>
      <c r="N208" s="105"/>
      <c r="O208" s="105"/>
      <c r="P208" s="125"/>
      <c r="Q208" s="125"/>
      <c r="R208" s="125"/>
      <c r="S208" s="125"/>
      <c r="T208" s="125"/>
      <c r="U208" s="274"/>
      <c r="V208" s="290"/>
      <c r="W208" s="125"/>
      <c r="X208" s="125"/>
      <c r="Y208" s="125"/>
      <c r="Z208" s="125"/>
      <c r="AA208" s="125"/>
      <c r="AB208" s="125"/>
      <c r="AC208" s="125"/>
      <c r="AD208" s="125"/>
      <c r="AE208" s="290"/>
      <c r="AF208" s="141"/>
      <c r="AG208" s="125"/>
      <c r="AH208" s="448">
        <f>+(AH117+AH130+AH138+AH153+AH159+AH167+AH178+AH194+AH200+AH207)/10</f>
        <v>0.82103544334200029</v>
      </c>
      <c r="AI208" s="598">
        <f t="shared" si="3"/>
        <v>0.82103544334200029</v>
      </c>
      <c r="AJ208" s="125"/>
      <c r="AK208" s="143"/>
      <c r="AL208" s="143"/>
      <c r="AM208" s="143"/>
      <c r="AN208" s="143"/>
      <c r="AO208" s="143"/>
      <c r="AP208" s="143"/>
      <c r="AQ208" s="143"/>
      <c r="AR208" s="143"/>
      <c r="AS208" s="143"/>
      <c r="AT208" s="143"/>
      <c r="AU208" s="143"/>
      <c r="AV208" s="144"/>
    </row>
    <row r="209" spans="1:48" ht="90" customHeight="1" x14ac:dyDescent="0.25">
      <c r="A209" s="632"/>
      <c r="B209" s="663"/>
      <c r="C209" s="634"/>
      <c r="D209" s="637" t="s">
        <v>506</v>
      </c>
      <c r="E209" s="622" t="s">
        <v>507</v>
      </c>
      <c r="F209" s="622" t="s">
        <v>508</v>
      </c>
      <c r="G209" s="622" t="s">
        <v>509</v>
      </c>
      <c r="H209" s="628">
        <v>0.3</v>
      </c>
      <c r="I209" s="628">
        <v>0</v>
      </c>
      <c r="J209" s="622" t="s">
        <v>507</v>
      </c>
      <c r="K209" s="135" t="s">
        <v>510</v>
      </c>
      <c r="L209" s="132" t="s">
        <v>511</v>
      </c>
      <c r="M209" s="105">
        <v>40</v>
      </c>
      <c r="N209" s="105">
        <v>33</v>
      </c>
      <c r="O209" s="105"/>
      <c r="P209" s="125"/>
      <c r="Q209" s="132">
        <f>22+5</f>
        <v>27</v>
      </c>
      <c r="R209" s="132">
        <v>33</v>
      </c>
      <c r="S209" s="132"/>
      <c r="T209" s="132">
        <v>0</v>
      </c>
      <c r="U209" s="274">
        <v>30</v>
      </c>
      <c r="V209" s="290">
        <v>34</v>
      </c>
      <c r="W209" s="578"/>
      <c r="X209" s="578"/>
      <c r="Y209" s="578"/>
      <c r="Z209" s="132">
        <v>34</v>
      </c>
      <c r="AA209" s="132">
        <v>2</v>
      </c>
      <c r="AB209" s="132">
        <v>2</v>
      </c>
      <c r="AC209" s="132"/>
      <c r="AD209" s="132"/>
      <c r="AE209" s="675"/>
      <c r="AF209" s="586">
        <f>34+AB209</f>
        <v>36</v>
      </c>
      <c r="AG209" s="208"/>
      <c r="AH209" s="587">
        <f>+AF209/M209</f>
        <v>0.9</v>
      </c>
      <c r="AI209" s="598">
        <f t="shared" si="3"/>
        <v>0.9</v>
      </c>
      <c r="AJ209" s="125"/>
      <c r="AK209" s="619">
        <v>2979910604</v>
      </c>
      <c r="AL209" s="148"/>
      <c r="AM209" s="148"/>
      <c r="AN209" s="148"/>
      <c r="AO209" s="148"/>
      <c r="AP209" s="148"/>
      <c r="AQ209" s="148"/>
      <c r="AR209" s="148"/>
      <c r="AS209" s="148"/>
      <c r="AT209" s="619">
        <v>2324455302</v>
      </c>
      <c r="AU209" s="617">
        <f>+AT209/AK209</f>
        <v>0.78004195792982256</v>
      </c>
      <c r="AV209" s="144"/>
    </row>
    <row r="210" spans="1:48" ht="90" customHeight="1" x14ac:dyDescent="0.25">
      <c r="A210" s="632"/>
      <c r="B210" s="663"/>
      <c r="C210" s="634"/>
      <c r="D210" s="637"/>
      <c r="E210" s="622"/>
      <c r="F210" s="622"/>
      <c r="G210" s="622"/>
      <c r="H210" s="628"/>
      <c r="I210" s="628"/>
      <c r="J210" s="622"/>
      <c r="K210" s="135"/>
      <c r="L210" s="132"/>
      <c r="M210" s="105"/>
      <c r="N210" s="105"/>
      <c r="O210" s="105"/>
      <c r="P210" s="125"/>
      <c r="Q210" s="132"/>
      <c r="R210" s="132"/>
      <c r="S210" s="132"/>
      <c r="T210" s="132"/>
      <c r="U210" s="274"/>
      <c r="V210" s="290"/>
      <c r="W210" s="132"/>
      <c r="X210" s="132"/>
      <c r="Y210" s="132"/>
      <c r="Z210" s="132"/>
      <c r="AA210" s="132"/>
      <c r="AB210" s="132"/>
      <c r="AC210" s="132"/>
      <c r="AD210" s="132"/>
      <c r="AE210" s="676"/>
      <c r="AF210" s="141"/>
      <c r="AG210" s="125"/>
      <c r="AH210" s="150">
        <f>+AH209</f>
        <v>0.9</v>
      </c>
      <c r="AI210" s="598">
        <f t="shared" si="3"/>
        <v>0.9</v>
      </c>
      <c r="AJ210" s="125"/>
      <c r="AK210" s="671"/>
      <c r="AL210" s="148"/>
      <c r="AM210" s="148"/>
      <c r="AN210" s="148"/>
      <c r="AO210" s="148"/>
      <c r="AP210" s="148"/>
      <c r="AQ210" s="148"/>
      <c r="AR210" s="148"/>
      <c r="AS210" s="148"/>
      <c r="AT210" s="671"/>
      <c r="AU210" s="670"/>
      <c r="AV210" s="144"/>
    </row>
    <row r="211" spans="1:48" ht="90" customHeight="1" x14ac:dyDescent="0.25">
      <c r="A211" s="632"/>
      <c r="B211" s="663"/>
      <c r="C211" s="634"/>
      <c r="D211" s="637"/>
      <c r="E211" s="622"/>
      <c r="F211" s="622"/>
      <c r="G211" s="622"/>
      <c r="H211" s="628"/>
      <c r="I211" s="628"/>
      <c r="J211" s="622" t="s">
        <v>516</v>
      </c>
      <c r="K211" s="135" t="s">
        <v>512</v>
      </c>
      <c r="L211" s="132" t="s">
        <v>513</v>
      </c>
      <c r="M211" s="186">
        <v>319500</v>
      </c>
      <c r="N211" s="105">
        <v>0</v>
      </c>
      <c r="O211" s="105"/>
      <c r="P211" s="125"/>
      <c r="Q211" s="132">
        <v>9000</v>
      </c>
      <c r="R211" s="132">
        <f>46855+76888+80122+42447+17204+113+937+156+120+125</f>
        <v>264967</v>
      </c>
      <c r="S211" s="132"/>
      <c r="T211" s="132">
        <v>157437</v>
      </c>
      <c r="U211" s="274"/>
      <c r="V211" s="290">
        <v>185771</v>
      </c>
      <c r="W211" s="308">
        <v>3837</v>
      </c>
      <c r="X211" s="308">
        <v>29959</v>
      </c>
      <c r="Y211" s="308">
        <v>429</v>
      </c>
      <c r="Z211" s="132">
        <v>7604</v>
      </c>
      <c r="AA211" s="132">
        <v>480</v>
      </c>
      <c r="AB211" s="132">
        <v>10641</v>
      </c>
      <c r="AC211" s="132"/>
      <c r="AD211" s="132"/>
      <c r="AE211" s="676"/>
      <c r="AF211" s="141">
        <f>+R211+V211+Z211+Y211+W211+Q211+AA211+AB211</f>
        <v>482729</v>
      </c>
      <c r="AG211" s="125"/>
      <c r="AH211" s="314">
        <v>1</v>
      </c>
      <c r="AI211" s="598">
        <f t="shared" si="3"/>
        <v>1</v>
      </c>
      <c r="AJ211" s="125"/>
      <c r="AK211" s="671"/>
      <c r="AL211" s="148"/>
      <c r="AM211" s="148"/>
      <c r="AN211" s="148"/>
      <c r="AO211" s="148"/>
      <c r="AP211" s="148"/>
      <c r="AQ211" s="148"/>
      <c r="AR211" s="148"/>
      <c r="AS211" s="148"/>
      <c r="AT211" s="671"/>
      <c r="AU211" s="670"/>
      <c r="AV211" s="144"/>
    </row>
    <row r="212" spans="1:48" ht="90" customHeight="1" x14ac:dyDescent="0.25">
      <c r="A212" s="632"/>
      <c r="B212" s="663"/>
      <c r="C212" s="634"/>
      <c r="D212" s="637"/>
      <c r="E212" s="622"/>
      <c r="F212" s="622"/>
      <c r="G212" s="622"/>
      <c r="H212" s="628"/>
      <c r="I212" s="628"/>
      <c r="J212" s="622"/>
      <c r="K212" s="135"/>
      <c r="L212" s="132"/>
      <c r="M212" s="186"/>
      <c r="N212" s="105"/>
      <c r="O212" s="105"/>
      <c r="P212" s="125"/>
      <c r="Q212" s="132"/>
      <c r="R212" s="132"/>
      <c r="S212" s="132"/>
      <c r="T212" s="132"/>
      <c r="U212" s="274"/>
      <c r="V212" s="290"/>
      <c r="W212" s="132"/>
      <c r="X212" s="132"/>
      <c r="Y212" s="132"/>
      <c r="Z212" s="132"/>
      <c r="AA212" s="132"/>
      <c r="AB212" s="132"/>
      <c r="AC212" s="132"/>
      <c r="AD212" s="132"/>
      <c r="AE212" s="676"/>
      <c r="AF212" s="141"/>
      <c r="AG212" s="125"/>
      <c r="AH212" s="150">
        <f>+AH211</f>
        <v>1</v>
      </c>
      <c r="AI212" s="598">
        <f t="shared" si="3"/>
        <v>1</v>
      </c>
      <c r="AJ212" s="125"/>
      <c r="AK212" s="671"/>
      <c r="AL212" s="148"/>
      <c r="AM212" s="148"/>
      <c r="AN212" s="148"/>
      <c r="AO212" s="148"/>
      <c r="AP212" s="148"/>
      <c r="AQ212" s="148"/>
      <c r="AR212" s="148"/>
      <c r="AS212" s="148"/>
      <c r="AT212" s="671"/>
      <c r="AU212" s="670"/>
      <c r="AV212" s="144"/>
    </row>
    <row r="213" spans="1:48" ht="75" customHeight="1" x14ac:dyDescent="0.25">
      <c r="A213" s="632"/>
      <c r="B213" s="663"/>
      <c r="C213" s="634"/>
      <c r="D213" s="637"/>
      <c r="E213" s="622"/>
      <c r="F213" s="622"/>
      <c r="G213" s="622"/>
      <c r="H213" s="628"/>
      <c r="I213" s="628"/>
      <c r="J213" s="622" t="s">
        <v>517</v>
      </c>
      <c r="K213" s="135" t="s">
        <v>514</v>
      </c>
      <c r="L213" s="132" t="s">
        <v>515</v>
      </c>
      <c r="M213" s="105">
        <v>6</v>
      </c>
      <c r="N213" s="105">
        <v>0</v>
      </c>
      <c r="O213" s="105"/>
      <c r="P213" s="125"/>
      <c r="Q213" s="132">
        <v>6</v>
      </c>
      <c r="R213" s="132">
        <v>6</v>
      </c>
      <c r="S213" s="132"/>
      <c r="T213" s="132"/>
      <c r="U213" s="274">
        <v>3</v>
      </c>
      <c r="V213" s="290">
        <v>3</v>
      </c>
      <c r="W213" s="132">
        <v>0</v>
      </c>
      <c r="X213" s="132">
        <v>2</v>
      </c>
      <c r="Y213" s="132">
        <v>0</v>
      </c>
      <c r="Z213" s="311"/>
      <c r="AA213" s="132">
        <v>1</v>
      </c>
      <c r="AB213" s="132">
        <v>0</v>
      </c>
      <c r="AC213" s="132"/>
      <c r="AD213" s="132"/>
      <c r="AE213" s="676"/>
      <c r="AF213" s="141">
        <f>+AA213+R213+V213</f>
        <v>10</v>
      </c>
      <c r="AG213" s="125"/>
      <c r="AH213" s="314">
        <v>1</v>
      </c>
      <c r="AI213" s="598">
        <f t="shared" si="3"/>
        <v>1</v>
      </c>
      <c r="AJ213" s="125"/>
      <c r="AK213" s="671"/>
      <c r="AL213" s="148"/>
      <c r="AM213" s="148"/>
      <c r="AN213" s="148"/>
      <c r="AO213" s="148"/>
      <c r="AP213" s="148"/>
      <c r="AQ213" s="148"/>
      <c r="AR213" s="148"/>
      <c r="AS213" s="148"/>
      <c r="AT213" s="671"/>
      <c r="AU213" s="670"/>
      <c r="AV213" s="144"/>
    </row>
    <row r="214" spans="1:48" ht="75" customHeight="1" x14ac:dyDescent="0.25">
      <c r="A214" s="632"/>
      <c r="B214" s="663"/>
      <c r="C214" s="634"/>
      <c r="D214" s="637"/>
      <c r="E214" s="622"/>
      <c r="F214" s="622"/>
      <c r="G214" s="622"/>
      <c r="H214" s="628"/>
      <c r="I214" s="628"/>
      <c r="J214" s="622"/>
      <c r="K214" s="135"/>
      <c r="L214" s="132"/>
      <c r="M214" s="105"/>
      <c r="N214" s="105"/>
      <c r="O214" s="105"/>
      <c r="P214" s="125"/>
      <c r="Q214" s="132"/>
      <c r="R214" s="132"/>
      <c r="S214" s="132"/>
      <c r="T214" s="132"/>
      <c r="U214" s="274"/>
      <c r="V214" s="290"/>
      <c r="W214" s="132"/>
      <c r="X214" s="132"/>
      <c r="Y214" s="132"/>
      <c r="Z214" s="132"/>
      <c r="AA214" s="132"/>
      <c r="AB214" s="132"/>
      <c r="AC214" s="132"/>
      <c r="AD214" s="132"/>
      <c r="AE214" s="677"/>
      <c r="AF214" s="141"/>
      <c r="AG214" s="125"/>
      <c r="AH214" s="150">
        <f>+AH212</f>
        <v>1</v>
      </c>
      <c r="AI214" s="598">
        <f t="shared" si="3"/>
        <v>1</v>
      </c>
      <c r="AJ214" s="125"/>
      <c r="AK214" s="620"/>
      <c r="AL214" s="148"/>
      <c r="AM214" s="148"/>
      <c r="AN214" s="148"/>
      <c r="AO214" s="148"/>
      <c r="AP214" s="148"/>
      <c r="AQ214" s="148"/>
      <c r="AR214" s="148"/>
      <c r="AS214" s="148"/>
      <c r="AT214" s="620"/>
      <c r="AU214" s="618"/>
      <c r="AV214" s="144"/>
    </row>
    <row r="215" spans="1:48" ht="75" customHeight="1" x14ac:dyDescent="0.25">
      <c r="A215" s="632"/>
      <c r="B215" s="663"/>
      <c r="C215" s="634"/>
      <c r="D215" s="637"/>
      <c r="E215" s="622"/>
      <c r="F215" s="132"/>
      <c r="G215" s="132"/>
      <c r="H215" s="108"/>
      <c r="I215" s="108"/>
      <c r="J215" s="132"/>
      <c r="K215" s="135"/>
      <c r="L215" s="132"/>
      <c r="M215" s="105"/>
      <c r="N215" s="105"/>
      <c r="O215" s="105"/>
      <c r="P215" s="125"/>
      <c r="Q215" s="125"/>
      <c r="R215" s="125"/>
      <c r="S215" s="125"/>
      <c r="T215" s="125"/>
      <c r="U215" s="274"/>
      <c r="V215" s="290"/>
      <c r="W215" s="125"/>
      <c r="X215" s="125"/>
      <c r="Y215" s="125"/>
      <c r="Z215" s="125"/>
      <c r="AA215" s="125"/>
      <c r="AB215" s="125"/>
      <c r="AC215" s="125"/>
      <c r="AD215" s="125"/>
      <c r="AE215" s="290"/>
      <c r="AF215" s="141"/>
      <c r="AG215" s="125"/>
      <c r="AH215" s="171">
        <f>+(AH210+AH212+AH214)/3</f>
        <v>0.96666666666666667</v>
      </c>
      <c r="AI215" s="598">
        <f t="shared" si="3"/>
        <v>0.96666666666666667</v>
      </c>
      <c r="AJ215" s="125"/>
      <c r="AK215" s="143"/>
      <c r="AL215" s="143"/>
      <c r="AM215" s="143"/>
      <c r="AN215" s="143"/>
      <c r="AO215" s="143"/>
      <c r="AP215" s="143"/>
      <c r="AQ215" s="143"/>
      <c r="AR215" s="143"/>
      <c r="AS215" s="143"/>
      <c r="AT215" s="143"/>
      <c r="AU215" s="143"/>
      <c r="AV215" s="144"/>
    </row>
    <row r="216" spans="1:48" ht="80.25" customHeight="1" x14ac:dyDescent="0.25">
      <c r="A216" s="632"/>
      <c r="B216" s="663"/>
      <c r="C216" s="634"/>
      <c r="D216" s="637"/>
      <c r="E216" s="622" t="s">
        <v>518</v>
      </c>
      <c r="F216" s="622" t="s">
        <v>520</v>
      </c>
      <c r="G216" s="622" t="s">
        <v>519</v>
      </c>
      <c r="H216" s="622">
        <v>8</v>
      </c>
      <c r="I216" s="622">
        <v>4</v>
      </c>
      <c r="J216" s="622" t="s">
        <v>530</v>
      </c>
      <c r="K216" s="329" t="s">
        <v>525</v>
      </c>
      <c r="L216" s="132" t="s">
        <v>521</v>
      </c>
      <c r="M216" s="105">
        <v>60</v>
      </c>
      <c r="N216" s="105">
        <v>30</v>
      </c>
      <c r="O216" s="105"/>
      <c r="P216" s="132"/>
      <c r="Q216" s="132"/>
      <c r="R216" s="132">
        <v>10</v>
      </c>
      <c r="S216" s="145"/>
      <c r="T216" s="132"/>
      <c r="U216" s="274"/>
      <c r="V216" s="290">
        <v>20</v>
      </c>
      <c r="W216" s="308"/>
      <c r="X216" s="308"/>
      <c r="Y216" s="308"/>
      <c r="Z216" s="563">
        <v>20</v>
      </c>
      <c r="AA216" s="575">
        <v>1</v>
      </c>
      <c r="AB216" s="125">
        <v>0</v>
      </c>
      <c r="AC216" s="125"/>
      <c r="AD216" s="125"/>
      <c r="AE216" s="675"/>
      <c r="AF216" s="141">
        <f>+O216+P216+Q216+R216+S216+T216+U216+V216+W216+X216+Y216+Z216+AA216+AB216+AC216</f>
        <v>51</v>
      </c>
      <c r="AG216" s="125"/>
      <c r="AH216" s="314">
        <f>+AF216/M216</f>
        <v>0.85</v>
      </c>
      <c r="AI216" s="598">
        <f t="shared" si="3"/>
        <v>0.85</v>
      </c>
      <c r="AJ216" s="125"/>
      <c r="AK216" s="619">
        <v>8620381413</v>
      </c>
      <c r="AL216" s="148"/>
      <c r="AM216" s="148"/>
      <c r="AN216" s="148"/>
      <c r="AO216" s="148"/>
      <c r="AP216" s="148"/>
      <c r="AQ216" s="148"/>
      <c r="AR216" s="148"/>
      <c r="AS216" s="148"/>
      <c r="AT216" s="619">
        <v>7309968503</v>
      </c>
      <c r="AU216" s="617">
        <f>+AT216/AK216</f>
        <v>0.84798666703728132</v>
      </c>
      <c r="AV216" s="144"/>
    </row>
    <row r="217" spans="1:48" ht="90" customHeight="1" x14ac:dyDescent="0.25">
      <c r="A217" s="632"/>
      <c r="B217" s="663"/>
      <c r="C217" s="634"/>
      <c r="D217" s="637"/>
      <c r="E217" s="622"/>
      <c r="F217" s="622"/>
      <c r="G217" s="622"/>
      <c r="H217" s="622"/>
      <c r="I217" s="622"/>
      <c r="J217" s="622"/>
      <c r="K217" s="125"/>
      <c r="L217" s="132"/>
      <c r="M217" s="105"/>
      <c r="N217" s="105"/>
      <c r="O217" s="105"/>
      <c r="P217" s="125"/>
      <c r="Q217" s="125"/>
      <c r="R217" s="125"/>
      <c r="S217" s="125"/>
      <c r="T217" s="125"/>
      <c r="U217" s="274"/>
      <c r="V217" s="290"/>
      <c r="W217" s="125"/>
      <c r="X217" s="125"/>
      <c r="Y217" s="125"/>
      <c r="Z217" s="125"/>
      <c r="AA217" s="125"/>
      <c r="AB217" s="125"/>
      <c r="AC217" s="125"/>
      <c r="AD217" s="125"/>
      <c r="AE217" s="676"/>
      <c r="AF217" s="141"/>
      <c r="AG217" s="125"/>
      <c r="AH217" s="150">
        <f>+AH216</f>
        <v>0.85</v>
      </c>
      <c r="AI217" s="598">
        <f t="shared" si="3"/>
        <v>0.85</v>
      </c>
      <c r="AJ217" s="125"/>
      <c r="AK217" s="671"/>
      <c r="AL217" s="148"/>
      <c r="AM217" s="148"/>
      <c r="AN217" s="148"/>
      <c r="AO217" s="148"/>
      <c r="AP217" s="148"/>
      <c r="AQ217" s="148"/>
      <c r="AR217" s="148"/>
      <c r="AS217" s="148"/>
      <c r="AT217" s="671"/>
      <c r="AU217" s="670"/>
      <c r="AV217" s="144"/>
    </row>
    <row r="218" spans="1:48" ht="60" x14ac:dyDescent="0.25">
      <c r="A218" s="632"/>
      <c r="B218" s="663"/>
      <c r="C218" s="634"/>
      <c r="D218" s="637"/>
      <c r="E218" s="622"/>
      <c r="F218" s="622"/>
      <c r="G218" s="622"/>
      <c r="H218" s="622"/>
      <c r="I218" s="622"/>
      <c r="J218" s="622" t="s">
        <v>531</v>
      </c>
      <c r="K218" s="125" t="s">
        <v>526</v>
      </c>
      <c r="L218" s="132" t="s">
        <v>522</v>
      </c>
      <c r="M218" s="105">
        <v>500</v>
      </c>
      <c r="N218" s="105">
        <v>200</v>
      </c>
      <c r="O218" s="105"/>
      <c r="P218" s="125"/>
      <c r="Q218" s="132">
        <f>17+96</f>
        <v>113</v>
      </c>
      <c r="R218" s="132">
        <f>96+1+17</f>
        <v>114</v>
      </c>
      <c r="S218" s="145"/>
      <c r="T218" s="132">
        <v>40</v>
      </c>
      <c r="U218" s="274">
        <v>0</v>
      </c>
      <c r="V218" s="290">
        <v>87</v>
      </c>
      <c r="W218" s="308">
        <v>0</v>
      </c>
      <c r="X218" s="308">
        <v>47</v>
      </c>
      <c r="Y218" s="308">
        <v>45</v>
      </c>
      <c r="Z218" s="563">
        <v>0</v>
      </c>
      <c r="AA218" s="125">
        <v>44</v>
      </c>
      <c r="AB218" s="125">
        <v>0</v>
      </c>
      <c r="AC218" s="125"/>
      <c r="AD218" s="125"/>
      <c r="AE218" s="676"/>
      <c r="AF218" s="141">
        <f>+O218+P218+Q218+R218+S218+T218+U218+V218+W218+X218+Y218+Z218+AA218+AB218+AC218+AD218</f>
        <v>490</v>
      </c>
      <c r="AG218" s="125"/>
      <c r="AH218" s="314">
        <f>+(AF218/M218)</f>
        <v>0.98</v>
      </c>
      <c r="AI218" s="598">
        <f t="shared" si="3"/>
        <v>0.98</v>
      </c>
      <c r="AJ218" s="125"/>
      <c r="AK218" s="671"/>
      <c r="AL218" s="148"/>
      <c r="AM218" s="148"/>
      <c r="AN218" s="148"/>
      <c r="AO218" s="148"/>
      <c r="AP218" s="148"/>
      <c r="AQ218" s="148"/>
      <c r="AR218" s="148"/>
      <c r="AS218" s="148"/>
      <c r="AT218" s="671"/>
      <c r="AU218" s="670"/>
      <c r="AV218" s="144"/>
    </row>
    <row r="219" spans="1:48" ht="71.25" customHeight="1" x14ac:dyDescent="0.25">
      <c r="A219" s="632"/>
      <c r="B219" s="663"/>
      <c r="C219" s="634"/>
      <c r="D219" s="637"/>
      <c r="E219" s="622"/>
      <c r="F219" s="622"/>
      <c r="G219" s="622"/>
      <c r="H219" s="622"/>
      <c r="I219" s="622"/>
      <c r="J219" s="622"/>
      <c r="K219" s="125"/>
      <c r="L219" s="132"/>
      <c r="M219" s="105"/>
      <c r="N219" s="105"/>
      <c r="O219" s="105"/>
      <c r="P219" s="125"/>
      <c r="Q219" s="125"/>
      <c r="R219" s="125"/>
      <c r="S219" s="125"/>
      <c r="T219" s="125"/>
      <c r="U219" s="274"/>
      <c r="V219" s="290"/>
      <c r="W219" s="125"/>
      <c r="X219" s="125"/>
      <c r="Y219" s="125"/>
      <c r="Z219" s="125"/>
      <c r="AA219" s="125"/>
      <c r="AB219" s="125"/>
      <c r="AC219" s="125"/>
      <c r="AD219" s="125"/>
      <c r="AE219" s="676"/>
      <c r="AF219" s="141"/>
      <c r="AG219" s="125"/>
      <c r="AH219" s="150">
        <f>AH218</f>
        <v>0.98</v>
      </c>
      <c r="AI219" s="598">
        <f t="shared" si="3"/>
        <v>0.98</v>
      </c>
      <c r="AJ219" s="125"/>
      <c r="AK219" s="671"/>
      <c r="AL219" s="148"/>
      <c r="AM219" s="148"/>
      <c r="AN219" s="148"/>
      <c r="AO219" s="148"/>
      <c r="AP219" s="148"/>
      <c r="AQ219" s="148"/>
      <c r="AR219" s="148"/>
      <c r="AS219" s="148"/>
      <c r="AT219" s="671"/>
      <c r="AU219" s="670"/>
      <c r="AV219" s="144"/>
    </row>
    <row r="220" spans="1:48" ht="30" x14ac:dyDescent="0.25">
      <c r="A220" s="632"/>
      <c r="B220" s="663"/>
      <c r="C220" s="634"/>
      <c r="D220" s="637"/>
      <c r="E220" s="622"/>
      <c r="F220" s="622"/>
      <c r="G220" s="622"/>
      <c r="H220" s="622"/>
      <c r="I220" s="622"/>
      <c r="J220" s="622" t="s">
        <v>532</v>
      </c>
      <c r="K220" s="125" t="s">
        <v>527</v>
      </c>
      <c r="L220" s="132" t="s">
        <v>523</v>
      </c>
      <c r="M220" s="105">
        <v>400</v>
      </c>
      <c r="N220" s="105">
        <v>0</v>
      </c>
      <c r="O220" s="105"/>
      <c r="P220" s="125"/>
      <c r="Q220" s="132">
        <v>41</v>
      </c>
      <c r="R220" s="132">
        <f>8+58+86+7+55</f>
        <v>214</v>
      </c>
      <c r="S220" s="125"/>
      <c r="T220" s="132">
        <v>63</v>
      </c>
      <c r="U220" s="274">
        <v>74</v>
      </c>
      <c r="V220" s="290">
        <v>63</v>
      </c>
      <c r="W220" s="125">
        <v>0</v>
      </c>
      <c r="X220" s="125">
        <v>14</v>
      </c>
      <c r="Y220" s="563">
        <v>0</v>
      </c>
      <c r="Z220" s="563">
        <v>0</v>
      </c>
      <c r="AA220" s="125">
        <v>100</v>
      </c>
      <c r="AB220" s="125">
        <v>0</v>
      </c>
      <c r="AC220" s="125"/>
      <c r="AD220" s="125"/>
      <c r="AE220" s="676"/>
      <c r="AF220" s="141">
        <f>+O220+P220+Q220+R220+S220+T220+U220+V220+W220+X220+Y220+Z220+AA220+AB220+AC220+AD220</f>
        <v>569</v>
      </c>
      <c r="AG220" s="125"/>
      <c r="AH220" s="314">
        <v>1</v>
      </c>
      <c r="AI220" s="598">
        <f t="shared" si="3"/>
        <v>1</v>
      </c>
      <c r="AJ220" s="125"/>
      <c r="AK220" s="671"/>
      <c r="AL220" s="148"/>
      <c r="AM220" s="148"/>
      <c r="AN220" s="148"/>
      <c r="AO220" s="148"/>
      <c r="AP220" s="148"/>
      <c r="AQ220" s="148"/>
      <c r="AR220" s="148"/>
      <c r="AS220" s="148"/>
      <c r="AT220" s="671"/>
      <c r="AU220" s="670"/>
      <c r="AV220" s="144"/>
    </row>
    <row r="221" spans="1:48" ht="62.25" customHeight="1" x14ac:dyDescent="0.25">
      <c r="A221" s="632"/>
      <c r="B221" s="663"/>
      <c r="C221" s="634"/>
      <c r="D221" s="637"/>
      <c r="E221" s="622"/>
      <c r="F221" s="622"/>
      <c r="G221" s="622"/>
      <c r="H221" s="622"/>
      <c r="I221" s="622"/>
      <c r="J221" s="622"/>
      <c r="K221" s="125"/>
      <c r="L221" s="132"/>
      <c r="M221" s="105"/>
      <c r="N221" s="105"/>
      <c r="O221" s="105"/>
      <c r="P221" s="125"/>
      <c r="Q221" s="125"/>
      <c r="R221" s="125"/>
      <c r="S221" s="125"/>
      <c r="T221" s="125"/>
      <c r="U221" s="274"/>
      <c r="V221" s="290"/>
      <c r="W221" s="125"/>
      <c r="X221" s="125"/>
      <c r="Y221" s="125"/>
      <c r="Z221" s="125"/>
      <c r="AA221" s="125"/>
      <c r="AB221" s="125"/>
      <c r="AC221" s="125"/>
      <c r="AD221" s="125"/>
      <c r="AE221" s="676"/>
      <c r="AF221" s="141"/>
      <c r="AG221" s="125"/>
      <c r="AH221" s="150">
        <f>+AH220</f>
        <v>1</v>
      </c>
      <c r="AI221" s="598">
        <f t="shared" si="3"/>
        <v>1</v>
      </c>
      <c r="AJ221" s="125"/>
      <c r="AK221" s="671"/>
      <c r="AL221" s="148"/>
      <c r="AM221" s="148"/>
      <c r="AN221" s="148"/>
      <c r="AO221" s="148"/>
      <c r="AP221" s="148"/>
      <c r="AQ221" s="148"/>
      <c r="AR221" s="148"/>
      <c r="AS221" s="148"/>
      <c r="AT221" s="671"/>
      <c r="AU221" s="670"/>
      <c r="AV221" s="144"/>
    </row>
    <row r="222" spans="1:48" ht="37.5" customHeight="1" x14ac:dyDescent="0.25">
      <c r="A222" s="632"/>
      <c r="B222" s="663"/>
      <c r="C222" s="634"/>
      <c r="D222" s="637"/>
      <c r="E222" s="622"/>
      <c r="F222" s="622"/>
      <c r="G222" s="622"/>
      <c r="H222" s="622"/>
      <c r="I222" s="622"/>
      <c r="J222" s="622" t="s">
        <v>533</v>
      </c>
      <c r="K222" s="208" t="s">
        <v>528</v>
      </c>
      <c r="L222" s="132" t="s">
        <v>2165</v>
      </c>
      <c r="M222" s="105">
        <v>18</v>
      </c>
      <c r="N222" s="105">
        <v>15</v>
      </c>
      <c r="O222" s="105"/>
      <c r="P222" s="125"/>
      <c r="Q222" s="132">
        <v>6</v>
      </c>
      <c r="R222" s="132"/>
      <c r="S222" s="125"/>
      <c r="T222" s="172"/>
      <c r="U222" s="274">
        <v>1</v>
      </c>
      <c r="V222" s="290">
        <v>1</v>
      </c>
      <c r="W222" s="125"/>
      <c r="X222" s="125"/>
      <c r="Y222" s="125"/>
      <c r="Z222" s="125"/>
      <c r="AA222" s="575">
        <v>0</v>
      </c>
      <c r="AB222" s="575">
        <v>0</v>
      </c>
      <c r="AC222" s="125"/>
      <c r="AD222" s="125"/>
      <c r="AE222" s="676"/>
      <c r="AF222" s="141">
        <f>+O222+P222+Q222+R222+S222+T222+U222+V222+W222+X222+Y222+Z222+AA222+AB222+AC222+AD222</f>
        <v>8</v>
      </c>
      <c r="AG222" s="125"/>
      <c r="AH222" s="102">
        <f>+(AF222/M222)</f>
        <v>0.44444444444444442</v>
      </c>
      <c r="AI222" s="598">
        <f t="shared" si="3"/>
        <v>0.44444444444444442</v>
      </c>
      <c r="AJ222" s="125"/>
      <c r="AK222" s="671"/>
      <c r="AL222" s="148"/>
      <c r="AM222" s="148"/>
      <c r="AN222" s="148"/>
      <c r="AO222" s="148"/>
      <c r="AP222" s="148"/>
      <c r="AQ222" s="148"/>
      <c r="AR222" s="148"/>
      <c r="AS222" s="148"/>
      <c r="AT222" s="671"/>
      <c r="AU222" s="670"/>
      <c r="AV222" s="144"/>
    </row>
    <row r="223" spans="1:48" ht="45" customHeight="1" x14ac:dyDescent="0.25">
      <c r="A223" s="632"/>
      <c r="B223" s="663"/>
      <c r="C223" s="634"/>
      <c r="D223" s="637"/>
      <c r="E223" s="622"/>
      <c r="F223" s="622"/>
      <c r="G223" s="622"/>
      <c r="H223" s="622"/>
      <c r="I223" s="622"/>
      <c r="J223" s="622"/>
      <c r="K223" s="208" t="s">
        <v>529</v>
      </c>
      <c r="L223" s="132" t="s">
        <v>524</v>
      </c>
      <c r="M223" s="105">
        <v>60</v>
      </c>
      <c r="N223" s="105">
        <v>30</v>
      </c>
      <c r="O223" s="105"/>
      <c r="P223" s="125"/>
      <c r="Q223" s="132">
        <v>3</v>
      </c>
      <c r="R223" s="132">
        <f>1+2+1+2+1+14</f>
        <v>21</v>
      </c>
      <c r="S223" s="125"/>
      <c r="T223" s="172"/>
      <c r="U223" s="274">
        <v>1</v>
      </c>
      <c r="V223" s="290">
        <v>1</v>
      </c>
      <c r="W223" s="308">
        <v>0</v>
      </c>
      <c r="X223" s="308">
        <v>3</v>
      </c>
      <c r="Y223" s="308">
        <v>0</v>
      </c>
      <c r="Z223" s="125">
        <v>19</v>
      </c>
      <c r="AA223" s="125">
        <v>1</v>
      </c>
      <c r="AB223" s="125">
        <v>1</v>
      </c>
      <c r="AC223" s="125"/>
      <c r="AD223" s="125"/>
      <c r="AE223" s="676"/>
      <c r="AF223" s="141">
        <f>+R223+U223+V223+X223+Z223+AA223+AB223</f>
        <v>47</v>
      </c>
      <c r="AG223" s="125"/>
      <c r="AH223" s="314">
        <v>1</v>
      </c>
      <c r="AI223" s="598">
        <f t="shared" si="3"/>
        <v>1</v>
      </c>
      <c r="AJ223" s="125"/>
      <c r="AK223" s="671"/>
      <c r="AL223" s="148"/>
      <c r="AM223" s="148"/>
      <c r="AN223" s="148"/>
      <c r="AO223" s="148"/>
      <c r="AP223" s="148"/>
      <c r="AQ223" s="148"/>
      <c r="AR223" s="148"/>
      <c r="AS223" s="148"/>
      <c r="AT223" s="671"/>
      <c r="AU223" s="670"/>
      <c r="AV223" s="144"/>
    </row>
    <row r="224" spans="1:48" ht="45" customHeight="1" x14ac:dyDescent="0.25">
      <c r="A224" s="632"/>
      <c r="B224" s="663"/>
      <c r="C224" s="634"/>
      <c r="D224" s="637"/>
      <c r="E224" s="622"/>
      <c r="F224" s="622"/>
      <c r="G224" s="622"/>
      <c r="H224" s="622"/>
      <c r="I224" s="622"/>
      <c r="J224" s="622"/>
      <c r="K224" s="125"/>
      <c r="L224" s="132"/>
      <c r="M224" s="105"/>
      <c r="N224" s="105"/>
      <c r="O224" s="105"/>
      <c r="P224" s="125"/>
      <c r="Q224" s="125"/>
      <c r="R224" s="125"/>
      <c r="S224" s="125"/>
      <c r="T224" s="125"/>
      <c r="U224" s="274"/>
      <c r="V224" s="290"/>
      <c r="W224" s="125"/>
      <c r="X224" s="125"/>
      <c r="Y224" s="125"/>
      <c r="Z224" s="125"/>
      <c r="AA224" s="125"/>
      <c r="AB224" s="125"/>
      <c r="AC224" s="125"/>
      <c r="AD224" s="125"/>
      <c r="AE224" s="677"/>
      <c r="AF224" s="141"/>
      <c r="AG224" s="125"/>
      <c r="AH224" s="150">
        <f>AVERAGE(AH222:AH223)</f>
        <v>0.72222222222222221</v>
      </c>
      <c r="AI224" s="598">
        <f t="shared" si="3"/>
        <v>0.72222222222222221</v>
      </c>
      <c r="AJ224" s="125"/>
      <c r="AK224" s="620"/>
      <c r="AL224" s="148"/>
      <c r="AM224" s="148"/>
      <c r="AN224" s="148"/>
      <c r="AO224" s="148"/>
      <c r="AP224" s="148"/>
      <c r="AQ224" s="148"/>
      <c r="AR224" s="148"/>
      <c r="AS224" s="148"/>
      <c r="AT224" s="620"/>
      <c r="AU224" s="618"/>
      <c r="AV224" s="144"/>
    </row>
    <row r="225" spans="1:48" ht="45" customHeight="1" x14ac:dyDescent="0.25">
      <c r="A225" s="632"/>
      <c r="B225" s="663"/>
      <c r="C225" s="634"/>
      <c r="D225" s="637"/>
      <c r="E225" s="622"/>
      <c r="F225" s="132"/>
      <c r="G225" s="132"/>
      <c r="H225" s="132"/>
      <c r="I225" s="132"/>
      <c r="J225" s="132"/>
      <c r="K225" s="125"/>
      <c r="L225" s="132"/>
      <c r="M225" s="105"/>
      <c r="N225" s="105"/>
      <c r="O225" s="105"/>
      <c r="P225" s="125"/>
      <c r="Q225" s="125"/>
      <c r="R225" s="125"/>
      <c r="S225" s="125"/>
      <c r="T225" s="125"/>
      <c r="U225" s="274"/>
      <c r="V225" s="290"/>
      <c r="W225" s="125"/>
      <c r="X225" s="125"/>
      <c r="Y225" s="125"/>
      <c r="Z225" s="125"/>
      <c r="AA225" s="125"/>
      <c r="AB225" s="125"/>
      <c r="AC225" s="125"/>
      <c r="AD225" s="125"/>
      <c r="AE225" s="290"/>
      <c r="AF225" s="141"/>
      <c r="AG225" s="125"/>
      <c r="AH225" s="171">
        <f>+(AH217+AH219+AH221+AH224)/4</f>
        <v>0.8880555555555556</v>
      </c>
      <c r="AI225" s="598">
        <f t="shared" si="3"/>
        <v>0.8880555555555556</v>
      </c>
      <c r="AJ225" s="125"/>
      <c r="AK225" s="143"/>
      <c r="AL225" s="143"/>
      <c r="AM225" s="143"/>
      <c r="AN225" s="143"/>
      <c r="AO225" s="143"/>
      <c r="AP225" s="143"/>
      <c r="AQ225" s="143"/>
      <c r="AR225" s="143"/>
      <c r="AS225" s="143"/>
      <c r="AT225" s="143"/>
      <c r="AU225" s="143"/>
      <c r="AV225" s="144"/>
    </row>
    <row r="226" spans="1:48" ht="60" customHeight="1" x14ac:dyDescent="0.25">
      <c r="A226" s="632"/>
      <c r="B226" s="663"/>
      <c r="C226" s="634"/>
      <c r="D226" s="637"/>
      <c r="E226" s="622" t="s">
        <v>536</v>
      </c>
      <c r="F226" s="132" t="s">
        <v>535</v>
      </c>
      <c r="G226" s="132" t="s">
        <v>534</v>
      </c>
      <c r="H226" s="132">
        <v>3</v>
      </c>
      <c r="I226" s="132">
        <v>1</v>
      </c>
      <c r="J226" s="622" t="s">
        <v>536</v>
      </c>
      <c r="K226" s="125" t="s">
        <v>537</v>
      </c>
      <c r="L226" s="125" t="s">
        <v>538</v>
      </c>
      <c r="M226" s="105">
        <v>3</v>
      </c>
      <c r="N226" s="132">
        <v>1</v>
      </c>
      <c r="O226" s="132"/>
      <c r="P226" s="125"/>
      <c r="Q226" s="132">
        <v>1</v>
      </c>
      <c r="R226" s="132">
        <v>1</v>
      </c>
      <c r="S226" s="125"/>
      <c r="T226" s="132">
        <v>0</v>
      </c>
      <c r="U226" s="274">
        <v>0</v>
      </c>
      <c r="V226" s="290">
        <v>2</v>
      </c>
      <c r="W226" s="125">
        <v>0</v>
      </c>
      <c r="X226" s="125">
        <v>0</v>
      </c>
      <c r="Y226" s="125">
        <v>3</v>
      </c>
      <c r="Z226" s="125">
        <v>0</v>
      </c>
      <c r="AA226" s="125">
        <v>1</v>
      </c>
      <c r="AB226" s="125">
        <v>2</v>
      </c>
      <c r="AC226" s="125"/>
      <c r="AD226" s="125"/>
      <c r="AE226" s="290"/>
      <c r="AF226" s="141">
        <f>+O226+P226+Q226+R226+S226+T226+U226+V226+W226+X226+Y226+Z226+AA226+AB226+AC226+AD226</f>
        <v>10</v>
      </c>
      <c r="AG226" s="125"/>
      <c r="AH226" s="314">
        <v>1</v>
      </c>
      <c r="AI226" s="598">
        <f t="shared" si="3"/>
        <v>1</v>
      </c>
      <c r="AJ226" s="125"/>
      <c r="AK226" s="619">
        <v>100000000</v>
      </c>
      <c r="AL226" s="148"/>
      <c r="AM226" s="148"/>
      <c r="AN226" s="148"/>
      <c r="AO226" s="148"/>
      <c r="AP226" s="148"/>
      <c r="AQ226" s="148"/>
      <c r="AR226" s="148"/>
      <c r="AS226" s="148"/>
      <c r="AT226" s="619">
        <v>100000000</v>
      </c>
      <c r="AU226" s="617">
        <f>+AT226/AK226</f>
        <v>1</v>
      </c>
      <c r="AV226" s="144"/>
    </row>
    <row r="227" spans="1:48" ht="60" customHeight="1" x14ac:dyDescent="0.25">
      <c r="A227" s="632"/>
      <c r="B227" s="663"/>
      <c r="C227" s="634"/>
      <c r="D227" s="637"/>
      <c r="E227" s="622"/>
      <c r="F227" s="132"/>
      <c r="G227" s="132"/>
      <c r="H227" s="132"/>
      <c r="I227" s="132"/>
      <c r="J227" s="622"/>
      <c r="K227" s="125"/>
      <c r="L227" s="125"/>
      <c r="M227" s="105"/>
      <c r="N227" s="132"/>
      <c r="O227" s="132"/>
      <c r="P227" s="125"/>
      <c r="Q227" s="125"/>
      <c r="R227" s="125"/>
      <c r="S227" s="125"/>
      <c r="T227" s="125"/>
      <c r="U227" s="274"/>
      <c r="V227" s="290"/>
      <c r="W227" s="125"/>
      <c r="X227" s="125"/>
      <c r="Y227" s="125"/>
      <c r="Z227" s="125"/>
      <c r="AA227" s="125"/>
      <c r="AB227" s="125"/>
      <c r="AC227" s="125"/>
      <c r="AD227" s="125"/>
      <c r="AE227" s="290"/>
      <c r="AF227" s="141"/>
      <c r="AG227" s="125"/>
      <c r="AH227" s="150">
        <f>+AH226</f>
        <v>1</v>
      </c>
      <c r="AI227" s="598">
        <f t="shared" si="3"/>
        <v>1</v>
      </c>
      <c r="AJ227" s="125"/>
      <c r="AK227" s="620"/>
      <c r="AL227" s="143"/>
      <c r="AM227" s="143"/>
      <c r="AN227" s="143"/>
      <c r="AO227" s="143"/>
      <c r="AP227" s="143"/>
      <c r="AQ227" s="143"/>
      <c r="AR227" s="143"/>
      <c r="AS227" s="143"/>
      <c r="AT227" s="620"/>
      <c r="AU227" s="618"/>
      <c r="AV227" s="144"/>
    </row>
    <row r="228" spans="1:48" ht="60" customHeight="1" x14ac:dyDescent="0.25">
      <c r="A228" s="632"/>
      <c r="B228" s="663"/>
      <c r="C228" s="634"/>
      <c r="D228" s="637"/>
      <c r="E228" s="622"/>
      <c r="F228" s="132"/>
      <c r="G228" s="132"/>
      <c r="H228" s="132"/>
      <c r="I228" s="132"/>
      <c r="J228" s="125"/>
      <c r="K228" s="125"/>
      <c r="L228" s="125"/>
      <c r="M228" s="105"/>
      <c r="N228" s="132"/>
      <c r="O228" s="132"/>
      <c r="P228" s="125"/>
      <c r="Q228" s="125"/>
      <c r="R228" s="125"/>
      <c r="S228" s="125"/>
      <c r="T228" s="125"/>
      <c r="U228" s="274"/>
      <c r="V228" s="290"/>
      <c r="W228" s="125"/>
      <c r="X228" s="125"/>
      <c r="Y228" s="125"/>
      <c r="Z228" s="125"/>
      <c r="AA228" s="125"/>
      <c r="AB228" s="125"/>
      <c r="AC228" s="125"/>
      <c r="AD228" s="125"/>
      <c r="AE228" s="290"/>
      <c r="AF228" s="141"/>
      <c r="AG228" s="125"/>
      <c r="AH228" s="160">
        <f>+AH227</f>
        <v>1</v>
      </c>
      <c r="AI228" s="598">
        <f t="shared" si="3"/>
        <v>1</v>
      </c>
      <c r="AJ228" s="125"/>
      <c r="AK228" s="143"/>
      <c r="AL228" s="143"/>
      <c r="AM228" s="143"/>
      <c r="AN228" s="143"/>
      <c r="AO228" s="143"/>
      <c r="AP228" s="143"/>
      <c r="AQ228" s="143"/>
      <c r="AR228" s="143"/>
      <c r="AS228" s="143"/>
      <c r="AT228" s="143"/>
      <c r="AU228" s="143"/>
      <c r="AV228" s="144"/>
    </row>
    <row r="229" spans="1:48" ht="74.25" customHeight="1" x14ac:dyDescent="0.25">
      <c r="A229" s="632"/>
      <c r="B229" s="663"/>
      <c r="C229" s="634"/>
      <c r="D229" s="637"/>
      <c r="E229" s="622" t="s">
        <v>539</v>
      </c>
      <c r="F229" s="622" t="s">
        <v>552</v>
      </c>
      <c r="G229" s="622" t="s">
        <v>553</v>
      </c>
      <c r="H229" s="622">
        <v>4</v>
      </c>
      <c r="I229" s="622">
        <v>2</v>
      </c>
      <c r="J229" s="622" t="s">
        <v>540</v>
      </c>
      <c r="K229" s="125" t="s">
        <v>544</v>
      </c>
      <c r="L229" s="125" t="s">
        <v>545</v>
      </c>
      <c r="M229" s="132">
        <v>2</v>
      </c>
      <c r="N229" s="132">
        <v>0</v>
      </c>
      <c r="O229" s="132"/>
      <c r="P229" s="125"/>
      <c r="Q229" s="132">
        <v>0</v>
      </c>
      <c r="R229" s="132"/>
      <c r="S229" s="125"/>
      <c r="T229" s="132">
        <v>0</v>
      </c>
      <c r="U229" s="274">
        <v>0</v>
      </c>
      <c r="V229" s="290">
        <v>2</v>
      </c>
      <c r="W229" s="308">
        <v>0</v>
      </c>
      <c r="X229" s="308">
        <v>1</v>
      </c>
      <c r="Y229" s="308">
        <v>0</v>
      </c>
      <c r="Z229" s="125">
        <v>0</v>
      </c>
      <c r="AA229" s="575">
        <v>1</v>
      </c>
      <c r="AB229" s="575">
        <v>0</v>
      </c>
      <c r="AC229" s="125"/>
      <c r="AD229" s="125"/>
      <c r="AE229" s="675"/>
      <c r="AF229" s="141">
        <f>+O229+P229+Q229+R229+S229+T229+U229+V229+W229+X229+Y229+Z229+AA229+AB229+AC229+AD229</f>
        <v>4</v>
      </c>
      <c r="AG229" s="125"/>
      <c r="AH229" s="314">
        <v>1</v>
      </c>
      <c r="AI229" s="598">
        <f t="shared" si="3"/>
        <v>1</v>
      </c>
      <c r="AJ229" s="125"/>
      <c r="AK229" s="619">
        <v>700000000</v>
      </c>
      <c r="AL229" s="148"/>
      <c r="AM229" s="148"/>
      <c r="AN229" s="148"/>
      <c r="AO229" s="148"/>
      <c r="AP229" s="148"/>
      <c r="AQ229" s="148"/>
      <c r="AR229" s="148"/>
      <c r="AS229" s="148"/>
      <c r="AT229" s="619">
        <v>100000000</v>
      </c>
      <c r="AU229" s="617">
        <f>+AT229/AK229</f>
        <v>0.14285714285714285</v>
      </c>
      <c r="AV229" s="144"/>
    </row>
    <row r="230" spans="1:48" ht="74.25" customHeight="1" x14ac:dyDescent="0.25">
      <c r="A230" s="632"/>
      <c r="B230" s="663"/>
      <c r="C230" s="634"/>
      <c r="D230" s="637"/>
      <c r="E230" s="622"/>
      <c r="F230" s="622"/>
      <c r="G230" s="622"/>
      <c r="H230" s="622"/>
      <c r="I230" s="622"/>
      <c r="J230" s="622"/>
      <c r="K230" s="125"/>
      <c r="L230" s="125"/>
      <c r="M230" s="132"/>
      <c r="N230" s="132"/>
      <c r="O230" s="132"/>
      <c r="P230" s="125"/>
      <c r="Q230" s="125"/>
      <c r="R230" s="125"/>
      <c r="S230" s="125"/>
      <c r="T230" s="125"/>
      <c r="U230" s="274"/>
      <c r="V230" s="290"/>
      <c r="W230" s="125"/>
      <c r="X230" s="125"/>
      <c r="Y230" s="125"/>
      <c r="Z230" s="125"/>
      <c r="AA230" s="125"/>
      <c r="AB230" s="125"/>
      <c r="AC230" s="125"/>
      <c r="AD230" s="125"/>
      <c r="AE230" s="676"/>
      <c r="AF230" s="141"/>
      <c r="AG230" s="125"/>
      <c r="AH230" s="7">
        <f>+AH229</f>
        <v>1</v>
      </c>
      <c r="AI230" s="598">
        <f t="shared" si="3"/>
        <v>1</v>
      </c>
      <c r="AJ230" s="125"/>
      <c r="AK230" s="671"/>
      <c r="AL230" s="148"/>
      <c r="AM230" s="148"/>
      <c r="AN230" s="148"/>
      <c r="AO230" s="148"/>
      <c r="AP230" s="148"/>
      <c r="AQ230" s="148"/>
      <c r="AR230" s="148"/>
      <c r="AS230" s="148"/>
      <c r="AT230" s="671"/>
      <c r="AU230" s="670"/>
      <c r="AV230" s="144"/>
    </row>
    <row r="231" spans="1:48" ht="45" customHeight="1" x14ac:dyDescent="0.25">
      <c r="A231" s="632"/>
      <c r="B231" s="663"/>
      <c r="C231" s="634"/>
      <c r="D231" s="637"/>
      <c r="E231" s="622"/>
      <c r="F231" s="622"/>
      <c r="G231" s="622"/>
      <c r="H231" s="622"/>
      <c r="I231" s="622"/>
      <c r="J231" s="622" t="s">
        <v>541</v>
      </c>
      <c r="K231" s="125" t="s">
        <v>546</v>
      </c>
      <c r="L231" s="125" t="s">
        <v>547</v>
      </c>
      <c r="M231" s="132">
        <v>6</v>
      </c>
      <c r="N231" s="132">
        <v>6</v>
      </c>
      <c r="O231" s="132"/>
      <c r="P231" s="125"/>
      <c r="Q231" s="132">
        <v>1</v>
      </c>
      <c r="R231" s="132">
        <v>1</v>
      </c>
      <c r="S231" s="145">
        <v>2</v>
      </c>
      <c r="T231" s="132">
        <v>2</v>
      </c>
      <c r="U231" s="274">
        <v>2</v>
      </c>
      <c r="V231" s="290">
        <v>1</v>
      </c>
      <c r="W231" s="308">
        <v>1</v>
      </c>
      <c r="X231" s="308">
        <v>3</v>
      </c>
      <c r="Y231" s="308">
        <v>3</v>
      </c>
      <c r="Z231" s="563">
        <v>1</v>
      </c>
      <c r="AA231" s="125">
        <v>0</v>
      </c>
      <c r="AB231" s="125">
        <v>1</v>
      </c>
      <c r="AC231" s="125"/>
      <c r="AD231" s="125"/>
      <c r="AE231" s="676"/>
      <c r="AF231" s="362">
        <f>+W231+X231+Y231</f>
        <v>7</v>
      </c>
      <c r="AG231" s="125"/>
      <c r="AH231" s="314">
        <v>1</v>
      </c>
      <c r="AI231" s="598">
        <f t="shared" si="3"/>
        <v>1</v>
      </c>
      <c r="AJ231" s="125"/>
      <c r="AK231" s="671"/>
      <c r="AL231" s="148"/>
      <c r="AM231" s="148"/>
      <c r="AN231" s="148"/>
      <c r="AO231" s="148"/>
      <c r="AP231" s="148"/>
      <c r="AQ231" s="148"/>
      <c r="AR231" s="148"/>
      <c r="AS231" s="148"/>
      <c r="AT231" s="671"/>
      <c r="AU231" s="670"/>
      <c r="AV231" s="144"/>
    </row>
    <row r="232" spans="1:48" ht="45" customHeight="1" x14ac:dyDescent="0.25">
      <c r="A232" s="632"/>
      <c r="B232" s="663"/>
      <c r="C232" s="634"/>
      <c r="D232" s="637"/>
      <c r="E232" s="622"/>
      <c r="F232" s="622"/>
      <c r="G232" s="622"/>
      <c r="H232" s="622"/>
      <c r="I232" s="622"/>
      <c r="J232" s="622"/>
      <c r="K232" s="125"/>
      <c r="L232" s="125"/>
      <c r="M232" s="132"/>
      <c r="N232" s="132"/>
      <c r="O232" s="132"/>
      <c r="P232" s="125"/>
      <c r="Q232" s="125"/>
      <c r="R232" s="125"/>
      <c r="S232" s="125"/>
      <c r="T232" s="125"/>
      <c r="U232" s="274"/>
      <c r="V232" s="290"/>
      <c r="W232" s="125"/>
      <c r="X232" s="125"/>
      <c r="Y232" s="125"/>
      <c r="Z232" s="563"/>
      <c r="AA232" s="125"/>
      <c r="AB232" s="125"/>
      <c r="AC232" s="125"/>
      <c r="AD232" s="125"/>
      <c r="AE232" s="676"/>
      <c r="AF232" s="141"/>
      <c r="AG232" s="125"/>
      <c r="AH232" s="7">
        <f>+AH231</f>
        <v>1</v>
      </c>
      <c r="AI232" s="598">
        <f t="shared" si="3"/>
        <v>1</v>
      </c>
      <c r="AJ232" s="125"/>
      <c r="AK232" s="671"/>
      <c r="AL232" s="148"/>
      <c r="AM232" s="148"/>
      <c r="AN232" s="148"/>
      <c r="AO232" s="148"/>
      <c r="AP232" s="148"/>
      <c r="AQ232" s="148"/>
      <c r="AR232" s="148"/>
      <c r="AS232" s="148"/>
      <c r="AT232" s="671"/>
      <c r="AU232" s="670"/>
      <c r="AV232" s="144"/>
    </row>
    <row r="233" spans="1:48" ht="45" customHeight="1" x14ac:dyDescent="0.25">
      <c r="A233" s="632"/>
      <c r="B233" s="663"/>
      <c r="C233" s="634"/>
      <c r="D233" s="637"/>
      <c r="E233" s="622"/>
      <c r="F233" s="622"/>
      <c r="G233" s="622"/>
      <c r="H233" s="622"/>
      <c r="I233" s="622"/>
      <c r="J233" s="622" t="s">
        <v>542</v>
      </c>
      <c r="K233" s="125" t="s">
        <v>548</v>
      </c>
      <c r="L233" s="125" t="s">
        <v>549</v>
      </c>
      <c r="M233" s="132">
        <v>3</v>
      </c>
      <c r="N233" s="132">
        <v>0</v>
      </c>
      <c r="O233" s="132"/>
      <c r="P233" s="125"/>
      <c r="Q233" s="132">
        <v>3</v>
      </c>
      <c r="R233" s="132">
        <v>1</v>
      </c>
      <c r="S233" s="125"/>
      <c r="T233" s="132">
        <v>2</v>
      </c>
      <c r="U233" s="274">
        <v>3</v>
      </c>
      <c r="V233" s="290">
        <v>0</v>
      </c>
      <c r="W233" s="125">
        <v>0</v>
      </c>
      <c r="X233" s="125">
        <v>0</v>
      </c>
      <c r="Y233" s="125">
        <v>1</v>
      </c>
      <c r="Z233" s="563">
        <v>2</v>
      </c>
      <c r="AA233" s="125">
        <v>1</v>
      </c>
      <c r="AB233" s="125"/>
      <c r="AC233" s="125"/>
      <c r="AD233" s="125"/>
      <c r="AE233" s="676"/>
      <c r="AF233" s="141">
        <f>+U233+AA233</f>
        <v>4</v>
      </c>
      <c r="AG233" s="125"/>
      <c r="AH233" s="314">
        <v>1</v>
      </c>
      <c r="AI233" s="598">
        <f t="shared" si="3"/>
        <v>1</v>
      </c>
      <c r="AJ233" s="125"/>
      <c r="AK233" s="671"/>
      <c r="AL233" s="148"/>
      <c r="AM233" s="148"/>
      <c r="AN233" s="148"/>
      <c r="AO233" s="148"/>
      <c r="AP233" s="148"/>
      <c r="AQ233" s="148"/>
      <c r="AR233" s="148"/>
      <c r="AS233" s="148"/>
      <c r="AT233" s="671"/>
      <c r="AU233" s="670"/>
      <c r="AV233" s="144"/>
    </row>
    <row r="234" spans="1:48" ht="45" customHeight="1" x14ac:dyDescent="0.25">
      <c r="A234" s="632"/>
      <c r="B234" s="663"/>
      <c r="C234" s="634"/>
      <c r="D234" s="637"/>
      <c r="E234" s="622"/>
      <c r="F234" s="622"/>
      <c r="G234" s="622"/>
      <c r="H234" s="622"/>
      <c r="I234" s="622"/>
      <c r="J234" s="622"/>
      <c r="K234" s="125"/>
      <c r="L234" s="125"/>
      <c r="M234" s="132"/>
      <c r="N234" s="132"/>
      <c r="O234" s="132"/>
      <c r="P234" s="125"/>
      <c r="Q234" s="125"/>
      <c r="R234" s="125"/>
      <c r="S234" s="125"/>
      <c r="T234" s="125"/>
      <c r="U234" s="274"/>
      <c r="V234" s="290"/>
      <c r="W234" s="125"/>
      <c r="X234" s="125"/>
      <c r="Y234" s="125"/>
      <c r="Z234" s="563"/>
      <c r="AA234" s="125"/>
      <c r="AB234" s="125"/>
      <c r="AC234" s="125"/>
      <c r="AD234" s="125"/>
      <c r="AE234" s="676"/>
      <c r="AF234" s="141"/>
      <c r="AG234" s="125"/>
      <c r="AH234" s="7">
        <f>+AH233</f>
        <v>1</v>
      </c>
      <c r="AI234" s="598">
        <f t="shared" si="3"/>
        <v>1</v>
      </c>
      <c r="AJ234" s="125"/>
      <c r="AK234" s="671"/>
      <c r="AL234" s="148"/>
      <c r="AM234" s="148"/>
      <c r="AN234" s="148"/>
      <c r="AO234" s="148"/>
      <c r="AP234" s="148"/>
      <c r="AQ234" s="148"/>
      <c r="AR234" s="148"/>
      <c r="AS234" s="148"/>
      <c r="AT234" s="671"/>
      <c r="AU234" s="670"/>
      <c r="AV234" s="144"/>
    </row>
    <row r="235" spans="1:48" ht="30" x14ac:dyDescent="0.25">
      <c r="A235" s="632"/>
      <c r="B235" s="663"/>
      <c r="C235" s="634"/>
      <c r="D235" s="637"/>
      <c r="E235" s="622"/>
      <c r="F235" s="622"/>
      <c r="G235" s="622"/>
      <c r="H235" s="622"/>
      <c r="I235" s="622"/>
      <c r="J235" s="622" t="s">
        <v>543</v>
      </c>
      <c r="K235" s="125" t="s">
        <v>550</v>
      </c>
      <c r="L235" s="125" t="s">
        <v>551</v>
      </c>
      <c r="M235" s="132">
        <v>1</v>
      </c>
      <c r="N235" s="132">
        <v>0</v>
      </c>
      <c r="O235" s="132"/>
      <c r="P235" s="125"/>
      <c r="Q235" s="132">
        <v>1</v>
      </c>
      <c r="R235" s="132">
        <v>1</v>
      </c>
      <c r="S235" s="145">
        <v>1</v>
      </c>
      <c r="T235" s="132">
        <v>1</v>
      </c>
      <c r="U235" s="274">
        <v>1</v>
      </c>
      <c r="V235" s="290">
        <v>1</v>
      </c>
      <c r="W235" s="125">
        <v>1</v>
      </c>
      <c r="X235" s="125">
        <v>0</v>
      </c>
      <c r="Y235" s="125">
        <v>0</v>
      </c>
      <c r="Z235" s="563">
        <v>1</v>
      </c>
      <c r="AA235" s="575">
        <v>0</v>
      </c>
      <c r="AB235" s="575">
        <v>1</v>
      </c>
      <c r="AC235" s="125"/>
      <c r="AD235" s="125"/>
      <c r="AE235" s="676"/>
      <c r="AF235" s="141">
        <f>+O235+P235+Q235+R235+S235+T235+U235+V235+W235+X235+Y235+Z235+AA235+AB235+AC235+AD235</f>
        <v>9</v>
      </c>
      <c r="AG235" s="125"/>
      <c r="AH235" s="102">
        <v>1</v>
      </c>
      <c r="AI235" s="598">
        <f t="shared" si="3"/>
        <v>1</v>
      </c>
      <c r="AJ235" s="125"/>
      <c r="AK235" s="671"/>
      <c r="AL235" s="148"/>
      <c r="AM235" s="148"/>
      <c r="AN235" s="148"/>
      <c r="AO235" s="148"/>
      <c r="AP235" s="148"/>
      <c r="AQ235" s="148"/>
      <c r="AR235" s="148"/>
      <c r="AS235" s="148"/>
      <c r="AT235" s="671"/>
      <c r="AU235" s="670"/>
      <c r="AV235" s="144"/>
    </row>
    <row r="236" spans="1:48" ht="52.5" customHeight="1" x14ac:dyDescent="0.25">
      <c r="A236" s="632"/>
      <c r="B236" s="663"/>
      <c r="C236" s="634"/>
      <c r="D236" s="637"/>
      <c r="E236" s="622"/>
      <c r="F236" s="622"/>
      <c r="G236" s="622"/>
      <c r="H236" s="622"/>
      <c r="I236" s="622"/>
      <c r="J236" s="622"/>
      <c r="K236" s="125"/>
      <c r="L236" s="125"/>
      <c r="M236" s="132"/>
      <c r="N236" s="132"/>
      <c r="O236" s="132"/>
      <c r="P236" s="125"/>
      <c r="Q236" s="125"/>
      <c r="R236" s="125"/>
      <c r="S236" s="125"/>
      <c r="T236" s="125"/>
      <c r="U236" s="274"/>
      <c r="V236" s="290"/>
      <c r="W236" s="125"/>
      <c r="X236" s="125"/>
      <c r="Y236" s="125"/>
      <c r="Z236" s="125"/>
      <c r="AA236" s="125"/>
      <c r="AB236" s="125"/>
      <c r="AC236" s="125"/>
      <c r="AD236" s="125"/>
      <c r="AE236" s="677"/>
      <c r="AF236" s="141"/>
      <c r="AG236" s="125"/>
      <c r="AH236" s="150">
        <f>+AH235</f>
        <v>1</v>
      </c>
      <c r="AI236" s="598">
        <f t="shared" si="3"/>
        <v>1</v>
      </c>
      <c r="AJ236" s="125"/>
      <c r="AK236" s="671"/>
      <c r="AL236" s="148"/>
      <c r="AM236" s="148"/>
      <c r="AN236" s="148"/>
      <c r="AO236" s="148"/>
      <c r="AP236" s="148"/>
      <c r="AQ236" s="148"/>
      <c r="AR236" s="148"/>
      <c r="AS236" s="148"/>
      <c r="AT236" s="671"/>
      <c r="AU236" s="670"/>
      <c r="AV236" s="144"/>
    </row>
    <row r="237" spans="1:48" ht="52.5" customHeight="1" x14ac:dyDescent="0.25">
      <c r="A237" s="632"/>
      <c r="B237" s="663"/>
      <c r="C237" s="634"/>
      <c r="D237" s="637"/>
      <c r="E237" s="622"/>
      <c r="F237" s="622"/>
      <c r="G237" s="622"/>
      <c r="H237" s="622"/>
      <c r="I237" s="622"/>
      <c r="J237" s="125"/>
      <c r="K237" s="125"/>
      <c r="L237" s="125"/>
      <c r="M237" s="132"/>
      <c r="N237" s="132"/>
      <c r="O237" s="132"/>
      <c r="P237" s="125"/>
      <c r="Q237" s="125"/>
      <c r="R237" s="125"/>
      <c r="S237" s="125"/>
      <c r="T237" s="125"/>
      <c r="U237" s="274"/>
      <c r="V237" s="290"/>
      <c r="W237" s="125"/>
      <c r="X237" s="125"/>
      <c r="Y237" s="125"/>
      <c r="Z237" s="125"/>
      <c r="AA237" s="125"/>
      <c r="AB237" s="125"/>
      <c r="AC237" s="125"/>
      <c r="AD237" s="125"/>
      <c r="AE237" s="290"/>
      <c r="AF237" s="141"/>
      <c r="AG237" s="125"/>
      <c r="AH237" s="209">
        <f>+(AH230+AH232+AH234+AH236)/4</f>
        <v>1</v>
      </c>
      <c r="AI237" s="598">
        <f t="shared" si="3"/>
        <v>1</v>
      </c>
      <c r="AJ237" s="125"/>
      <c r="AK237" s="620"/>
      <c r="AL237" s="148"/>
      <c r="AM237" s="148"/>
      <c r="AN237" s="148"/>
      <c r="AO237" s="148"/>
      <c r="AP237" s="148"/>
      <c r="AQ237" s="148"/>
      <c r="AR237" s="148"/>
      <c r="AS237" s="148"/>
      <c r="AT237" s="620"/>
      <c r="AU237" s="618"/>
      <c r="AV237" s="144"/>
    </row>
    <row r="238" spans="1:48" ht="51" customHeight="1" x14ac:dyDescent="0.25">
      <c r="A238" s="632"/>
      <c r="B238" s="663"/>
      <c r="C238" s="634"/>
      <c r="D238" s="637"/>
      <c r="E238" s="132"/>
      <c r="F238" s="132"/>
      <c r="G238" s="132"/>
      <c r="H238" s="132"/>
      <c r="I238" s="132"/>
      <c r="J238" s="125"/>
      <c r="K238" s="125"/>
      <c r="L238" s="125"/>
      <c r="M238" s="132"/>
      <c r="N238" s="132"/>
      <c r="O238" s="132"/>
      <c r="P238" s="125"/>
      <c r="Q238" s="125"/>
      <c r="R238" s="125"/>
      <c r="S238" s="125"/>
      <c r="T238" s="125"/>
      <c r="U238" s="274"/>
      <c r="V238" s="290"/>
      <c r="W238" s="125"/>
      <c r="X238" s="125"/>
      <c r="Y238" s="125"/>
      <c r="Z238" s="125"/>
      <c r="AA238" s="125"/>
      <c r="AB238" s="125"/>
      <c r="AC238" s="125"/>
      <c r="AD238" s="125"/>
      <c r="AE238" s="290"/>
      <c r="AF238" s="141"/>
      <c r="AG238" s="125"/>
      <c r="AH238" s="210">
        <f>+(AH215+AH225+AH228+AH237)/4</f>
        <v>0.96368055555555554</v>
      </c>
      <c r="AI238" s="598">
        <f t="shared" si="3"/>
        <v>0.96368055555555554</v>
      </c>
      <c r="AJ238" s="125"/>
      <c r="AK238" s="143"/>
      <c r="AL238" s="143"/>
      <c r="AM238" s="143"/>
      <c r="AN238" s="143"/>
      <c r="AO238" s="143"/>
      <c r="AP238" s="143"/>
      <c r="AQ238" s="143"/>
      <c r="AR238" s="143"/>
      <c r="AS238" s="143"/>
      <c r="AT238" s="143"/>
      <c r="AU238" s="143"/>
      <c r="AV238" s="144"/>
    </row>
    <row r="239" spans="1:48" ht="82.5" customHeight="1" x14ac:dyDescent="0.25">
      <c r="A239" s="632"/>
      <c r="B239" s="663"/>
      <c r="C239" s="634"/>
      <c r="D239" s="641" t="s">
        <v>554</v>
      </c>
      <c r="E239" s="622" t="s">
        <v>555</v>
      </c>
      <c r="F239" s="622" t="s">
        <v>557</v>
      </c>
      <c r="G239" s="622" t="s">
        <v>556</v>
      </c>
      <c r="H239" s="630">
        <v>0.5</v>
      </c>
      <c r="I239" s="630">
        <v>0.09</v>
      </c>
      <c r="J239" s="622" t="s">
        <v>560</v>
      </c>
      <c r="K239" s="125" t="s">
        <v>558</v>
      </c>
      <c r="L239" s="125" t="s">
        <v>559</v>
      </c>
      <c r="M239" s="132">
        <v>27714</v>
      </c>
      <c r="N239" s="132">
        <v>18476</v>
      </c>
      <c r="O239" s="132"/>
      <c r="P239" s="132"/>
      <c r="Q239" s="132">
        <v>4749</v>
      </c>
      <c r="R239" s="132">
        <v>4822</v>
      </c>
      <c r="S239" s="132">
        <v>5317</v>
      </c>
      <c r="T239" s="132">
        <v>5680</v>
      </c>
      <c r="U239" s="274">
        <v>5743</v>
      </c>
      <c r="V239" s="290">
        <v>6397</v>
      </c>
      <c r="W239" s="434">
        <v>0</v>
      </c>
      <c r="X239" s="300">
        <v>2310</v>
      </c>
      <c r="Y239" s="300">
        <v>29</v>
      </c>
      <c r="Z239" s="125">
        <v>0</v>
      </c>
      <c r="AA239" s="125">
        <v>2070</v>
      </c>
      <c r="AB239" s="125">
        <v>120</v>
      </c>
      <c r="AC239" s="125"/>
      <c r="AD239" s="125"/>
      <c r="AE239" s="290"/>
      <c r="AF239" s="147">
        <f>+R239+V239+X239+Y239+AA239+AB239</f>
        <v>15748</v>
      </c>
      <c r="AG239" s="125"/>
      <c r="AH239" s="314">
        <f>+AF239/M239</f>
        <v>0.56823266219239377</v>
      </c>
      <c r="AI239" s="598">
        <f t="shared" si="3"/>
        <v>0.56823266219239377</v>
      </c>
      <c r="AJ239" s="125"/>
      <c r="AK239" s="619">
        <v>2911694053</v>
      </c>
      <c r="AL239" s="148"/>
      <c r="AM239" s="148"/>
      <c r="AN239" s="148"/>
      <c r="AO239" s="148"/>
      <c r="AP239" s="148"/>
      <c r="AQ239" s="148"/>
      <c r="AR239" s="148"/>
      <c r="AS239" s="148"/>
      <c r="AT239" s="619">
        <v>2898159165</v>
      </c>
      <c r="AU239" s="617">
        <f>+AT239/AK239</f>
        <v>0.99535154183316255</v>
      </c>
      <c r="AV239" s="144"/>
    </row>
    <row r="240" spans="1:48" ht="78.75" customHeight="1" x14ac:dyDescent="0.25">
      <c r="A240" s="632"/>
      <c r="B240" s="663"/>
      <c r="C240" s="634"/>
      <c r="D240" s="641"/>
      <c r="E240" s="622"/>
      <c r="F240" s="622"/>
      <c r="G240" s="622"/>
      <c r="H240" s="630"/>
      <c r="I240" s="630"/>
      <c r="J240" s="622"/>
      <c r="K240" s="125"/>
      <c r="L240" s="125"/>
      <c r="M240" s="132"/>
      <c r="N240" s="132"/>
      <c r="O240" s="132"/>
      <c r="P240" s="125"/>
      <c r="Q240" s="125"/>
      <c r="R240" s="125"/>
      <c r="S240" s="125"/>
      <c r="T240" s="125"/>
      <c r="U240" s="274"/>
      <c r="V240" s="290"/>
      <c r="W240" s="125"/>
      <c r="X240" s="125"/>
      <c r="Y240" s="125"/>
      <c r="Z240" s="125"/>
      <c r="AA240" s="125"/>
      <c r="AB240" s="125"/>
      <c r="AC240" s="125"/>
      <c r="AD240" s="125"/>
      <c r="AE240" s="290"/>
      <c r="AF240" s="141"/>
      <c r="AG240" s="125"/>
      <c r="AH240" s="150">
        <f>+AH239</f>
        <v>0.56823266219239377</v>
      </c>
      <c r="AI240" s="598">
        <f t="shared" si="3"/>
        <v>0.56823266219239377</v>
      </c>
      <c r="AJ240" s="125"/>
      <c r="AK240" s="620"/>
      <c r="AL240" s="148"/>
      <c r="AM240" s="148"/>
      <c r="AN240" s="148"/>
      <c r="AO240" s="148"/>
      <c r="AP240" s="148"/>
      <c r="AQ240" s="148"/>
      <c r="AR240" s="148"/>
      <c r="AS240" s="148"/>
      <c r="AT240" s="620"/>
      <c r="AU240" s="618"/>
      <c r="AV240" s="144"/>
    </row>
    <row r="241" spans="1:48" ht="78.75" customHeight="1" x14ac:dyDescent="0.25">
      <c r="A241" s="632"/>
      <c r="B241" s="663"/>
      <c r="C241" s="634"/>
      <c r="D241" s="641"/>
      <c r="E241" s="622"/>
      <c r="F241" s="622"/>
      <c r="G241" s="622"/>
      <c r="H241" s="630"/>
      <c r="I241" s="630"/>
      <c r="J241" s="132"/>
      <c r="K241" s="125"/>
      <c r="L241" s="125"/>
      <c r="M241" s="132"/>
      <c r="N241" s="132"/>
      <c r="O241" s="132"/>
      <c r="P241" s="125"/>
      <c r="Q241" s="125"/>
      <c r="R241" s="125"/>
      <c r="S241" s="125"/>
      <c r="T241" s="125"/>
      <c r="U241" s="274"/>
      <c r="V241" s="290"/>
      <c r="W241" s="125"/>
      <c r="X241" s="125"/>
      <c r="Y241" s="125"/>
      <c r="Z241" s="125"/>
      <c r="AA241" s="125"/>
      <c r="AB241" s="125"/>
      <c r="AC241" s="125"/>
      <c r="AD241" s="125"/>
      <c r="AE241" s="290"/>
      <c r="AF241" s="141"/>
      <c r="AG241" s="125"/>
      <c r="AH241" s="160">
        <f>+AH240</f>
        <v>0.56823266219239377</v>
      </c>
      <c r="AI241" s="598">
        <f t="shared" si="3"/>
        <v>0.56823266219239377</v>
      </c>
      <c r="AJ241" s="125"/>
      <c r="AK241" s="143"/>
      <c r="AL241" s="143"/>
      <c r="AM241" s="143"/>
      <c r="AN241" s="143"/>
      <c r="AO241" s="143"/>
      <c r="AP241" s="143"/>
      <c r="AQ241" s="143"/>
      <c r="AR241" s="143"/>
      <c r="AS241" s="143"/>
      <c r="AT241" s="143"/>
      <c r="AU241" s="143"/>
      <c r="AV241" s="144"/>
    </row>
    <row r="242" spans="1:48" ht="105" customHeight="1" x14ac:dyDescent="0.25">
      <c r="A242" s="632"/>
      <c r="B242" s="663"/>
      <c r="C242" s="634"/>
      <c r="D242" s="641"/>
      <c r="E242" s="622" t="s">
        <v>2205</v>
      </c>
      <c r="F242" s="125" t="s">
        <v>563</v>
      </c>
      <c r="G242" s="125" t="s">
        <v>561</v>
      </c>
      <c r="H242" s="159">
        <v>0.28799999999999998</v>
      </c>
      <c r="I242" s="159">
        <v>9.7000000000000003E-2</v>
      </c>
      <c r="J242" s="622" t="s">
        <v>2205</v>
      </c>
      <c r="K242" s="125" t="s">
        <v>565</v>
      </c>
      <c r="L242" s="125" t="s">
        <v>561</v>
      </c>
      <c r="M242" s="105">
        <v>30932</v>
      </c>
      <c r="N242" s="105">
        <v>20757</v>
      </c>
      <c r="O242" s="105"/>
      <c r="P242" s="125"/>
      <c r="Q242" s="604">
        <v>7637</v>
      </c>
      <c r="R242" s="604">
        <v>7637</v>
      </c>
      <c r="S242" s="604">
        <v>7553</v>
      </c>
      <c r="T242" s="604">
        <v>0</v>
      </c>
      <c r="U242" s="604">
        <v>0</v>
      </c>
      <c r="V242" s="604">
        <v>7533</v>
      </c>
      <c r="W242" s="604">
        <v>2000</v>
      </c>
      <c r="X242" s="604">
        <v>544</v>
      </c>
      <c r="Y242" s="300">
        <v>0</v>
      </c>
      <c r="Z242" s="125">
        <v>0</v>
      </c>
      <c r="AA242" s="125">
        <v>600</v>
      </c>
      <c r="AB242" s="125">
        <v>1945</v>
      </c>
      <c r="AC242" s="125"/>
      <c r="AD242" s="125"/>
      <c r="AE242" s="290"/>
      <c r="AF242" s="141">
        <f>+R242+V242+W242+X242+AA242+AB242+S242+Q242</f>
        <v>35449</v>
      </c>
      <c r="AG242" s="125"/>
      <c r="AH242" s="280">
        <f>+AF242/M242</f>
        <v>1.1460300012931592</v>
      </c>
      <c r="AI242" s="598">
        <f t="shared" si="3"/>
        <v>1.1460300012931592</v>
      </c>
      <c r="AJ242" s="125"/>
      <c r="AK242" s="619">
        <v>286848400</v>
      </c>
      <c r="AL242" s="148"/>
      <c r="AM242" s="148"/>
      <c r="AN242" s="148"/>
      <c r="AO242" s="148"/>
      <c r="AP242" s="148"/>
      <c r="AQ242" s="148"/>
      <c r="AR242" s="148"/>
      <c r="AS242" s="148"/>
      <c r="AT242" s="619">
        <v>286848400</v>
      </c>
      <c r="AU242" s="617">
        <f>+AT242/AK242</f>
        <v>1</v>
      </c>
      <c r="AV242" s="144"/>
    </row>
    <row r="243" spans="1:48" ht="90" customHeight="1" x14ac:dyDescent="0.25">
      <c r="A243" s="632"/>
      <c r="B243" s="663"/>
      <c r="C243" s="634"/>
      <c r="D243" s="641"/>
      <c r="E243" s="622"/>
      <c r="F243" s="622" t="s">
        <v>564</v>
      </c>
      <c r="G243" s="622" t="s">
        <v>562</v>
      </c>
      <c r="H243" s="636">
        <v>0.54</v>
      </c>
      <c r="I243" s="636">
        <v>0.38800000000000001</v>
      </c>
      <c r="J243" s="622"/>
      <c r="K243" s="125" t="s">
        <v>566</v>
      </c>
      <c r="L243" s="125" t="s">
        <v>567</v>
      </c>
      <c r="M243" s="105">
        <v>200</v>
      </c>
      <c r="N243" s="105">
        <v>56</v>
      </c>
      <c r="O243" s="105"/>
      <c r="P243" s="125"/>
      <c r="Q243" s="132">
        <v>0</v>
      </c>
      <c r="R243" s="132">
        <v>28</v>
      </c>
      <c r="S243" s="132">
        <v>0</v>
      </c>
      <c r="T243" s="132">
        <v>0</v>
      </c>
      <c r="U243" s="274">
        <v>0</v>
      </c>
      <c r="V243" s="290">
        <v>28</v>
      </c>
      <c r="W243" s="125">
        <v>7</v>
      </c>
      <c r="X243" s="125">
        <v>7</v>
      </c>
      <c r="Y243" s="125">
        <v>0</v>
      </c>
      <c r="Z243" s="125">
        <v>0</v>
      </c>
      <c r="AA243" s="125">
        <v>6</v>
      </c>
      <c r="AB243" s="125">
        <v>4</v>
      </c>
      <c r="AC243" s="125"/>
      <c r="AD243" s="125"/>
      <c r="AE243" s="290"/>
      <c r="AF243" s="141">
        <f>+R243+W243+X243+AA243+AB243+V243</f>
        <v>80</v>
      </c>
      <c r="AG243" s="125"/>
      <c r="AH243" s="314">
        <f>+AF243/M243</f>
        <v>0.4</v>
      </c>
      <c r="AI243" s="598">
        <f t="shared" si="3"/>
        <v>0.4</v>
      </c>
      <c r="AJ243" s="125"/>
      <c r="AK243" s="620"/>
      <c r="AL243" s="143"/>
      <c r="AM243" s="143"/>
      <c r="AN243" s="143"/>
      <c r="AO243" s="143"/>
      <c r="AP243" s="143"/>
      <c r="AQ243" s="143"/>
      <c r="AR243" s="143"/>
      <c r="AS243" s="143"/>
      <c r="AT243" s="620"/>
      <c r="AU243" s="618"/>
      <c r="AV243" s="144"/>
    </row>
    <row r="244" spans="1:48" ht="90" customHeight="1" x14ac:dyDescent="0.25">
      <c r="A244" s="632"/>
      <c r="B244" s="663"/>
      <c r="C244" s="634"/>
      <c r="D244" s="641"/>
      <c r="E244" s="622"/>
      <c r="F244" s="622"/>
      <c r="G244" s="622"/>
      <c r="H244" s="636"/>
      <c r="I244" s="636"/>
      <c r="J244" s="622"/>
      <c r="K244" s="125"/>
      <c r="L244" s="125"/>
      <c r="M244" s="105"/>
      <c r="N244" s="105"/>
      <c r="O244" s="105"/>
      <c r="P244" s="125"/>
      <c r="Q244" s="125"/>
      <c r="R244" s="125"/>
      <c r="S244" s="125"/>
      <c r="T244" s="125"/>
      <c r="U244" s="274"/>
      <c r="V244" s="290"/>
      <c r="W244" s="125"/>
      <c r="X244" s="125"/>
      <c r="Y244" s="125"/>
      <c r="Z244" s="125"/>
      <c r="AA244" s="125"/>
      <c r="AB244" s="125"/>
      <c r="AC244" s="125"/>
      <c r="AD244" s="125"/>
      <c r="AE244" s="290"/>
      <c r="AF244" s="141"/>
      <c r="AG244" s="125"/>
      <c r="AH244" s="150">
        <f>AVERAGE(AH242:AH243)</f>
        <v>0.77301500064657969</v>
      </c>
      <c r="AI244" s="598">
        <f t="shared" si="3"/>
        <v>0.77301500064657969</v>
      </c>
      <c r="AJ244" s="125"/>
      <c r="AK244" s="143"/>
      <c r="AL244" s="143"/>
      <c r="AM244" s="143"/>
      <c r="AN244" s="143"/>
      <c r="AO244" s="143"/>
      <c r="AP244" s="143"/>
      <c r="AQ244" s="143"/>
      <c r="AR244" s="143"/>
      <c r="AS244" s="143"/>
      <c r="AT244" s="143"/>
      <c r="AU244" s="143"/>
      <c r="AV244" s="144"/>
    </row>
    <row r="245" spans="1:48" ht="90" customHeight="1" x14ac:dyDescent="0.25">
      <c r="A245" s="632"/>
      <c r="B245" s="663"/>
      <c r="C245" s="634"/>
      <c r="D245" s="641"/>
      <c r="E245" s="622"/>
      <c r="F245" s="125"/>
      <c r="G245" s="125"/>
      <c r="H245" s="159"/>
      <c r="I245" s="159"/>
      <c r="J245" s="132"/>
      <c r="K245" s="125"/>
      <c r="L245" s="125"/>
      <c r="M245" s="105"/>
      <c r="N245" s="105"/>
      <c r="O245" s="105"/>
      <c r="P245" s="125"/>
      <c r="Q245" s="125"/>
      <c r="R245" s="125"/>
      <c r="S245" s="125"/>
      <c r="T245" s="125"/>
      <c r="U245" s="274"/>
      <c r="V245" s="290"/>
      <c r="W245" s="125"/>
      <c r="X245" s="125"/>
      <c r="Y245" s="125"/>
      <c r="Z245" s="125"/>
      <c r="AA245" s="125"/>
      <c r="AB245" s="125"/>
      <c r="AC245" s="125"/>
      <c r="AD245" s="125"/>
      <c r="AE245" s="290"/>
      <c r="AF245" s="141"/>
      <c r="AG245" s="125"/>
      <c r="AH245" s="160">
        <f>+AH244</f>
        <v>0.77301500064657969</v>
      </c>
      <c r="AI245" s="598">
        <f t="shared" si="3"/>
        <v>0.77301500064657969</v>
      </c>
      <c r="AJ245" s="125"/>
      <c r="AK245" s="143"/>
      <c r="AL245" s="143"/>
      <c r="AM245" s="143"/>
      <c r="AN245" s="143"/>
      <c r="AO245" s="143"/>
      <c r="AP245" s="143"/>
      <c r="AQ245" s="143"/>
      <c r="AR245" s="143"/>
      <c r="AS245" s="143"/>
      <c r="AT245" s="143"/>
      <c r="AU245" s="143"/>
      <c r="AV245" s="144"/>
    </row>
    <row r="246" spans="1:48" ht="45" x14ac:dyDescent="0.25">
      <c r="A246" s="632"/>
      <c r="B246" s="663"/>
      <c r="C246" s="634"/>
      <c r="D246" s="641"/>
      <c r="E246" s="622" t="s">
        <v>568</v>
      </c>
      <c r="F246" s="622" t="s">
        <v>571</v>
      </c>
      <c r="G246" s="622" t="s">
        <v>569</v>
      </c>
      <c r="H246" s="211">
        <v>0.33</v>
      </c>
      <c r="I246" s="211">
        <v>0.18</v>
      </c>
      <c r="J246" s="622" t="s">
        <v>573</v>
      </c>
      <c r="K246" s="125" t="s">
        <v>575</v>
      </c>
      <c r="L246" s="125" t="s">
        <v>576</v>
      </c>
      <c r="M246" s="105">
        <v>300000</v>
      </c>
      <c r="N246" s="105">
        <v>160058</v>
      </c>
      <c r="O246" s="105"/>
      <c r="P246" s="125"/>
      <c r="Q246" s="132"/>
      <c r="R246" s="604">
        <v>79000</v>
      </c>
      <c r="S246" s="328">
        <v>13077</v>
      </c>
      <c r="T246" s="328">
        <v>24000</v>
      </c>
      <c r="U246" s="328">
        <v>41006</v>
      </c>
      <c r="V246" s="328">
        <v>60133</v>
      </c>
      <c r="W246" s="328">
        <v>8995</v>
      </c>
      <c r="X246" s="328">
        <v>20378</v>
      </c>
      <c r="Y246" s="328">
        <v>7513</v>
      </c>
      <c r="Z246" s="328">
        <v>23671</v>
      </c>
      <c r="AA246" s="329">
        <v>2386</v>
      </c>
      <c r="AB246" s="329">
        <v>11710</v>
      </c>
      <c r="AC246" s="329"/>
      <c r="AD246" s="329"/>
      <c r="AE246" s="328"/>
      <c r="AF246" s="313">
        <f>+R246+V246+Z246+Y246+X246+W246+T246+AA246+AB246+S246+U246</f>
        <v>291869</v>
      </c>
      <c r="AG246" s="125"/>
      <c r="AH246" s="314">
        <f>+(AF246/M246)</f>
        <v>0.97289666666666663</v>
      </c>
      <c r="AI246" s="605">
        <f t="shared" si="3"/>
        <v>0.97289666666666663</v>
      </c>
      <c r="AJ246" s="125"/>
      <c r="AK246" s="148">
        <v>1232559000</v>
      </c>
      <c r="AL246" s="148"/>
      <c r="AM246" s="148"/>
      <c r="AN246" s="148"/>
      <c r="AO246" s="148"/>
      <c r="AP246" s="148"/>
      <c r="AQ246" s="148"/>
      <c r="AR246" s="148"/>
      <c r="AS246" s="148"/>
      <c r="AT246" s="148">
        <v>1189406001</v>
      </c>
      <c r="AU246" s="212">
        <f>+AT246/AK246</f>
        <v>0.9649891007245901</v>
      </c>
      <c r="AV246" s="144"/>
    </row>
    <row r="247" spans="1:48" ht="39.75" customHeight="1" x14ac:dyDescent="0.25">
      <c r="A247" s="632"/>
      <c r="B247" s="663"/>
      <c r="C247" s="634"/>
      <c r="D247" s="641"/>
      <c r="E247" s="622"/>
      <c r="F247" s="622"/>
      <c r="G247" s="622"/>
      <c r="H247" s="211"/>
      <c r="I247" s="211"/>
      <c r="J247" s="622"/>
      <c r="K247" s="125"/>
      <c r="L247" s="125"/>
      <c r="M247" s="105"/>
      <c r="N247" s="105"/>
      <c r="O247" s="105"/>
      <c r="P247" s="125"/>
      <c r="Q247" s="125"/>
      <c r="R247" s="125"/>
      <c r="S247" s="329"/>
      <c r="T247" s="329"/>
      <c r="U247" s="328"/>
      <c r="V247" s="328"/>
      <c r="W247" s="329"/>
      <c r="X247" s="329"/>
      <c r="Y247" s="329"/>
      <c r="Z247" s="328"/>
      <c r="AA247" s="329"/>
      <c r="AB247" s="329"/>
      <c r="AC247" s="329"/>
      <c r="AD247" s="329"/>
      <c r="AE247" s="328"/>
      <c r="AF247" s="313"/>
      <c r="AG247" s="125"/>
      <c r="AH247" s="150">
        <f>+AH246</f>
        <v>0.97289666666666663</v>
      </c>
      <c r="AI247" s="605">
        <f t="shared" si="3"/>
        <v>0.97289666666666663</v>
      </c>
      <c r="AJ247" s="125"/>
      <c r="AK247" s="143"/>
      <c r="AL247" s="143"/>
      <c r="AM247" s="143"/>
      <c r="AN247" s="143"/>
      <c r="AO247" s="143"/>
      <c r="AP247" s="143"/>
      <c r="AQ247" s="143"/>
      <c r="AR247" s="143"/>
      <c r="AS247" s="143"/>
      <c r="AT247" s="143"/>
      <c r="AU247" s="143"/>
      <c r="AV247" s="144"/>
    </row>
    <row r="248" spans="1:48" ht="75" customHeight="1" x14ac:dyDescent="0.25">
      <c r="A248" s="632"/>
      <c r="B248" s="663"/>
      <c r="C248" s="634"/>
      <c r="D248" s="641"/>
      <c r="E248" s="622"/>
      <c r="F248" s="622" t="s">
        <v>572</v>
      </c>
      <c r="G248" s="622" t="s">
        <v>570</v>
      </c>
      <c r="H248" s="631">
        <v>0.65</v>
      </c>
      <c r="I248" s="631">
        <v>0.42</v>
      </c>
      <c r="J248" s="622" t="s">
        <v>574</v>
      </c>
      <c r="K248" s="125" t="s">
        <v>577</v>
      </c>
      <c r="L248" s="125" t="s">
        <v>578</v>
      </c>
      <c r="M248" s="105">
        <v>646969</v>
      </c>
      <c r="N248" s="105">
        <v>404356</v>
      </c>
      <c r="O248" s="105"/>
      <c r="P248" s="125"/>
      <c r="Q248" s="604">
        <v>95479</v>
      </c>
      <c r="R248" s="604">
        <v>32347</v>
      </c>
      <c r="S248" s="328">
        <v>29013</v>
      </c>
      <c r="T248" s="328">
        <v>51517</v>
      </c>
      <c r="U248" s="328">
        <v>71485</v>
      </c>
      <c r="V248" s="328">
        <v>89374</v>
      </c>
      <c r="W248" s="329">
        <v>5621</v>
      </c>
      <c r="X248" s="329">
        <v>13944</v>
      </c>
      <c r="Y248" s="329">
        <v>23401</v>
      </c>
      <c r="Z248" s="328">
        <v>19953</v>
      </c>
      <c r="AA248" s="329">
        <v>3271</v>
      </c>
      <c r="AB248" s="329">
        <v>14292</v>
      </c>
      <c r="AC248" s="329"/>
      <c r="AD248" s="329"/>
      <c r="AE248" s="328"/>
      <c r="AF248" s="313">
        <f>+R248+V248+Z248+Y248+X248+W248+U248+AA248+AB248+T248+S248+Q248</f>
        <v>449697</v>
      </c>
      <c r="AG248" s="125"/>
      <c r="AH248" s="314">
        <f>+(AF248/M248)</f>
        <v>0.69508276285262505</v>
      </c>
      <c r="AI248" s="605">
        <f t="shared" si="3"/>
        <v>0.69508276285262505</v>
      </c>
      <c r="AJ248" s="125"/>
      <c r="AK248" s="619">
        <v>804478889</v>
      </c>
      <c r="AL248" s="148"/>
      <c r="AM248" s="148"/>
      <c r="AN248" s="148"/>
      <c r="AO248" s="148"/>
      <c r="AP248" s="148"/>
      <c r="AQ248" s="148"/>
      <c r="AR248" s="148"/>
      <c r="AS248" s="148"/>
      <c r="AT248" s="619">
        <v>762738889</v>
      </c>
      <c r="AU248" s="617">
        <f>+AT248/AK248</f>
        <v>0.94811548125037248</v>
      </c>
      <c r="AV248" s="144"/>
    </row>
    <row r="249" spans="1:48" ht="75" customHeight="1" x14ac:dyDescent="0.25">
      <c r="A249" s="632"/>
      <c r="B249" s="663"/>
      <c r="C249" s="634"/>
      <c r="D249" s="641"/>
      <c r="E249" s="622"/>
      <c r="F249" s="622"/>
      <c r="G249" s="622"/>
      <c r="H249" s="631"/>
      <c r="I249" s="631"/>
      <c r="J249" s="622"/>
      <c r="K249" s="125"/>
      <c r="L249" s="125"/>
      <c r="M249" s="105"/>
      <c r="N249" s="105"/>
      <c r="O249" s="105"/>
      <c r="P249" s="125"/>
      <c r="Q249" s="125"/>
      <c r="R249" s="125"/>
      <c r="S249" s="125"/>
      <c r="T249" s="125"/>
      <c r="U249" s="274"/>
      <c r="V249" s="290"/>
      <c r="W249" s="125"/>
      <c r="X249" s="125"/>
      <c r="Y249" s="125"/>
      <c r="Z249" s="125"/>
      <c r="AA249" s="125"/>
      <c r="AB249" s="125"/>
      <c r="AC249" s="125"/>
      <c r="AD249" s="125"/>
      <c r="AE249" s="290"/>
      <c r="AF249" s="141"/>
      <c r="AG249" s="125"/>
      <c r="AH249" s="150">
        <f>+AH248</f>
        <v>0.69508276285262505</v>
      </c>
      <c r="AI249" s="598">
        <f t="shared" si="3"/>
        <v>0.69508276285262505</v>
      </c>
      <c r="AJ249" s="125"/>
      <c r="AK249" s="620"/>
      <c r="AL249" s="148"/>
      <c r="AM249" s="148"/>
      <c r="AN249" s="148"/>
      <c r="AO249" s="148"/>
      <c r="AP249" s="148"/>
      <c r="AQ249" s="148"/>
      <c r="AR249" s="148"/>
      <c r="AS249" s="148"/>
      <c r="AT249" s="620"/>
      <c r="AU249" s="618"/>
      <c r="AV249" s="144"/>
    </row>
    <row r="250" spans="1:48" ht="75" customHeight="1" x14ac:dyDescent="0.25">
      <c r="A250" s="632"/>
      <c r="B250" s="663"/>
      <c r="C250" s="634"/>
      <c r="D250" s="641"/>
      <c r="E250" s="622"/>
      <c r="F250" s="125"/>
      <c r="G250" s="125"/>
      <c r="H250" s="211"/>
      <c r="I250" s="211"/>
      <c r="J250" s="125"/>
      <c r="K250" s="125"/>
      <c r="L250" s="125"/>
      <c r="M250" s="105"/>
      <c r="N250" s="105"/>
      <c r="O250" s="105"/>
      <c r="P250" s="125"/>
      <c r="Q250" s="125"/>
      <c r="R250" s="125"/>
      <c r="S250" s="125"/>
      <c r="T250" s="125"/>
      <c r="U250" s="274"/>
      <c r="V250" s="290"/>
      <c r="W250" s="125"/>
      <c r="X250" s="125"/>
      <c r="Y250" s="125"/>
      <c r="Z250" s="125"/>
      <c r="AA250" s="125"/>
      <c r="AB250" s="125"/>
      <c r="AC250" s="125"/>
      <c r="AD250" s="125"/>
      <c r="AE250" s="290"/>
      <c r="AF250" s="141"/>
      <c r="AG250" s="125"/>
      <c r="AH250" s="171">
        <f>+(AH247+AH249)/2</f>
        <v>0.83398971475964578</v>
      </c>
      <c r="AI250" s="598">
        <f t="shared" si="3"/>
        <v>0.83398971475964578</v>
      </c>
      <c r="AJ250" s="125"/>
      <c r="AK250" s="143"/>
      <c r="AL250" s="143"/>
      <c r="AM250" s="143"/>
      <c r="AN250" s="143"/>
      <c r="AO250" s="143"/>
      <c r="AP250" s="143"/>
      <c r="AQ250" s="143"/>
      <c r="AR250" s="143"/>
      <c r="AS250" s="143"/>
      <c r="AT250" s="143"/>
      <c r="AU250" s="143"/>
      <c r="AV250" s="144"/>
    </row>
    <row r="251" spans="1:48" ht="45" x14ac:dyDescent="0.25">
      <c r="A251" s="632"/>
      <c r="B251" s="663"/>
      <c r="C251" s="634"/>
      <c r="D251" s="641"/>
      <c r="E251" s="622" t="s">
        <v>579</v>
      </c>
      <c r="F251" s="125" t="s">
        <v>582</v>
      </c>
      <c r="G251" s="125" t="s">
        <v>580</v>
      </c>
      <c r="H251" s="213">
        <v>0.31</v>
      </c>
      <c r="I251" s="213">
        <v>0.14000000000000001</v>
      </c>
      <c r="J251" s="622" t="s">
        <v>584</v>
      </c>
      <c r="K251" s="125" t="s">
        <v>585</v>
      </c>
      <c r="L251" s="125" t="s">
        <v>586</v>
      </c>
      <c r="M251" s="105">
        <v>72</v>
      </c>
      <c r="N251" s="105">
        <v>32</v>
      </c>
      <c r="O251" s="105"/>
      <c r="P251" s="125"/>
      <c r="Q251" s="132">
        <v>0</v>
      </c>
      <c r="R251" s="132">
        <v>0</v>
      </c>
      <c r="S251" s="132">
        <v>0</v>
      </c>
      <c r="T251" s="132">
        <v>0</v>
      </c>
      <c r="U251" s="274">
        <v>9</v>
      </c>
      <c r="V251" s="290">
        <v>0</v>
      </c>
      <c r="W251" s="300">
        <v>20</v>
      </c>
      <c r="X251" s="300">
        <v>0</v>
      </c>
      <c r="Y251" s="300">
        <v>0</v>
      </c>
      <c r="Z251" s="563">
        <v>0</v>
      </c>
      <c r="AA251" s="604">
        <v>0</v>
      </c>
      <c r="AB251" s="604">
        <v>0</v>
      </c>
      <c r="AC251" s="125"/>
      <c r="AD251" s="125"/>
      <c r="AE251" s="290"/>
      <c r="AF251" s="141">
        <f>+O251+P251+Q251+R251+S251+T251+U251+V251+W251+X251+Y251+Z251+AA251+AB251+AC251+AD251</f>
        <v>29</v>
      </c>
      <c r="AG251" s="125"/>
      <c r="AH251" s="102">
        <f>+AF251/(M251-N251)</f>
        <v>0.72499999999999998</v>
      </c>
      <c r="AI251" s="598">
        <f t="shared" si="3"/>
        <v>0.72499999999999998</v>
      </c>
      <c r="AJ251" s="125"/>
      <c r="AK251" s="619">
        <v>14400626643</v>
      </c>
      <c r="AL251" s="148"/>
      <c r="AM251" s="148"/>
      <c r="AN251" s="148"/>
      <c r="AO251" s="148"/>
      <c r="AP251" s="148"/>
      <c r="AQ251" s="148"/>
      <c r="AR251" s="148"/>
      <c r="AS251" s="148"/>
      <c r="AT251" s="619">
        <v>14349371466</v>
      </c>
      <c r="AU251" s="617">
        <f>+AT251/AK251</f>
        <v>0.99644076759500499</v>
      </c>
      <c r="AV251" s="144"/>
    </row>
    <row r="252" spans="1:48" ht="120" customHeight="1" x14ac:dyDescent="0.25">
      <c r="A252" s="632"/>
      <c r="B252" s="663"/>
      <c r="C252" s="634"/>
      <c r="D252" s="641"/>
      <c r="E252" s="622"/>
      <c r="F252" s="622" t="s">
        <v>583</v>
      </c>
      <c r="G252" s="622" t="s">
        <v>581</v>
      </c>
      <c r="H252" s="643">
        <v>0.43</v>
      </c>
      <c r="I252" s="643">
        <v>0.31</v>
      </c>
      <c r="J252" s="622"/>
      <c r="K252" s="329" t="s">
        <v>587</v>
      </c>
      <c r="L252" s="329" t="s">
        <v>588</v>
      </c>
      <c r="M252" s="449">
        <v>100</v>
      </c>
      <c r="N252" s="449">
        <v>73</v>
      </c>
      <c r="O252" s="449"/>
      <c r="P252" s="329"/>
      <c r="Q252" s="328">
        <v>0</v>
      </c>
      <c r="R252" s="328">
        <v>27</v>
      </c>
      <c r="S252" s="328">
        <v>0</v>
      </c>
      <c r="T252" s="328">
        <v>0</v>
      </c>
      <c r="U252" s="328">
        <v>3</v>
      </c>
      <c r="V252" s="328">
        <v>3</v>
      </c>
      <c r="W252" s="328">
        <v>0</v>
      </c>
      <c r="X252" s="328">
        <v>0</v>
      </c>
      <c r="Y252" s="328">
        <v>1</v>
      </c>
      <c r="Z252" s="328">
        <v>0</v>
      </c>
      <c r="AA252" s="329">
        <v>23</v>
      </c>
      <c r="AB252" s="329">
        <v>3</v>
      </c>
      <c r="AC252" s="329"/>
      <c r="AD252" s="329"/>
      <c r="AE252" s="328"/>
      <c r="AF252" s="313">
        <f>+O252+P252+Q252+R252+S252+T252+U252+V252+W252+X252+Y252+Z252+AA252+AB252+AC252+AD252</f>
        <v>60</v>
      </c>
      <c r="AG252" s="125"/>
      <c r="AH252" s="102">
        <f>+(AF252/M252)</f>
        <v>0.6</v>
      </c>
      <c r="AI252" s="598">
        <f t="shared" si="3"/>
        <v>0.6</v>
      </c>
      <c r="AJ252" s="125"/>
      <c r="AK252" s="620"/>
      <c r="AL252" s="143"/>
      <c r="AM252" s="143"/>
      <c r="AN252" s="143"/>
      <c r="AO252" s="143"/>
      <c r="AP252" s="143"/>
      <c r="AQ252" s="143"/>
      <c r="AR252" s="143"/>
      <c r="AS252" s="143"/>
      <c r="AT252" s="620"/>
      <c r="AU252" s="618"/>
      <c r="AV252" s="144"/>
    </row>
    <row r="253" spans="1:48" ht="58.5" customHeight="1" x14ac:dyDescent="0.25">
      <c r="A253" s="632"/>
      <c r="B253" s="663"/>
      <c r="C253" s="634"/>
      <c r="D253" s="641"/>
      <c r="E253" s="622"/>
      <c r="F253" s="622"/>
      <c r="G253" s="622"/>
      <c r="H253" s="643"/>
      <c r="I253" s="643"/>
      <c r="J253" s="132"/>
      <c r="K253" s="125"/>
      <c r="L253" s="125"/>
      <c r="M253" s="105"/>
      <c r="N253" s="105"/>
      <c r="O253" s="105"/>
      <c r="P253" s="125"/>
      <c r="Q253" s="125"/>
      <c r="R253" s="125"/>
      <c r="S253" s="125"/>
      <c r="T253" s="125"/>
      <c r="U253" s="274"/>
      <c r="V253" s="290"/>
      <c r="W253" s="125"/>
      <c r="X253" s="125"/>
      <c r="Y253" s="125"/>
      <c r="Z253" s="125"/>
      <c r="AA253" s="125"/>
      <c r="AB253" s="125"/>
      <c r="AC253" s="125"/>
      <c r="AD253" s="125"/>
      <c r="AE253" s="290"/>
      <c r="AF253" s="141"/>
      <c r="AG253" s="125"/>
      <c r="AH253" s="150">
        <f>AVERAGE(AH251:AH252)</f>
        <v>0.66249999999999998</v>
      </c>
      <c r="AI253" s="598">
        <f t="shared" si="3"/>
        <v>0.66249999999999998</v>
      </c>
      <c r="AJ253" s="125"/>
      <c r="AK253" s="143"/>
      <c r="AL253" s="143"/>
      <c r="AM253" s="143"/>
      <c r="AN253" s="143"/>
      <c r="AO253" s="143"/>
      <c r="AP253" s="143"/>
      <c r="AQ253" s="143"/>
      <c r="AR253" s="143"/>
      <c r="AS253" s="143"/>
      <c r="AT253" s="143"/>
      <c r="AU253" s="143"/>
      <c r="AV253" s="144"/>
    </row>
    <row r="254" spans="1:48" ht="62.25" customHeight="1" x14ac:dyDescent="0.25">
      <c r="A254" s="632"/>
      <c r="B254" s="663"/>
      <c r="C254" s="634"/>
      <c r="D254" s="641"/>
      <c r="E254" s="622"/>
      <c r="F254" s="622"/>
      <c r="G254" s="125"/>
      <c r="H254" s="213"/>
      <c r="I254" s="213"/>
      <c r="J254" s="132"/>
      <c r="K254" s="125"/>
      <c r="L254" s="125"/>
      <c r="M254" s="105"/>
      <c r="N254" s="105"/>
      <c r="O254" s="105"/>
      <c r="P254" s="125"/>
      <c r="Q254" s="125"/>
      <c r="R254" s="125"/>
      <c r="S254" s="125"/>
      <c r="T254" s="125"/>
      <c r="U254" s="274"/>
      <c r="V254" s="290"/>
      <c r="W254" s="125"/>
      <c r="X254" s="125"/>
      <c r="Y254" s="125"/>
      <c r="Z254" s="125"/>
      <c r="AA254" s="125"/>
      <c r="AB254" s="125"/>
      <c r="AC254" s="125"/>
      <c r="AD254" s="125"/>
      <c r="AE254" s="290"/>
      <c r="AF254" s="141"/>
      <c r="AG254" s="125"/>
      <c r="AH254" s="160">
        <f>+AH253</f>
        <v>0.66249999999999998</v>
      </c>
      <c r="AI254" s="598">
        <f t="shared" si="3"/>
        <v>0.66249999999999998</v>
      </c>
      <c r="AJ254" s="125"/>
      <c r="AK254" s="143"/>
      <c r="AL254" s="143"/>
      <c r="AM254" s="143"/>
      <c r="AN254" s="143"/>
      <c r="AO254" s="143"/>
      <c r="AP254" s="143"/>
      <c r="AQ254" s="143"/>
      <c r="AR254" s="143"/>
      <c r="AS254" s="143"/>
      <c r="AT254" s="143"/>
      <c r="AU254" s="143"/>
      <c r="AV254" s="144"/>
    </row>
    <row r="255" spans="1:48" ht="85.5" customHeight="1" x14ac:dyDescent="0.25">
      <c r="A255" s="632"/>
      <c r="B255" s="663"/>
      <c r="C255" s="634"/>
      <c r="D255" s="641"/>
      <c r="E255" s="622" t="s">
        <v>589</v>
      </c>
      <c r="F255" s="622" t="s">
        <v>593</v>
      </c>
      <c r="G255" s="622" t="s">
        <v>590</v>
      </c>
      <c r="H255" s="631">
        <v>0.09</v>
      </c>
      <c r="I255" s="631">
        <v>7.0000000000000007E-2</v>
      </c>
      <c r="J255" s="632" t="s">
        <v>596</v>
      </c>
      <c r="K255" s="125" t="s">
        <v>598</v>
      </c>
      <c r="L255" s="125" t="s">
        <v>599</v>
      </c>
      <c r="M255" s="449">
        <v>40000</v>
      </c>
      <c r="N255" s="449">
        <v>29378</v>
      </c>
      <c r="O255" s="449"/>
      <c r="P255" s="329"/>
      <c r="Q255" s="328">
        <v>11250</v>
      </c>
      <c r="R255" s="328">
        <f>884+4510</f>
        <v>5394</v>
      </c>
      <c r="S255" s="328">
        <v>3615</v>
      </c>
      <c r="T255" s="328">
        <v>4532</v>
      </c>
      <c r="U255" s="328">
        <v>3964</v>
      </c>
      <c r="V255" s="328">
        <v>8199</v>
      </c>
      <c r="W255" s="328">
        <v>1767</v>
      </c>
      <c r="X255" s="328">
        <v>9433</v>
      </c>
      <c r="Y255" s="328">
        <v>2303</v>
      </c>
      <c r="Z255" s="329">
        <v>1770</v>
      </c>
      <c r="AA255" s="329">
        <v>0</v>
      </c>
      <c r="AB255" s="329">
        <v>2498</v>
      </c>
      <c r="AC255" s="329"/>
      <c r="AD255" s="329"/>
      <c r="AE255" s="328"/>
      <c r="AF255" s="313">
        <f>+R255+S255+U255+V255+W255+X255+Y255+Z255+AA255+AB255</f>
        <v>38943</v>
      </c>
      <c r="AG255" s="125"/>
      <c r="AH255" s="102">
        <f>+AF255/M255</f>
        <v>0.97357499999999997</v>
      </c>
      <c r="AI255" s="598">
        <f t="shared" si="3"/>
        <v>0.97357499999999997</v>
      </c>
      <c r="AJ255" s="125"/>
      <c r="AK255" s="164">
        <v>247000000</v>
      </c>
      <c r="AL255" s="164"/>
      <c r="AM255" s="164"/>
      <c r="AN255" s="164"/>
      <c r="AO255" s="164"/>
      <c r="AP255" s="164"/>
      <c r="AQ255" s="164"/>
      <c r="AR255" s="164"/>
      <c r="AS255" s="164"/>
      <c r="AT255" s="164">
        <v>246960000</v>
      </c>
      <c r="AU255" s="156">
        <f>+AT255/AK255</f>
        <v>0.9998380566801619</v>
      </c>
      <c r="AV255" s="144"/>
    </row>
    <row r="256" spans="1:48" ht="85.5" customHeight="1" x14ac:dyDescent="0.25">
      <c r="A256" s="632"/>
      <c r="B256" s="663"/>
      <c r="C256" s="634"/>
      <c r="D256" s="641"/>
      <c r="E256" s="622"/>
      <c r="F256" s="622"/>
      <c r="G256" s="622"/>
      <c r="H256" s="631"/>
      <c r="I256" s="631"/>
      <c r="J256" s="632"/>
      <c r="K256" s="125"/>
      <c r="L256" s="125"/>
      <c r="M256" s="105"/>
      <c r="N256" s="105"/>
      <c r="O256" s="105"/>
      <c r="P256" s="125"/>
      <c r="Q256" s="125"/>
      <c r="R256" s="125"/>
      <c r="S256" s="132"/>
      <c r="T256" s="125"/>
      <c r="U256" s="274"/>
      <c r="V256" s="290"/>
      <c r="W256" s="125"/>
      <c r="X256" s="125"/>
      <c r="Y256" s="125"/>
      <c r="Z256" s="125"/>
      <c r="AA256" s="125"/>
      <c r="AB256" s="125"/>
      <c r="AC256" s="125"/>
      <c r="AD256" s="125"/>
      <c r="AE256" s="290"/>
      <c r="AF256" s="141"/>
      <c r="AG256" s="125"/>
      <c r="AH256" s="150">
        <f>+AH255</f>
        <v>0.97357499999999997</v>
      </c>
      <c r="AI256" s="598">
        <f t="shared" si="3"/>
        <v>0.97357499999999997</v>
      </c>
      <c r="AJ256" s="125"/>
      <c r="AK256" s="143"/>
      <c r="AL256" s="143"/>
      <c r="AM256" s="143"/>
      <c r="AN256" s="143"/>
      <c r="AO256" s="143"/>
      <c r="AP256" s="143"/>
      <c r="AQ256" s="143"/>
      <c r="AR256" s="143"/>
      <c r="AS256" s="143"/>
      <c r="AT256" s="143"/>
      <c r="AU256" s="143"/>
      <c r="AV256" s="144"/>
    </row>
    <row r="257" spans="1:48" ht="135" customHeight="1" x14ac:dyDescent="0.25">
      <c r="A257" s="632"/>
      <c r="B257" s="663"/>
      <c r="C257" s="634"/>
      <c r="D257" s="641"/>
      <c r="E257" s="622"/>
      <c r="F257" s="125" t="s">
        <v>594</v>
      </c>
      <c r="G257" s="125" t="s">
        <v>591</v>
      </c>
      <c r="H257" s="211">
        <v>0.43</v>
      </c>
      <c r="I257" s="211">
        <v>0.31</v>
      </c>
      <c r="J257" s="632" t="s">
        <v>597</v>
      </c>
      <c r="K257" s="125" t="s">
        <v>600</v>
      </c>
      <c r="L257" s="125" t="s">
        <v>601</v>
      </c>
      <c r="M257" s="437">
        <v>81225</v>
      </c>
      <c r="N257" s="437">
        <v>45059</v>
      </c>
      <c r="O257" s="437"/>
      <c r="P257" s="438"/>
      <c r="Q257" s="436">
        <v>13977</v>
      </c>
      <c r="R257" s="436">
        <v>3412</v>
      </c>
      <c r="S257" s="436">
        <v>3320</v>
      </c>
      <c r="T257" s="436">
        <v>9496</v>
      </c>
      <c r="U257" s="436">
        <v>10664</v>
      </c>
      <c r="V257" s="436">
        <v>10884</v>
      </c>
      <c r="W257" s="436">
        <v>0</v>
      </c>
      <c r="X257" s="436">
        <v>4880</v>
      </c>
      <c r="Y257" s="436">
        <v>30</v>
      </c>
      <c r="Z257" s="438">
        <v>1370</v>
      </c>
      <c r="AA257" s="438">
        <v>1200</v>
      </c>
      <c r="AB257" s="438">
        <v>0</v>
      </c>
      <c r="AC257" s="438"/>
      <c r="AD257" s="438"/>
      <c r="AE257" s="436"/>
      <c r="AF257" s="330">
        <f>+R257+S257+U257+V257+W257+X257+Y257+Z257+AA257+AB257</f>
        <v>35760</v>
      </c>
      <c r="AG257" s="125"/>
      <c r="AH257" s="102">
        <f>+(AF257/M257)</f>
        <v>0.44025854108956602</v>
      </c>
      <c r="AI257" s="598">
        <f t="shared" si="3"/>
        <v>0.44025854108956602</v>
      </c>
      <c r="AJ257" s="125"/>
      <c r="AK257" s="619">
        <v>5914701515</v>
      </c>
      <c r="AL257" s="148"/>
      <c r="AM257" s="148"/>
      <c r="AN257" s="148"/>
      <c r="AO257" s="148"/>
      <c r="AP257" s="148"/>
      <c r="AQ257" s="148"/>
      <c r="AR257" s="148"/>
      <c r="AS257" s="148"/>
      <c r="AT257" s="619">
        <v>5878031441</v>
      </c>
      <c r="AU257" s="617">
        <f>+AT257/AK257</f>
        <v>0.99380018181695173</v>
      </c>
      <c r="AV257" s="144"/>
    </row>
    <row r="258" spans="1:48" ht="60" customHeight="1" x14ac:dyDescent="0.25">
      <c r="A258" s="632"/>
      <c r="B258" s="663"/>
      <c r="C258" s="634"/>
      <c r="D258" s="641"/>
      <c r="E258" s="622"/>
      <c r="F258" s="622" t="s">
        <v>595</v>
      </c>
      <c r="G258" s="622" t="s">
        <v>592</v>
      </c>
      <c r="H258" s="640">
        <v>1</v>
      </c>
      <c r="I258" s="640">
        <v>1</v>
      </c>
      <c r="J258" s="632"/>
      <c r="K258" s="125" t="s">
        <v>602</v>
      </c>
      <c r="L258" s="125" t="s">
        <v>603</v>
      </c>
      <c r="M258" s="105">
        <v>100</v>
      </c>
      <c r="N258" s="105">
        <v>100</v>
      </c>
      <c r="O258" s="105"/>
      <c r="P258" s="125"/>
      <c r="Q258" s="132">
        <v>90</v>
      </c>
      <c r="R258" s="132">
        <v>10</v>
      </c>
      <c r="S258" s="132">
        <v>20</v>
      </c>
      <c r="T258" s="132">
        <v>45</v>
      </c>
      <c r="U258" s="274">
        <v>71</v>
      </c>
      <c r="V258" s="290">
        <v>92</v>
      </c>
      <c r="W258" s="300">
        <v>5</v>
      </c>
      <c r="X258" s="300">
        <v>0</v>
      </c>
      <c r="Y258" s="300">
        <v>55</v>
      </c>
      <c r="Z258" s="125">
        <v>0</v>
      </c>
      <c r="AA258" s="125">
        <v>0</v>
      </c>
      <c r="AB258" s="125">
        <v>0</v>
      </c>
      <c r="AC258" s="125"/>
      <c r="AD258" s="125"/>
      <c r="AE258" s="290"/>
      <c r="AF258" s="141">
        <f>+R258+S258+U258+V258+W258+X258+Y258+AA258+AB258</f>
        <v>253</v>
      </c>
      <c r="AG258" s="125"/>
      <c r="AH258" s="102">
        <v>1</v>
      </c>
      <c r="AI258" s="598">
        <f t="shared" si="3"/>
        <v>1</v>
      </c>
      <c r="AJ258" s="125"/>
      <c r="AK258" s="620"/>
      <c r="AL258" s="143"/>
      <c r="AM258" s="143"/>
      <c r="AN258" s="143"/>
      <c r="AO258" s="143"/>
      <c r="AP258" s="143"/>
      <c r="AQ258" s="143"/>
      <c r="AR258" s="143"/>
      <c r="AS258" s="143"/>
      <c r="AT258" s="620"/>
      <c r="AU258" s="618"/>
      <c r="AV258" s="144"/>
    </row>
    <row r="259" spans="1:48" ht="60" customHeight="1" x14ac:dyDescent="0.25">
      <c r="A259" s="632"/>
      <c r="B259" s="663"/>
      <c r="C259" s="634"/>
      <c r="D259" s="641"/>
      <c r="E259" s="622"/>
      <c r="F259" s="622"/>
      <c r="G259" s="622"/>
      <c r="H259" s="640"/>
      <c r="I259" s="640"/>
      <c r="J259" s="632"/>
      <c r="K259" s="125"/>
      <c r="L259" s="125"/>
      <c r="M259" s="105"/>
      <c r="N259" s="105"/>
      <c r="O259" s="105"/>
      <c r="P259" s="125"/>
      <c r="Q259" s="125"/>
      <c r="R259" s="125"/>
      <c r="S259" s="125"/>
      <c r="T259" s="125"/>
      <c r="U259" s="274"/>
      <c r="V259" s="290"/>
      <c r="W259" s="125"/>
      <c r="X259" s="125"/>
      <c r="Y259" s="125"/>
      <c r="Z259" s="125"/>
      <c r="AA259" s="125"/>
      <c r="AB259" s="125"/>
      <c r="AC259" s="125"/>
      <c r="AD259" s="125"/>
      <c r="AE259" s="290"/>
      <c r="AF259" s="141"/>
      <c r="AG259" s="125"/>
      <c r="AH259" s="150">
        <f>AVERAGE(AH257:AH258)</f>
        <v>0.72012927054478304</v>
      </c>
      <c r="AI259" s="598">
        <f t="shared" si="3"/>
        <v>0.72012927054478304</v>
      </c>
      <c r="AJ259" s="125"/>
      <c r="AK259" s="143"/>
      <c r="AL259" s="143"/>
      <c r="AM259" s="143"/>
      <c r="AN259" s="143"/>
      <c r="AO259" s="143"/>
      <c r="AP259" s="143"/>
      <c r="AQ259" s="143"/>
      <c r="AR259" s="143"/>
      <c r="AS259" s="143"/>
      <c r="AT259" s="143"/>
      <c r="AU259" s="143"/>
      <c r="AV259" s="144"/>
    </row>
    <row r="260" spans="1:48" ht="60" customHeight="1" x14ac:dyDescent="0.25">
      <c r="A260" s="632"/>
      <c r="B260" s="663"/>
      <c r="C260" s="634"/>
      <c r="D260" s="641"/>
      <c r="E260" s="622"/>
      <c r="F260" s="125"/>
      <c r="G260" s="125"/>
      <c r="H260" s="105"/>
      <c r="I260" s="105"/>
      <c r="J260" s="99"/>
      <c r="K260" s="125"/>
      <c r="L260" s="125"/>
      <c r="M260" s="105"/>
      <c r="N260" s="105"/>
      <c r="O260" s="105"/>
      <c r="P260" s="125"/>
      <c r="Q260" s="125"/>
      <c r="R260" s="125"/>
      <c r="S260" s="125"/>
      <c r="T260" s="125"/>
      <c r="U260" s="274"/>
      <c r="V260" s="290"/>
      <c r="W260" s="125"/>
      <c r="X260" s="125"/>
      <c r="Y260" s="125"/>
      <c r="Z260" s="125"/>
      <c r="AA260" s="125"/>
      <c r="AB260" s="125"/>
      <c r="AC260" s="125"/>
      <c r="AD260" s="125"/>
      <c r="AE260" s="290"/>
      <c r="AF260" s="141"/>
      <c r="AG260" s="125"/>
      <c r="AH260" s="171">
        <f>+(AH256+AH259)/2</f>
        <v>0.84685213527239145</v>
      </c>
      <c r="AI260" s="598">
        <f t="shared" ref="AI260:AI323" si="4">+AH260</f>
        <v>0.84685213527239145</v>
      </c>
      <c r="AJ260" s="125"/>
      <c r="AK260" s="143"/>
      <c r="AL260" s="143"/>
      <c r="AM260" s="143"/>
      <c r="AN260" s="143"/>
      <c r="AO260" s="143"/>
      <c r="AP260" s="143"/>
      <c r="AQ260" s="143"/>
      <c r="AR260" s="143"/>
      <c r="AS260" s="143"/>
      <c r="AT260" s="143"/>
      <c r="AU260" s="143"/>
      <c r="AV260" s="144"/>
    </row>
    <row r="261" spans="1:48" ht="60" customHeight="1" x14ac:dyDescent="0.25">
      <c r="A261" s="632"/>
      <c r="B261" s="663"/>
      <c r="C261" s="634"/>
      <c r="D261" s="641"/>
      <c r="E261" s="622" t="s">
        <v>604</v>
      </c>
      <c r="F261" s="622" t="s">
        <v>606</v>
      </c>
      <c r="G261" s="622" t="s">
        <v>605</v>
      </c>
      <c r="H261" s="628">
        <v>1</v>
      </c>
      <c r="I261" s="628">
        <v>0.16</v>
      </c>
      <c r="J261" s="642" t="s">
        <v>607</v>
      </c>
      <c r="K261" s="125" t="s">
        <v>610</v>
      </c>
      <c r="L261" s="125" t="s">
        <v>611</v>
      </c>
      <c r="M261" s="105">
        <v>1</v>
      </c>
      <c r="N261" s="105">
        <v>0</v>
      </c>
      <c r="O261" s="105"/>
      <c r="P261" s="125"/>
      <c r="Q261" s="132">
        <v>0</v>
      </c>
      <c r="R261" s="132"/>
      <c r="S261" s="132">
        <v>0.125</v>
      </c>
      <c r="T261" s="132">
        <v>0.16500000000000001</v>
      </c>
      <c r="U261" s="274">
        <v>0</v>
      </c>
      <c r="V261" s="290"/>
      <c r="W261" s="300">
        <v>6.25E-2</v>
      </c>
      <c r="X261" s="300">
        <f>0.0625+0.03</f>
        <v>9.2499999999999999E-2</v>
      </c>
      <c r="Y261" s="300">
        <v>6.25E-2</v>
      </c>
      <c r="Z261" s="125">
        <v>0.25</v>
      </c>
      <c r="AA261" s="125">
        <v>0</v>
      </c>
      <c r="AB261" s="125">
        <v>0.24</v>
      </c>
      <c r="AC261" s="125"/>
      <c r="AD261" s="125"/>
      <c r="AE261" s="290"/>
      <c r="AF261" s="163">
        <f>+O261+P261+Q261+R261+S261+T261+U261+V261+W261+X261+Y261+Z261+AA261+AB261+AC261+AD261</f>
        <v>0.99750000000000005</v>
      </c>
      <c r="AG261" s="610"/>
      <c r="AH261" s="611">
        <f>+(AF261/M261)</f>
        <v>0.99750000000000005</v>
      </c>
      <c r="AI261" s="606">
        <f t="shared" si="4"/>
        <v>0.99750000000000005</v>
      </c>
      <c r="AJ261" s="125"/>
      <c r="AK261" s="143"/>
      <c r="AL261" s="143"/>
      <c r="AM261" s="143"/>
      <c r="AN261" s="143"/>
      <c r="AO261" s="143"/>
      <c r="AP261" s="143"/>
      <c r="AQ261" s="143"/>
      <c r="AR261" s="143"/>
      <c r="AS261" s="143"/>
      <c r="AT261" s="143"/>
      <c r="AU261" s="143"/>
      <c r="AV261" s="144"/>
    </row>
    <row r="262" spans="1:48" ht="60" customHeight="1" x14ac:dyDescent="0.25">
      <c r="A262" s="632"/>
      <c r="B262" s="663"/>
      <c r="C262" s="634"/>
      <c r="D262" s="641"/>
      <c r="E262" s="622"/>
      <c r="F262" s="622"/>
      <c r="G262" s="622"/>
      <c r="H262" s="628"/>
      <c r="I262" s="628"/>
      <c r="J262" s="642"/>
      <c r="K262" s="125"/>
      <c r="L262" s="125"/>
      <c r="M262" s="105"/>
      <c r="N262" s="105"/>
      <c r="O262" s="105"/>
      <c r="P262" s="125"/>
      <c r="Q262" s="125"/>
      <c r="R262" s="125"/>
      <c r="S262" s="125"/>
      <c r="T262" s="132"/>
      <c r="U262" s="274"/>
      <c r="V262" s="290"/>
      <c r="W262" s="125"/>
      <c r="X262" s="125"/>
      <c r="Y262" s="125"/>
      <c r="Z262" s="125"/>
      <c r="AA262" s="125"/>
      <c r="AB262" s="125"/>
      <c r="AC262" s="125"/>
      <c r="AD262" s="125"/>
      <c r="AE262" s="290"/>
      <c r="AF262" s="141"/>
      <c r="AG262" s="125"/>
      <c r="AH262" s="150">
        <f>+AH261</f>
        <v>0.99750000000000005</v>
      </c>
      <c r="AI262" s="598">
        <f t="shared" si="4"/>
        <v>0.99750000000000005</v>
      </c>
      <c r="AJ262" s="125"/>
      <c r="AK262" s="143"/>
      <c r="AL262" s="143"/>
      <c r="AM262" s="143"/>
      <c r="AN262" s="143"/>
      <c r="AO262" s="143"/>
      <c r="AP262" s="143"/>
      <c r="AQ262" s="143"/>
      <c r="AR262" s="143"/>
      <c r="AS262" s="143"/>
      <c r="AT262" s="143"/>
      <c r="AU262" s="143"/>
      <c r="AV262" s="144"/>
    </row>
    <row r="263" spans="1:48" ht="60" customHeight="1" x14ac:dyDescent="0.25">
      <c r="A263" s="632"/>
      <c r="B263" s="663"/>
      <c r="C263" s="634"/>
      <c r="D263" s="641"/>
      <c r="E263" s="622"/>
      <c r="F263" s="622"/>
      <c r="G263" s="622"/>
      <c r="H263" s="628"/>
      <c r="I263" s="628"/>
      <c r="J263" s="622" t="s">
        <v>608</v>
      </c>
      <c r="K263" s="125" t="s">
        <v>612</v>
      </c>
      <c r="L263" s="125" t="s">
        <v>613</v>
      </c>
      <c r="M263" s="105">
        <v>48</v>
      </c>
      <c r="N263" s="105">
        <v>39</v>
      </c>
      <c r="O263" s="105"/>
      <c r="P263" s="125"/>
      <c r="Q263" s="132">
        <v>13</v>
      </c>
      <c r="R263" s="132">
        <v>4</v>
      </c>
      <c r="S263" s="132">
        <v>4</v>
      </c>
      <c r="T263" s="132">
        <v>3</v>
      </c>
      <c r="U263" s="274">
        <v>2</v>
      </c>
      <c r="V263" s="290">
        <v>8</v>
      </c>
      <c r="W263" s="300">
        <v>9</v>
      </c>
      <c r="X263" s="300">
        <f>14-9</f>
        <v>5</v>
      </c>
      <c r="Y263" s="300">
        <v>2</v>
      </c>
      <c r="Z263" s="125">
        <v>0</v>
      </c>
      <c r="AA263" s="125">
        <v>5</v>
      </c>
      <c r="AB263" s="125">
        <v>0</v>
      </c>
      <c r="AC263" s="125"/>
      <c r="AD263" s="125"/>
      <c r="AE263" s="290"/>
      <c r="AF263" s="331">
        <f>+Q263+R263+T263+U263+V263+W263+X263+Y263+AA263+AB263</f>
        <v>51</v>
      </c>
      <c r="AG263" s="125"/>
      <c r="AH263" s="314">
        <v>1</v>
      </c>
      <c r="AI263" s="598">
        <f t="shared" si="4"/>
        <v>1</v>
      </c>
      <c r="AJ263" s="125"/>
      <c r="AK263" s="164">
        <v>1304385791</v>
      </c>
      <c r="AL263" s="164"/>
      <c r="AM263" s="164"/>
      <c r="AN263" s="164"/>
      <c r="AO263" s="164"/>
      <c r="AP263" s="164"/>
      <c r="AQ263" s="164"/>
      <c r="AR263" s="164"/>
      <c r="AS263" s="164"/>
      <c r="AT263" s="164">
        <v>1300000000</v>
      </c>
      <c r="AU263" s="156">
        <f>+AT263/AK263</f>
        <v>0.99663765809911375</v>
      </c>
      <c r="AV263" s="144"/>
    </row>
    <row r="264" spans="1:48" ht="60" customHeight="1" x14ac:dyDescent="0.25">
      <c r="A264" s="632"/>
      <c r="B264" s="663"/>
      <c r="C264" s="634"/>
      <c r="D264" s="641"/>
      <c r="E264" s="622"/>
      <c r="F264" s="622"/>
      <c r="G264" s="622"/>
      <c r="H264" s="628"/>
      <c r="I264" s="628"/>
      <c r="J264" s="622"/>
      <c r="K264" s="125"/>
      <c r="L264" s="125"/>
      <c r="M264" s="105"/>
      <c r="N264" s="105"/>
      <c r="O264" s="105"/>
      <c r="P264" s="125"/>
      <c r="Q264" s="125"/>
      <c r="R264" s="125"/>
      <c r="S264" s="132"/>
      <c r="T264" s="132"/>
      <c r="U264" s="274"/>
      <c r="V264" s="290"/>
      <c r="W264" s="125"/>
      <c r="X264" s="125"/>
      <c r="Y264" s="125"/>
      <c r="Z264" s="125"/>
      <c r="AA264" s="125"/>
      <c r="AB264" s="125"/>
      <c r="AC264" s="125"/>
      <c r="AD264" s="125"/>
      <c r="AE264" s="290"/>
      <c r="AF264" s="141"/>
      <c r="AG264" s="125"/>
      <c r="AH264" s="150">
        <f>+AH263</f>
        <v>1</v>
      </c>
      <c r="AI264" s="598">
        <f t="shared" si="4"/>
        <v>1</v>
      </c>
      <c r="AJ264" s="125"/>
      <c r="AK264" s="143"/>
      <c r="AL264" s="143"/>
      <c r="AM264" s="143"/>
      <c r="AN264" s="143"/>
      <c r="AO264" s="143"/>
      <c r="AP264" s="143"/>
      <c r="AQ264" s="143"/>
      <c r="AR264" s="143"/>
      <c r="AS264" s="143"/>
      <c r="AT264" s="143"/>
      <c r="AU264" s="143"/>
      <c r="AV264" s="144"/>
    </row>
    <row r="265" spans="1:48" ht="45" customHeight="1" x14ac:dyDescent="0.25">
      <c r="A265" s="632"/>
      <c r="B265" s="663"/>
      <c r="C265" s="634"/>
      <c r="D265" s="641"/>
      <c r="E265" s="622"/>
      <c r="F265" s="622"/>
      <c r="G265" s="622"/>
      <c r="H265" s="628"/>
      <c r="I265" s="628"/>
      <c r="J265" s="622" t="s">
        <v>609</v>
      </c>
      <c r="K265" s="125" t="s">
        <v>614</v>
      </c>
      <c r="L265" s="125" t="s">
        <v>615</v>
      </c>
      <c r="M265" s="105">
        <v>100</v>
      </c>
      <c r="N265" s="105">
        <v>16</v>
      </c>
      <c r="O265" s="105"/>
      <c r="P265" s="125"/>
      <c r="Q265" s="132">
        <v>80</v>
      </c>
      <c r="R265" s="132">
        <v>77</v>
      </c>
      <c r="S265" s="132">
        <v>115</v>
      </c>
      <c r="T265" s="132">
        <v>110</v>
      </c>
      <c r="U265" s="274">
        <v>130</v>
      </c>
      <c r="V265" s="290">
        <v>155</v>
      </c>
      <c r="W265" s="300">
        <v>3</v>
      </c>
      <c r="X265" s="300">
        <v>3</v>
      </c>
      <c r="Y265" s="300">
        <v>2</v>
      </c>
      <c r="Z265" s="125">
        <v>0</v>
      </c>
      <c r="AA265" s="125">
        <v>0</v>
      </c>
      <c r="AB265" s="125">
        <v>0</v>
      </c>
      <c r="AC265" s="125"/>
      <c r="AD265" s="125"/>
      <c r="AE265" s="290"/>
      <c r="AF265" s="141">
        <f>+R265+U265+W265+X265+Y265+AA265+AB265</f>
        <v>215</v>
      </c>
      <c r="AG265" s="125"/>
      <c r="AH265" s="314">
        <v>1</v>
      </c>
      <c r="AI265" s="598">
        <f t="shared" si="4"/>
        <v>1</v>
      </c>
      <c r="AJ265" s="125"/>
      <c r="AK265" s="619">
        <v>4547915456</v>
      </c>
      <c r="AL265" s="148"/>
      <c r="AM265" s="148"/>
      <c r="AN265" s="148"/>
      <c r="AO265" s="148"/>
      <c r="AP265" s="148"/>
      <c r="AQ265" s="148"/>
      <c r="AR265" s="148"/>
      <c r="AS265" s="148"/>
      <c r="AT265" s="619">
        <v>4526885001</v>
      </c>
      <c r="AU265" s="617">
        <f>+AT265/AK265</f>
        <v>0.99537580344149656</v>
      </c>
      <c r="AV265" s="144"/>
    </row>
    <row r="266" spans="1:48" ht="60" customHeight="1" x14ac:dyDescent="0.25">
      <c r="A266" s="632"/>
      <c r="B266" s="663"/>
      <c r="C266" s="634"/>
      <c r="D266" s="641"/>
      <c r="E266" s="622"/>
      <c r="F266" s="622"/>
      <c r="G266" s="622"/>
      <c r="H266" s="628"/>
      <c r="I266" s="628"/>
      <c r="J266" s="622"/>
      <c r="K266" s="125" t="s">
        <v>616</v>
      </c>
      <c r="L266" s="125" t="s">
        <v>617</v>
      </c>
      <c r="M266" s="105">
        <v>430</v>
      </c>
      <c r="N266" s="105">
        <v>331</v>
      </c>
      <c r="O266" s="105"/>
      <c r="P266" s="125"/>
      <c r="Q266" s="132">
        <v>0</v>
      </c>
      <c r="R266" s="132">
        <v>27</v>
      </c>
      <c r="S266" s="132">
        <v>27</v>
      </c>
      <c r="T266" s="132">
        <v>0</v>
      </c>
      <c r="U266" s="274">
        <v>56</v>
      </c>
      <c r="V266" s="290">
        <v>45</v>
      </c>
      <c r="W266" s="300">
        <v>53</v>
      </c>
      <c r="X266" s="300">
        <v>118</v>
      </c>
      <c r="Y266" s="300">
        <v>0</v>
      </c>
      <c r="Z266" s="125">
        <v>0</v>
      </c>
      <c r="AA266" s="125">
        <v>5</v>
      </c>
      <c r="AB266" s="125">
        <v>0</v>
      </c>
      <c r="AC266" s="125"/>
      <c r="AD266" s="125"/>
      <c r="AE266" s="290"/>
      <c r="AF266" s="141">
        <f>+O266+P266+Q266+R266+S266+T266+U266+V266+W266+X266+Y266+Z266+AA266+AB266+AC266+AD266</f>
        <v>331</v>
      </c>
      <c r="AG266" s="125"/>
      <c r="AH266" s="102">
        <f>+(AF266/M266)</f>
        <v>0.76976744186046508</v>
      </c>
      <c r="AI266" s="598">
        <f t="shared" si="4"/>
        <v>0.76976744186046508</v>
      </c>
      <c r="AJ266" s="125"/>
      <c r="AK266" s="620"/>
      <c r="AL266" s="143"/>
      <c r="AM266" s="143"/>
      <c r="AN266" s="143"/>
      <c r="AO266" s="143"/>
      <c r="AP266" s="143"/>
      <c r="AQ266" s="143"/>
      <c r="AR266" s="143"/>
      <c r="AS266" s="143"/>
      <c r="AT266" s="620"/>
      <c r="AU266" s="618"/>
      <c r="AV266" s="144"/>
    </row>
    <row r="267" spans="1:48" ht="60" customHeight="1" x14ac:dyDescent="0.25">
      <c r="A267" s="632"/>
      <c r="B267" s="663"/>
      <c r="C267" s="634"/>
      <c r="D267" s="641"/>
      <c r="E267" s="622"/>
      <c r="F267" s="622"/>
      <c r="G267" s="622"/>
      <c r="H267" s="628"/>
      <c r="I267" s="628"/>
      <c r="J267" s="622"/>
      <c r="K267" s="125"/>
      <c r="L267" s="125"/>
      <c r="M267" s="105"/>
      <c r="N267" s="105"/>
      <c r="O267" s="105"/>
      <c r="P267" s="125"/>
      <c r="Q267" s="125"/>
      <c r="R267" s="125"/>
      <c r="S267" s="125"/>
      <c r="T267" s="125"/>
      <c r="U267" s="274"/>
      <c r="V267" s="290"/>
      <c r="W267" s="125"/>
      <c r="X267" s="125"/>
      <c r="Y267" s="125"/>
      <c r="Z267" s="125"/>
      <c r="AA267" s="125"/>
      <c r="AB267" s="125"/>
      <c r="AC267" s="125"/>
      <c r="AD267" s="125"/>
      <c r="AE267" s="290"/>
      <c r="AF267" s="141"/>
      <c r="AG267" s="125"/>
      <c r="AH267" s="150">
        <f>AVERAGE(AH265:AH266)</f>
        <v>0.88488372093023249</v>
      </c>
      <c r="AI267" s="598">
        <f t="shared" si="4"/>
        <v>0.88488372093023249</v>
      </c>
      <c r="AJ267" s="125"/>
      <c r="AK267" s="143"/>
      <c r="AL267" s="143"/>
      <c r="AM267" s="143"/>
      <c r="AN267" s="143"/>
      <c r="AO267" s="143"/>
      <c r="AP267" s="143"/>
      <c r="AQ267" s="143"/>
      <c r="AR267" s="143"/>
      <c r="AS267" s="143"/>
      <c r="AT267" s="143"/>
      <c r="AU267" s="143"/>
      <c r="AV267" s="144"/>
    </row>
    <row r="268" spans="1:48" ht="60" customHeight="1" x14ac:dyDescent="0.25">
      <c r="A268" s="632"/>
      <c r="B268" s="663"/>
      <c r="C268" s="634"/>
      <c r="D268" s="641"/>
      <c r="E268" s="622"/>
      <c r="F268" s="622"/>
      <c r="G268" s="622"/>
      <c r="H268" s="108"/>
      <c r="I268" s="108"/>
      <c r="J268" s="132"/>
      <c r="K268" s="125"/>
      <c r="L268" s="125"/>
      <c r="M268" s="105"/>
      <c r="N268" s="105"/>
      <c r="O268" s="105"/>
      <c r="P268" s="125"/>
      <c r="Q268" s="125"/>
      <c r="R268" s="125"/>
      <c r="S268" s="125"/>
      <c r="T268" s="125"/>
      <c r="U268" s="274"/>
      <c r="V268" s="290"/>
      <c r="W268" s="125"/>
      <c r="X268" s="125"/>
      <c r="Y268" s="125"/>
      <c r="Z268" s="125"/>
      <c r="AA268" s="125"/>
      <c r="AB268" s="125"/>
      <c r="AC268" s="125"/>
      <c r="AD268" s="125"/>
      <c r="AE268" s="290"/>
      <c r="AF268" s="141"/>
      <c r="AG268" s="125"/>
      <c r="AH268" s="171">
        <f>+(AH262+AH264+AH267)/3</f>
        <v>0.96079457364341092</v>
      </c>
      <c r="AI268" s="598">
        <f t="shared" si="4"/>
        <v>0.96079457364341092</v>
      </c>
      <c r="AJ268" s="125"/>
      <c r="AK268" s="143"/>
      <c r="AL268" s="143"/>
      <c r="AM268" s="143"/>
      <c r="AN268" s="143"/>
      <c r="AO268" s="143"/>
      <c r="AP268" s="143"/>
      <c r="AQ268" s="143"/>
      <c r="AR268" s="143"/>
      <c r="AS268" s="143"/>
      <c r="AT268" s="143"/>
      <c r="AU268" s="143"/>
      <c r="AV268" s="144"/>
    </row>
    <row r="269" spans="1:48" ht="90" customHeight="1" x14ac:dyDescent="0.25">
      <c r="A269" s="632"/>
      <c r="B269" s="663"/>
      <c r="C269" s="634"/>
      <c r="D269" s="641"/>
      <c r="E269" s="622" t="s">
        <v>618</v>
      </c>
      <c r="F269" s="622" t="s">
        <v>620</v>
      </c>
      <c r="G269" s="622" t="s">
        <v>619</v>
      </c>
      <c r="H269" s="623">
        <v>1</v>
      </c>
      <c r="I269" s="623">
        <v>0</v>
      </c>
      <c r="J269" s="630" t="s">
        <v>618</v>
      </c>
      <c r="K269" s="125" t="s">
        <v>621</v>
      </c>
      <c r="L269" s="125" t="s">
        <v>619</v>
      </c>
      <c r="M269" s="105">
        <v>2</v>
      </c>
      <c r="N269" s="105">
        <v>0</v>
      </c>
      <c r="O269" s="105"/>
      <c r="P269" s="125">
        <v>6.25E-2</v>
      </c>
      <c r="Q269" s="132">
        <v>6.25E-2</v>
      </c>
      <c r="R269" s="132">
        <v>6.25E-2</v>
      </c>
      <c r="S269" s="306">
        <v>0.16500000000000001</v>
      </c>
      <c r="T269" s="306">
        <v>0.41399999999999998</v>
      </c>
      <c r="U269" s="306">
        <v>0.18970000000000001</v>
      </c>
      <c r="V269" s="306">
        <v>0.25</v>
      </c>
      <c r="W269" s="306">
        <v>6.25E-2</v>
      </c>
      <c r="X269" s="306">
        <v>6.25E-2</v>
      </c>
      <c r="Y269" s="306">
        <v>6.25E-2</v>
      </c>
      <c r="Z269" s="306">
        <v>6.25E-2</v>
      </c>
      <c r="AA269" s="306">
        <v>6.25E-2</v>
      </c>
      <c r="AB269" s="306">
        <v>6.25E-2</v>
      </c>
      <c r="AC269" s="306"/>
      <c r="AD269" s="306"/>
      <c r="AE269" s="306"/>
      <c r="AF269" s="332">
        <f>+O269+P269+Q269+R269+S269+T269+U269+V269+W269+X269+Y269+Z269+AA269+AB269+AC269+AD269</f>
        <v>1.5811999999999999</v>
      </c>
      <c r="AG269" s="208"/>
      <c r="AH269" s="333">
        <f>+(AF269/M269)</f>
        <v>0.79059999999999997</v>
      </c>
      <c r="AI269" s="598">
        <f t="shared" si="4"/>
        <v>0.79059999999999997</v>
      </c>
      <c r="AJ269" s="125"/>
      <c r="AK269" s="619">
        <v>472263106</v>
      </c>
      <c r="AL269" s="148"/>
      <c r="AM269" s="148"/>
      <c r="AN269" s="148"/>
      <c r="AO269" s="148"/>
      <c r="AP269" s="148"/>
      <c r="AQ269" s="148"/>
      <c r="AR269" s="148"/>
      <c r="AS269" s="148"/>
      <c r="AT269" s="619">
        <v>461300000</v>
      </c>
      <c r="AU269" s="617">
        <f>+AT269/AK269</f>
        <v>0.97678602062978004</v>
      </c>
      <c r="AV269" s="144"/>
    </row>
    <row r="270" spans="1:48" ht="75" x14ac:dyDescent="0.25">
      <c r="A270" s="632"/>
      <c r="B270" s="663"/>
      <c r="C270" s="634"/>
      <c r="D270" s="641"/>
      <c r="E270" s="622"/>
      <c r="F270" s="622"/>
      <c r="G270" s="622"/>
      <c r="H270" s="623"/>
      <c r="I270" s="623"/>
      <c r="J270" s="630"/>
      <c r="K270" s="125" t="s">
        <v>622</v>
      </c>
      <c r="L270" s="125" t="s">
        <v>623</v>
      </c>
      <c r="M270" s="105">
        <v>7595</v>
      </c>
      <c r="N270" s="105">
        <v>7405</v>
      </c>
      <c r="O270" s="105"/>
      <c r="P270" s="125"/>
      <c r="Q270" s="132">
        <v>2355</v>
      </c>
      <c r="R270" s="132">
        <v>410</v>
      </c>
      <c r="S270" s="578">
        <v>2000</v>
      </c>
      <c r="T270" s="578">
        <v>780</v>
      </c>
      <c r="U270" s="578">
        <v>2580</v>
      </c>
      <c r="V270" s="578">
        <v>8395</v>
      </c>
      <c r="W270" s="578"/>
      <c r="X270" s="578"/>
      <c r="Y270" s="578"/>
      <c r="Z270" s="578"/>
      <c r="AA270" s="578">
        <v>535</v>
      </c>
      <c r="AB270" s="578">
        <v>1412</v>
      </c>
      <c r="AC270" s="578"/>
      <c r="AD270" s="578"/>
      <c r="AE270" s="578"/>
      <c r="AF270" s="588">
        <f>+V270+AA270+AB270</f>
        <v>10342</v>
      </c>
      <c r="AG270" s="172"/>
      <c r="AH270" s="589">
        <v>1</v>
      </c>
      <c r="AI270" s="598">
        <f t="shared" si="4"/>
        <v>1</v>
      </c>
      <c r="AJ270" s="125"/>
      <c r="AK270" s="620"/>
      <c r="AL270" s="148"/>
      <c r="AM270" s="148"/>
      <c r="AN270" s="148"/>
      <c r="AO270" s="148"/>
      <c r="AP270" s="148"/>
      <c r="AQ270" s="148"/>
      <c r="AR270" s="148"/>
      <c r="AS270" s="148"/>
      <c r="AT270" s="620"/>
      <c r="AU270" s="618"/>
      <c r="AV270" s="144"/>
    </row>
    <row r="271" spans="1:48" ht="62.25" customHeight="1" x14ac:dyDescent="0.25">
      <c r="A271" s="632"/>
      <c r="B271" s="663"/>
      <c r="C271" s="634"/>
      <c r="D271" s="641"/>
      <c r="E271" s="622"/>
      <c r="F271" s="622"/>
      <c r="G271" s="622"/>
      <c r="H271" s="623"/>
      <c r="I271" s="623"/>
      <c r="J271" s="630"/>
      <c r="K271" s="125"/>
      <c r="L271" s="125"/>
      <c r="M271" s="105"/>
      <c r="N271" s="105"/>
      <c r="O271" s="105"/>
      <c r="P271" s="125"/>
      <c r="Q271" s="125"/>
      <c r="R271" s="125"/>
      <c r="S271" s="125"/>
      <c r="T271" s="125"/>
      <c r="U271" s="274"/>
      <c r="V271" s="290"/>
      <c r="W271" s="125"/>
      <c r="X271" s="125"/>
      <c r="Y271" s="125"/>
      <c r="Z271" s="125"/>
      <c r="AA271" s="125"/>
      <c r="AB271" s="125"/>
      <c r="AC271" s="125"/>
      <c r="AD271" s="125"/>
      <c r="AE271" s="290"/>
      <c r="AF271" s="141"/>
      <c r="AG271" s="125"/>
      <c r="AH271" s="150">
        <f>AVERAGE(AH269:AH270)</f>
        <v>0.89529999999999998</v>
      </c>
      <c r="AI271" s="598">
        <f t="shared" si="4"/>
        <v>0.89529999999999998</v>
      </c>
      <c r="AJ271" s="125"/>
      <c r="AK271" s="143"/>
      <c r="AL271" s="143"/>
      <c r="AM271" s="143"/>
      <c r="AN271" s="143"/>
      <c r="AO271" s="143"/>
      <c r="AP271" s="143"/>
      <c r="AQ271" s="143"/>
      <c r="AR271" s="143"/>
      <c r="AS271" s="143"/>
      <c r="AT271" s="143"/>
      <c r="AU271" s="143"/>
      <c r="AV271" s="144"/>
    </row>
    <row r="272" spans="1:48" ht="62.25" customHeight="1" x14ac:dyDescent="0.25">
      <c r="A272" s="632"/>
      <c r="B272" s="663"/>
      <c r="C272" s="634"/>
      <c r="D272" s="641"/>
      <c r="E272" s="622"/>
      <c r="F272" s="622"/>
      <c r="G272" s="622"/>
      <c r="H272" s="623"/>
      <c r="I272" s="623"/>
      <c r="J272" s="132"/>
      <c r="K272" s="125"/>
      <c r="L272" s="125"/>
      <c r="M272" s="105"/>
      <c r="N272" s="105"/>
      <c r="O272" s="105"/>
      <c r="P272" s="125"/>
      <c r="Q272" s="125"/>
      <c r="R272" s="125"/>
      <c r="S272" s="125"/>
      <c r="T272" s="125"/>
      <c r="U272" s="274"/>
      <c r="V272" s="290"/>
      <c r="W272" s="125"/>
      <c r="X272" s="125"/>
      <c r="Y272" s="125"/>
      <c r="Z272" s="125"/>
      <c r="AA272" s="125"/>
      <c r="AB272" s="125"/>
      <c r="AC272" s="125"/>
      <c r="AD272" s="125"/>
      <c r="AE272" s="290"/>
      <c r="AF272" s="141"/>
      <c r="AG272" s="125"/>
      <c r="AH272" s="160">
        <f>+AH271</f>
        <v>0.89529999999999998</v>
      </c>
      <c r="AI272" s="598">
        <f t="shared" si="4"/>
        <v>0.89529999999999998</v>
      </c>
      <c r="AJ272" s="125"/>
      <c r="AK272" s="143"/>
      <c r="AL272" s="143"/>
      <c r="AM272" s="143"/>
      <c r="AN272" s="143"/>
      <c r="AO272" s="143"/>
      <c r="AP272" s="143"/>
      <c r="AQ272" s="143"/>
      <c r="AR272" s="143"/>
      <c r="AS272" s="143"/>
      <c r="AT272" s="143"/>
      <c r="AU272" s="143"/>
      <c r="AV272" s="144"/>
    </row>
    <row r="273" spans="1:48" ht="62.25" customHeight="1" x14ac:dyDescent="0.25">
      <c r="A273" s="632"/>
      <c r="B273" s="663"/>
      <c r="C273" s="634"/>
      <c r="D273" s="641"/>
      <c r="E273" s="132"/>
      <c r="F273" s="132"/>
      <c r="G273" s="132"/>
      <c r="H273" s="108"/>
      <c r="I273" s="108"/>
      <c r="J273" s="132"/>
      <c r="K273" s="125"/>
      <c r="L273" s="125"/>
      <c r="M273" s="105"/>
      <c r="N273" s="105"/>
      <c r="O273" s="105"/>
      <c r="P273" s="125"/>
      <c r="Q273" s="125"/>
      <c r="R273" s="125"/>
      <c r="S273" s="125"/>
      <c r="T273" s="125"/>
      <c r="U273" s="274"/>
      <c r="V273" s="290"/>
      <c r="W273" s="125"/>
      <c r="X273" s="125"/>
      <c r="Y273" s="125"/>
      <c r="Z273" s="125"/>
      <c r="AA273" s="125"/>
      <c r="AB273" s="125"/>
      <c r="AC273" s="125"/>
      <c r="AD273" s="125"/>
      <c r="AE273" s="290"/>
      <c r="AF273" s="141"/>
      <c r="AG273" s="125"/>
      <c r="AH273" s="207">
        <f>+(AH241+AH245+AH250+AH254+AH260+AH268+AH272)/7</f>
        <v>0.79152629807348873</v>
      </c>
      <c r="AI273" s="598">
        <f t="shared" si="4"/>
        <v>0.79152629807348873</v>
      </c>
      <c r="AJ273" s="125"/>
      <c r="AK273" s="143"/>
      <c r="AL273" s="143"/>
      <c r="AM273" s="143"/>
      <c r="AN273" s="143"/>
      <c r="AO273" s="143"/>
      <c r="AP273" s="143"/>
      <c r="AQ273" s="143"/>
      <c r="AR273" s="143"/>
      <c r="AS273" s="143"/>
      <c r="AT273" s="143"/>
      <c r="AU273" s="143"/>
      <c r="AV273" s="144"/>
    </row>
    <row r="274" spans="1:48" ht="84.75" customHeight="1" x14ac:dyDescent="0.25">
      <c r="A274" s="632"/>
      <c r="B274" s="663"/>
      <c r="C274" s="634"/>
      <c r="D274" s="635" t="s">
        <v>624</v>
      </c>
      <c r="E274" s="622" t="s">
        <v>625</v>
      </c>
      <c r="F274" s="622" t="s">
        <v>627</v>
      </c>
      <c r="G274" s="622" t="s">
        <v>626</v>
      </c>
      <c r="H274" s="623">
        <v>0.1</v>
      </c>
      <c r="I274" s="623">
        <v>0.08</v>
      </c>
      <c r="J274" s="622" t="s">
        <v>628</v>
      </c>
      <c r="K274" s="125" t="s">
        <v>629</v>
      </c>
      <c r="L274" s="98" t="s">
        <v>632</v>
      </c>
      <c r="M274" s="105">
        <v>18431</v>
      </c>
      <c r="N274" s="640">
        <v>7273</v>
      </c>
      <c r="O274" s="105"/>
      <c r="P274" s="125"/>
      <c r="Q274" s="132">
        <v>8145</v>
      </c>
      <c r="R274" s="132">
        <v>15194</v>
      </c>
      <c r="S274" s="215">
        <v>0</v>
      </c>
      <c r="T274" s="132">
        <v>202</v>
      </c>
      <c r="U274" s="274">
        <v>134</v>
      </c>
      <c r="V274" s="290">
        <v>0</v>
      </c>
      <c r="W274" s="132">
        <v>0</v>
      </c>
      <c r="X274" s="132">
        <v>0</v>
      </c>
      <c r="Y274" s="132">
        <v>266</v>
      </c>
      <c r="Z274" s="132">
        <v>1998</v>
      </c>
      <c r="AA274" s="590">
        <v>2526</v>
      </c>
      <c r="AB274" s="591">
        <v>729</v>
      </c>
      <c r="AC274" s="132"/>
      <c r="AD274" s="132"/>
      <c r="AE274" s="290"/>
      <c r="AF274" s="147">
        <f>+R274+S274+T274+U274+Y274+Z274+AA274+AB274</f>
        <v>21049</v>
      </c>
      <c r="AG274" s="125"/>
      <c r="AH274" s="314">
        <v>1</v>
      </c>
      <c r="AI274" s="598">
        <f t="shared" si="4"/>
        <v>1</v>
      </c>
      <c r="AJ274" s="125"/>
      <c r="AK274" s="619">
        <v>153390000</v>
      </c>
      <c r="AL274" s="148"/>
      <c r="AM274" s="148"/>
      <c r="AN274" s="148"/>
      <c r="AO274" s="148"/>
      <c r="AP274" s="148"/>
      <c r="AQ274" s="148"/>
      <c r="AR274" s="148"/>
      <c r="AS274" s="148"/>
      <c r="AT274" s="619">
        <v>153400000</v>
      </c>
      <c r="AU274" s="617">
        <f>+AT274/AK274</f>
        <v>1.000065193298129</v>
      </c>
      <c r="AV274" s="144"/>
    </row>
    <row r="275" spans="1:48" ht="60" x14ac:dyDescent="0.25">
      <c r="A275" s="632"/>
      <c r="B275" s="663"/>
      <c r="C275" s="634"/>
      <c r="D275" s="635"/>
      <c r="E275" s="622"/>
      <c r="F275" s="622"/>
      <c r="G275" s="622"/>
      <c r="H275" s="623"/>
      <c r="I275" s="623"/>
      <c r="J275" s="622"/>
      <c r="K275" s="125" t="s">
        <v>630</v>
      </c>
      <c r="L275" s="98" t="s">
        <v>633</v>
      </c>
      <c r="M275" s="132">
        <v>2000</v>
      </c>
      <c r="N275" s="640"/>
      <c r="O275" s="105"/>
      <c r="P275" s="125"/>
      <c r="Q275" s="132">
        <v>1366</v>
      </c>
      <c r="R275" s="132">
        <v>1929</v>
      </c>
      <c r="S275" s="216">
        <v>0</v>
      </c>
      <c r="T275" s="132">
        <v>30</v>
      </c>
      <c r="U275" s="274">
        <v>70</v>
      </c>
      <c r="V275" s="290">
        <v>0</v>
      </c>
      <c r="W275" s="132">
        <v>0</v>
      </c>
      <c r="X275" s="132">
        <v>0</v>
      </c>
      <c r="Y275" s="132">
        <v>42</v>
      </c>
      <c r="Z275" s="132">
        <v>8</v>
      </c>
      <c r="AA275" s="590">
        <v>274</v>
      </c>
      <c r="AB275" s="591">
        <v>1175</v>
      </c>
      <c r="AC275" s="132"/>
      <c r="AD275" s="132"/>
      <c r="AE275" s="290"/>
      <c r="AF275" s="147">
        <f>+R275+S275+T275+U275+Y275+Z275+AA275+AB275</f>
        <v>3528</v>
      </c>
      <c r="AG275" s="125"/>
      <c r="AH275" s="314">
        <v>1</v>
      </c>
      <c r="AI275" s="598">
        <f t="shared" si="4"/>
        <v>1</v>
      </c>
      <c r="AJ275" s="125"/>
      <c r="AK275" s="671"/>
      <c r="AL275" s="148"/>
      <c r="AM275" s="148"/>
      <c r="AN275" s="148"/>
      <c r="AO275" s="148"/>
      <c r="AP275" s="148"/>
      <c r="AQ275" s="148"/>
      <c r="AR275" s="148"/>
      <c r="AS275" s="148"/>
      <c r="AT275" s="671"/>
      <c r="AU275" s="670"/>
      <c r="AV275" s="144"/>
    </row>
    <row r="276" spans="1:48" ht="60" x14ac:dyDescent="0.25">
      <c r="A276" s="632"/>
      <c r="B276" s="663"/>
      <c r="C276" s="634"/>
      <c r="D276" s="635"/>
      <c r="E276" s="622"/>
      <c r="F276" s="622"/>
      <c r="G276" s="622"/>
      <c r="H276" s="623"/>
      <c r="I276" s="623"/>
      <c r="J276" s="622"/>
      <c r="K276" s="125" t="s">
        <v>631</v>
      </c>
      <c r="L276" s="98" t="s">
        <v>634</v>
      </c>
      <c r="M276" s="271">
        <v>5</v>
      </c>
      <c r="N276" s="132">
        <v>5</v>
      </c>
      <c r="O276" s="132"/>
      <c r="P276" s="125"/>
      <c r="Q276" s="132">
        <v>1</v>
      </c>
      <c r="R276" s="132">
        <v>1</v>
      </c>
      <c r="S276" s="216">
        <v>0</v>
      </c>
      <c r="T276" s="302">
        <v>0</v>
      </c>
      <c r="U276" s="274">
        <v>0</v>
      </c>
      <c r="V276" s="290">
        <v>0</v>
      </c>
      <c r="W276" s="132">
        <v>0</v>
      </c>
      <c r="X276" s="132">
        <v>0</v>
      </c>
      <c r="Y276" s="132">
        <v>2</v>
      </c>
      <c r="Z276" s="132">
        <v>2</v>
      </c>
      <c r="AA276" s="590">
        <v>2</v>
      </c>
      <c r="AB276" s="591">
        <v>2</v>
      </c>
      <c r="AC276" s="132"/>
      <c r="AD276" s="132"/>
      <c r="AE276" s="290"/>
      <c r="AF276" s="147">
        <f>+R276+S276+T276+U276+Y276+Z276+AA276+AB276</f>
        <v>9</v>
      </c>
      <c r="AG276" s="125"/>
      <c r="AH276" s="314">
        <v>1</v>
      </c>
      <c r="AI276" s="598">
        <f t="shared" si="4"/>
        <v>1</v>
      </c>
      <c r="AJ276" s="125"/>
      <c r="AK276" s="620"/>
      <c r="AL276" s="148"/>
      <c r="AM276" s="148"/>
      <c r="AN276" s="148"/>
      <c r="AO276" s="148"/>
      <c r="AP276" s="148"/>
      <c r="AQ276" s="148"/>
      <c r="AR276" s="148"/>
      <c r="AS276" s="148"/>
      <c r="AT276" s="620"/>
      <c r="AU276" s="618"/>
      <c r="AV276" s="144"/>
    </row>
    <row r="277" spans="1:48" ht="52.5" customHeight="1" x14ac:dyDescent="0.25">
      <c r="A277" s="632"/>
      <c r="B277" s="663"/>
      <c r="C277" s="634"/>
      <c r="D277" s="635"/>
      <c r="E277" s="622"/>
      <c r="F277" s="622"/>
      <c r="G277" s="622"/>
      <c r="H277" s="623"/>
      <c r="I277" s="623"/>
      <c r="J277" s="622"/>
      <c r="K277" s="125"/>
      <c r="L277" s="98"/>
      <c r="M277" s="132"/>
      <c r="N277" s="132"/>
      <c r="O277" s="132"/>
      <c r="P277" s="125"/>
      <c r="Q277" s="132"/>
      <c r="R277" s="132"/>
      <c r="S277" s="132"/>
      <c r="T277" s="132"/>
      <c r="U277" s="274"/>
      <c r="V277" s="290"/>
      <c r="W277" s="132"/>
      <c r="X277" s="132"/>
      <c r="Y277" s="132"/>
      <c r="Z277" s="132"/>
      <c r="AA277" s="132"/>
      <c r="AB277" s="132"/>
      <c r="AC277" s="132"/>
      <c r="AD277" s="132"/>
      <c r="AE277" s="290"/>
      <c r="AF277" s="141"/>
      <c r="AG277" s="125"/>
      <c r="AH277" s="150">
        <f>AVERAGE(AH274:AH276)</f>
        <v>1</v>
      </c>
      <c r="AI277" s="598">
        <f t="shared" si="4"/>
        <v>1</v>
      </c>
      <c r="AJ277" s="125"/>
      <c r="AK277" s="143"/>
      <c r="AL277" s="143"/>
      <c r="AM277" s="143"/>
      <c r="AN277" s="143"/>
      <c r="AO277" s="143"/>
      <c r="AP277" s="143"/>
      <c r="AQ277" s="143"/>
      <c r="AR277" s="143"/>
      <c r="AS277" s="143"/>
      <c r="AT277" s="143"/>
      <c r="AU277" s="143"/>
      <c r="AV277" s="144"/>
    </row>
    <row r="278" spans="1:48" ht="65.25" customHeight="1" x14ac:dyDescent="0.25">
      <c r="A278" s="632"/>
      <c r="B278" s="663"/>
      <c r="C278" s="634"/>
      <c r="D278" s="635"/>
      <c r="E278" s="622"/>
      <c r="F278" s="622"/>
      <c r="G278" s="622"/>
      <c r="H278" s="623"/>
      <c r="I278" s="623"/>
      <c r="J278" s="622" t="s">
        <v>639</v>
      </c>
      <c r="K278" s="125" t="s">
        <v>635</v>
      </c>
      <c r="L278" s="125" t="s">
        <v>636</v>
      </c>
      <c r="M278" s="105">
        <v>11520</v>
      </c>
      <c r="N278" s="105">
        <v>10857</v>
      </c>
      <c r="O278" s="105"/>
      <c r="P278" s="125"/>
      <c r="Q278" s="132">
        <v>2554</v>
      </c>
      <c r="R278" s="132">
        <v>2621</v>
      </c>
      <c r="S278" s="132">
        <v>0</v>
      </c>
      <c r="T278" s="132">
        <v>0</v>
      </c>
      <c r="U278" s="274">
        <v>0</v>
      </c>
      <c r="V278" s="290">
        <v>333</v>
      </c>
      <c r="W278" s="132">
        <v>0</v>
      </c>
      <c r="X278" s="132">
        <v>0</v>
      </c>
      <c r="Y278" s="132">
        <v>734</v>
      </c>
      <c r="Z278" s="132">
        <v>1393</v>
      </c>
      <c r="AA278" s="132">
        <v>300</v>
      </c>
      <c r="AB278" s="132">
        <v>2170</v>
      </c>
      <c r="AC278" s="132"/>
      <c r="AD278" s="132"/>
      <c r="AE278" s="290"/>
      <c r="AF278" s="141">
        <f>+R278+S278+T278+V278+Y278+Z278+AA278+AB278</f>
        <v>7551</v>
      </c>
      <c r="AG278" s="125"/>
      <c r="AH278" s="314">
        <f>+(AF278/M278)</f>
        <v>0.65546875000000004</v>
      </c>
      <c r="AI278" s="598">
        <f t="shared" si="4"/>
        <v>0.65546875000000004</v>
      </c>
      <c r="AJ278" s="125"/>
      <c r="AK278" s="619">
        <v>34000000</v>
      </c>
      <c r="AL278" s="131"/>
      <c r="AM278" s="131"/>
      <c r="AN278" s="131"/>
      <c r="AO278" s="131"/>
      <c r="AP278" s="131"/>
      <c r="AQ278" s="131"/>
      <c r="AR278" s="131"/>
      <c r="AS278" s="131"/>
      <c r="AT278" s="678">
        <v>34000000</v>
      </c>
      <c r="AU278" s="694">
        <f>+AT278/AK278</f>
        <v>1</v>
      </c>
      <c r="AV278" s="144"/>
    </row>
    <row r="279" spans="1:48" ht="107.25" customHeight="1" x14ac:dyDescent="0.25">
      <c r="A279" s="632"/>
      <c r="B279" s="663"/>
      <c r="C279" s="634"/>
      <c r="D279" s="635"/>
      <c r="E279" s="622"/>
      <c r="F279" s="622"/>
      <c r="G279" s="622"/>
      <c r="H279" s="623"/>
      <c r="I279" s="623"/>
      <c r="J279" s="622"/>
      <c r="K279" s="125" t="s">
        <v>637</v>
      </c>
      <c r="L279" s="125" t="s">
        <v>638</v>
      </c>
      <c r="M279" s="105">
        <v>2000</v>
      </c>
      <c r="N279" s="105">
        <v>0</v>
      </c>
      <c r="O279" s="105"/>
      <c r="P279" s="125"/>
      <c r="Q279" s="132">
        <v>0</v>
      </c>
      <c r="R279" s="132">
        <v>251</v>
      </c>
      <c r="S279" s="132">
        <v>0</v>
      </c>
      <c r="T279" s="132">
        <v>116</v>
      </c>
      <c r="U279" s="274">
        <v>695</v>
      </c>
      <c r="V279" s="290">
        <v>114</v>
      </c>
      <c r="W279" s="132">
        <v>0</v>
      </c>
      <c r="X279" s="132">
        <v>0</v>
      </c>
      <c r="Y279" s="132">
        <v>275</v>
      </c>
      <c r="Z279" s="132">
        <v>1646</v>
      </c>
      <c r="AA279" s="132">
        <v>3400</v>
      </c>
      <c r="AB279" s="132">
        <v>1796</v>
      </c>
      <c r="AC279" s="132"/>
      <c r="AD279" s="132"/>
      <c r="AE279" s="290"/>
      <c r="AF279" s="141">
        <f>+R279+S279+T279+U279+V279+Y279+Z279+AA279+AB279</f>
        <v>8293</v>
      </c>
      <c r="AG279" s="125"/>
      <c r="AH279" s="314">
        <v>1</v>
      </c>
      <c r="AI279" s="598">
        <f t="shared" si="4"/>
        <v>1</v>
      </c>
      <c r="AJ279" s="125"/>
      <c r="AK279" s="620"/>
      <c r="AL279" s="143"/>
      <c r="AM279" s="143"/>
      <c r="AN279" s="143"/>
      <c r="AO279" s="143"/>
      <c r="AP279" s="143"/>
      <c r="AQ279" s="143"/>
      <c r="AR279" s="143"/>
      <c r="AS279" s="143"/>
      <c r="AT279" s="680"/>
      <c r="AU279" s="696"/>
      <c r="AV279" s="144"/>
    </row>
    <row r="280" spans="1:48" ht="62.25" customHeight="1" x14ac:dyDescent="0.25">
      <c r="A280" s="632"/>
      <c r="B280" s="663"/>
      <c r="C280" s="634"/>
      <c r="D280" s="635"/>
      <c r="E280" s="622"/>
      <c r="F280" s="622"/>
      <c r="G280" s="622"/>
      <c r="H280" s="623"/>
      <c r="I280" s="623"/>
      <c r="J280" s="622"/>
      <c r="K280" s="125"/>
      <c r="L280" s="125"/>
      <c r="M280" s="105"/>
      <c r="N280" s="105"/>
      <c r="O280" s="105"/>
      <c r="P280" s="125"/>
      <c r="Q280" s="132"/>
      <c r="R280" s="132"/>
      <c r="S280" s="132"/>
      <c r="T280" s="132"/>
      <c r="U280" s="274"/>
      <c r="V280" s="290"/>
      <c r="W280" s="132"/>
      <c r="X280" s="132"/>
      <c r="Y280" s="132"/>
      <c r="Z280" s="132"/>
      <c r="AA280" s="132"/>
      <c r="AB280" s="132"/>
      <c r="AC280" s="132"/>
      <c r="AD280" s="132"/>
      <c r="AE280" s="290"/>
      <c r="AF280" s="141"/>
      <c r="AG280" s="125"/>
      <c r="AH280" s="150">
        <f>AVERAGE(AH278:AH279)</f>
        <v>0.82773437500000002</v>
      </c>
      <c r="AI280" s="598">
        <f t="shared" si="4"/>
        <v>0.82773437500000002</v>
      </c>
      <c r="AJ280" s="125"/>
      <c r="AK280" s="143"/>
      <c r="AL280" s="143"/>
      <c r="AM280" s="143"/>
      <c r="AN280" s="143"/>
      <c r="AO280" s="143"/>
      <c r="AP280" s="143"/>
      <c r="AQ280" s="143"/>
      <c r="AR280" s="143"/>
      <c r="AS280" s="143"/>
      <c r="AT280" s="143"/>
      <c r="AU280" s="143"/>
      <c r="AV280" s="144"/>
    </row>
    <row r="281" spans="1:48" ht="109.5" customHeight="1" x14ac:dyDescent="0.25">
      <c r="A281" s="632"/>
      <c r="B281" s="663"/>
      <c r="C281" s="634"/>
      <c r="D281" s="635"/>
      <c r="E281" s="622"/>
      <c r="F281" s="622"/>
      <c r="G281" s="622"/>
      <c r="H281" s="623"/>
      <c r="I281" s="623"/>
      <c r="J281" s="622" t="s">
        <v>640</v>
      </c>
      <c r="K281" s="125" t="s">
        <v>641</v>
      </c>
      <c r="L281" s="125" t="s">
        <v>642</v>
      </c>
      <c r="M281" s="105">
        <v>6412</v>
      </c>
      <c r="N281" s="105">
        <v>3523</v>
      </c>
      <c r="O281" s="105"/>
      <c r="P281" s="125"/>
      <c r="Q281" s="132">
        <v>1106</v>
      </c>
      <c r="R281" s="132">
        <v>1663</v>
      </c>
      <c r="S281" s="216">
        <f>SUM('[1]Plan indicativo-2017 PES - PR'!$V$11+'[1]Plan indicativo-2017 PES - PR'!$W$11)</f>
        <v>349</v>
      </c>
      <c r="T281" s="132">
        <v>1786</v>
      </c>
      <c r="U281" s="274">
        <v>1252</v>
      </c>
      <c r="V281" s="290">
        <v>477</v>
      </c>
      <c r="W281" s="132">
        <v>0</v>
      </c>
      <c r="X281" s="132">
        <v>0</v>
      </c>
      <c r="Y281" s="132">
        <v>1263</v>
      </c>
      <c r="Z281" s="132">
        <v>3470</v>
      </c>
      <c r="AA281" s="132">
        <v>2681</v>
      </c>
      <c r="AB281" s="132">
        <v>1554</v>
      </c>
      <c r="AC281" s="132"/>
      <c r="AD281" s="132"/>
      <c r="AE281" s="290"/>
      <c r="AF281" s="147">
        <f>+R281+T281+U281+V281+Y281+Z281+AA281+AB281</f>
        <v>14146</v>
      </c>
      <c r="AG281" s="125"/>
      <c r="AH281" s="314">
        <v>1</v>
      </c>
      <c r="AI281" s="598">
        <f t="shared" si="4"/>
        <v>1</v>
      </c>
      <c r="AJ281" s="125"/>
      <c r="AK281" s="619">
        <v>80000000</v>
      </c>
      <c r="AL281" s="148"/>
      <c r="AM281" s="148"/>
      <c r="AN281" s="148"/>
      <c r="AO281" s="148"/>
      <c r="AP281" s="148"/>
      <c r="AQ281" s="148"/>
      <c r="AR281" s="148"/>
      <c r="AS281" s="148"/>
      <c r="AT281" s="619">
        <v>42100000</v>
      </c>
      <c r="AU281" s="617">
        <f>+AT281/AK281</f>
        <v>0.52625</v>
      </c>
      <c r="AV281" s="144"/>
    </row>
    <row r="282" spans="1:48" ht="75" x14ac:dyDescent="0.25">
      <c r="A282" s="632"/>
      <c r="B282" s="663"/>
      <c r="C282" s="634"/>
      <c r="D282" s="635"/>
      <c r="E282" s="622"/>
      <c r="F282" s="622"/>
      <c r="G282" s="622"/>
      <c r="H282" s="623"/>
      <c r="I282" s="623"/>
      <c r="J282" s="622"/>
      <c r="K282" s="125" t="s">
        <v>643</v>
      </c>
      <c r="L282" s="125" t="s">
        <v>644</v>
      </c>
      <c r="M282" s="105">
        <v>5140</v>
      </c>
      <c r="N282" s="105">
        <v>2984</v>
      </c>
      <c r="O282" s="105"/>
      <c r="P282" s="125"/>
      <c r="Q282" s="132">
        <v>81</v>
      </c>
      <c r="R282" s="132">
        <v>1081</v>
      </c>
      <c r="S282" s="216">
        <f>SUM('[1]Plan indicativo-2017 PES - PR'!$V$12+'[1]Plan indicativo-2017 PES - PR'!$W$12)</f>
        <v>1234</v>
      </c>
      <c r="T282" s="132">
        <v>1354</v>
      </c>
      <c r="U282" s="274">
        <v>57</v>
      </c>
      <c r="V282" s="290">
        <v>224</v>
      </c>
      <c r="W282" s="132">
        <v>0</v>
      </c>
      <c r="X282" s="132">
        <v>0</v>
      </c>
      <c r="Y282" s="132">
        <v>11</v>
      </c>
      <c r="Z282" s="132">
        <v>1775</v>
      </c>
      <c r="AA282" s="132">
        <v>234</v>
      </c>
      <c r="AB282" s="132">
        <v>543</v>
      </c>
      <c r="AC282" s="132"/>
      <c r="AD282" s="132"/>
      <c r="AE282" s="290"/>
      <c r="AF282" s="147">
        <f>+R282+T282+U282+V282+Y282+Z282+AA282+AB282</f>
        <v>5279</v>
      </c>
      <c r="AG282" s="125"/>
      <c r="AH282" s="314">
        <v>1</v>
      </c>
      <c r="AI282" s="598">
        <f t="shared" si="4"/>
        <v>1</v>
      </c>
      <c r="AJ282" s="125"/>
      <c r="AK282" s="620"/>
      <c r="AL282" s="148"/>
      <c r="AM282" s="148"/>
      <c r="AN282" s="148"/>
      <c r="AO282" s="148"/>
      <c r="AP282" s="148"/>
      <c r="AQ282" s="148"/>
      <c r="AR282" s="148"/>
      <c r="AS282" s="148"/>
      <c r="AT282" s="620"/>
      <c r="AU282" s="618"/>
      <c r="AV282" s="144"/>
    </row>
    <row r="283" spans="1:48" ht="47.25" customHeight="1" x14ac:dyDescent="0.25">
      <c r="A283" s="632"/>
      <c r="B283" s="663"/>
      <c r="C283" s="634"/>
      <c r="D283" s="635"/>
      <c r="E283" s="622"/>
      <c r="F283" s="622"/>
      <c r="G283" s="622"/>
      <c r="H283" s="623"/>
      <c r="I283" s="623"/>
      <c r="J283" s="622"/>
      <c r="K283" s="125"/>
      <c r="L283" s="125"/>
      <c r="M283" s="105"/>
      <c r="N283" s="105"/>
      <c r="O283" s="105"/>
      <c r="P283" s="125"/>
      <c r="Q283" s="109"/>
      <c r="R283" s="109"/>
      <c r="S283" s="109"/>
      <c r="T283" s="109"/>
      <c r="U283" s="274"/>
      <c r="V283" s="290"/>
      <c r="W283" s="109"/>
      <c r="X283" s="109"/>
      <c r="Y283" s="109"/>
      <c r="Z283" s="109"/>
      <c r="AA283" s="109"/>
      <c r="AB283" s="109"/>
      <c r="AC283" s="109"/>
      <c r="AD283" s="109"/>
      <c r="AE283" s="290"/>
      <c r="AF283" s="141"/>
      <c r="AG283" s="125"/>
      <c r="AH283" s="150">
        <f>AVERAGE(AH281:AH282)</f>
        <v>1</v>
      </c>
      <c r="AI283" s="598">
        <f t="shared" si="4"/>
        <v>1</v>
      </c>
      <c r="AJ283" s="125"/>
      <c r="AK283" s="143"/>
      <c r="AL283" s="143"/>
      <c r="AM283" s="143"/>
      <c r="AN283" s="143"/>
      <c r="AO283" s="143"/>
      <c r="AP283" s="143"/>
      <c r="AQ283" s="143"/>
      <c r="AR283" s="143"/>
      <c r="AS283" s="143"/>
      <c r="AT283" s="143"/>
      <c r="AU283" s="143"/>
      <c r="AV283" s="144"/>
    </row>
    <row r="284" spans="1:48" ht="45" x14ac:dyDescent="0.25">
      <c r="A284" s="632"/>
      <c r="B284" s="663"/>
      <c r="C284" s="634"/>
      <c r="D284" s="635"/>
      <c r="E284" s="622"/>
      <c r="F284" s="622"/>
      <c r="G284" s="622"/>
      <c r="H284" s="623"/>
      <c r="I284" s="623"/>
      <c r="J284" s="622" t="s">
        <v>645</v>
      </c>
      <c r="K284" s="329" t="s">
        <v>646</v>
      </c>
      <c r="L284" s="329" t="s">
        <v>647</v>
      </c>
      <c r="M284" s="449">
        <v>500</v>
      </c>
      <c r="N284" s="449">
        <v>500</v>
      </c>
      <c r="O284" s="449"/>
      <c r="P284" s="329"/>
      <c r="Q284" s="328">
        <v>0</v>
      </c>
      <c r="R284" s="328">
        <v>158</v>
      </c>
      <c r="S284" s="328">
        <v>0</v>
      </c>
      <c r="T284" s="328">
        <v>97</v>
      </c>
      <c r="U284" s="328">
        <v>22</v>
      </c>
      <c r="V284" s="328">
        <v>61</v>
      </c>
      <c r="W284" s="328">
        <v>0</v>
      </c>
      <c r="X284" s="328">
        <v>0</v>
      </c>
      <c r="Y284" s="328">
        <v>111</v>
      </c>
      <c r="Z284" s="328">
        <v>4401</v>
      </c>
      <c r="AA284" s="328">
        <v>331</v>
      </c>
      <c r="AB284" s="328">
        <v>600</v>
      </c>
      <c r="AC284" s="328"/>
      <c r="AD284" s="328"/>
      <c r="AE284" s="328"/>
      <c r="AF284" s="313">
        <f>+O284+P284+Q284+R284+S284+T284+U284+V284+W284+X284+Y284+Z284+AA284+AB284+AC284+AD284</f>
        <v>5781</v>
      </c>
      <c r="AG284" s="329"/>
      <c r="AH284" s="312">
        <v>1</v>
      </c>
      <c r="AI284" s="598">
        <f t="shared" si="4"/>
        <v>1</v>
      </c>
      <c r="AJ284" s="125"/>
      <c r="AK284" s="217">
        <v>1000102867</v>
      </c>
      <c r="AL284" s="203"/>
      <c r="AM284" s="203"/>
      <c r="AN284" s="203"/>
      <c r="AO284" s="203"/>
      <c r="AP284" s="203"/>
      <c r="AQ284" s="203"/>
      <c r="AR284" s="203"/>
      <c r="AS284" s="203"/>
      <c r="AT284" s="217">
        <v>721377500</v>
      </c>
      <c r="AU284" s="212">
        <f>+AT284/AK284</f>
        <v>0.72130330169326473</v>
      </c>
      <c r="AV284" s="144"/>
    </row>
    <row r="285" spans="1:48" ht="39.75" customHeight="1" x14ac:dyDescent="0.25">
      <c r="A285" s="632"/>
      <c r="B285" s="663"/>
      <c r="C285" s="634"/>
      <c r="D285" s="635"/>
      <c r="E285" s="622"/>
      <c r="F285" s="622"/>
      <c r="G285" s="622"/>
      <c r="H285" s="623"/>
      <c r="I285" s="623"/>
      <c r="J285" s="622"/>
      <c r="K285" s="125"/>
      <c r="L285" s="125"/>
      <c r="M285" s="105"/>
      <c r="N285" s="105"/>
      <c r="O285" s="105"/>
      <c r="P285" s="125"/>
      <c r="Q285" s="109"/>
      <c r="R285" s="109"/>
      <c r="S285" s="109"/>
      <c r="T285" s="109"/>
      <c r="U285" s="274"/>
      <c r="V285" s="290"/>
      <c r="W285" s="109"/>
      <c r="X285" s="109"/>
      <c r="Y285" s="109"/>
      <c r="Z285" s="109"/>
      <c r="AA285" s="109"/>
      <c r="AB285" s="109"/>
      <c r="AC285" s="109"/>
      <c r="AD285" s="109"/>
      <c r="AE285" s="290"/>
      <c r="AF285" s="141"/>
      <c r="AG285" s="125"/>
      <c r="AH285" s="150">
        <f>+AH284</f>
        <v>1</v>
      </c>
      <c r="AI285" s="598">
        <f t="shared" si="4"/>
        <v>1</v>
      </c>
      <c r="AJ285" s="125"/>
      <c r="AK285" s="143"/>
      <c r="AL285" s="143"/>
      <c r="AM285" s="143"/>
      <c r="AN285" s="143"/>
      <c r="AO285" s="143"/>
      <c r="AP285" s="143"/>
      <c r="AQ285" s="143"/>
      <c r="AR285" s="143"/>
      <c r="AS285" s="143"/>
      <c r="AT285" s="143"/>
      <c r="AU285" s="143"/>
      <c r="AV285" s="144"/>
    </row>
    <row r="286" spans="1:48" ht="45" customHeight="1" x14ac:dyDescent="0.25">
      <c r="A286" s="632"/>
      <c r="B286" s="663"/>
      <c r="C286" s="634"/>
      <c r="D286" s="635"/>
      <c r="E286" s="622"/>
      <c r="F286" s="622"/>
      <c r="G286" s="622"/>
      <c r="H286" s="623"/>
      <c r="I286" s="623"/>
      <c r="J286" s="622" t="s">
        <v>654</v>
      </c>
      <c r="K286" s="125" t="s">
        <v>648</v>
      </c>
      <c r="L286" s="125" t="s">
        <v>649</v>
      </c>
      <c r="M286" s="105">
        <v>1704</v>
      </c>
      <c r="N286" s="105">
        <v>171</v>
      </c>
      <c r="O286" s="105"/>
      <c r="P286" s="125"/>
      <c r="Q286" s="271">
        <v>0</v>
      </c>
      <c r="R286" s="132">
        <v>6</v>
      </c>
      <c r="S286" s="216">
        <v>0</v>
      </c>
      <c r="T286" s="271">
        <v>39</v>
      </c>
      <c r="U286" s="274"/>
      <c r="V286" s="290">
        <v>266</v>
      </c>
      <c r="W286" s="326">
        <v>3</v>
      </c>
      <c r="X286" s="326">
        <v>0</v>
      </c>
      <c r="Y286" s="327">
        <v>0</v>
      </c>
      <c r="Z286" s="132">
        <v>0</v>
      </c>
      <c r="AA286" s="132">
        <v>10</v>
      </c>
      <c r="AB286" s="132">
        <v>218</v>
      </c>
      <c r="AC286" s="132"/>
      <c r="AD286" s="132"/>
      <c r="AE286" s="290"/>
      <c r="AF286" s="147">
        <f>+O286+P286+Q286+R286+S286+T286+U286+V286+W286+X286+Y286+Z286+AA286+AB286+AC286+AD286</f>
        <v>542</v>
      </c>
      <c r="AG286" s="125"/>
      <c r="AH286" s="314">
        <f>+(AF286/M286)</f>
        <v>0.318075117370892</v>
      </c>
      <c r="AI286" s="598">
        <f t="shared" si="4"/>
        <v>0.318075117370892</v>
      </c>
      <c r="AJ286" s="125"/>
      <c r="AK286" s="143"/>
      <c r="AL286" s="143"/>
      <c r="AM286" s="143"/>
      <c r="AN286" s="143"/>
      <c r="AO286" s="143"/>
      <c r="AP286" s="143"/>
      <c r="AQ286" s="143"/>
      <c r="AR286" s="143"/>
      <c r="AS286" s="143"/>
      <c r="AT286" s="143"/>
      <c r="AU286" s="143"/>
      <c r="AV286" s="144"/>
    </row>
    <row r="287" spans="1:48" ht="45" x14ac:dyDescent="0.25">
      <c r="A287" s="632"/>
      <c r="B287" s="663"/>
      <c r="C287" s="634"/>
      <c r="D287" s="635"/>
      <c r="E287" s="622"/>
      <c r="F287" s="622"/>
      <c r="G287" s="622"/>
      <c r="H287" s="623"/>
      <c r="I287" s="623"/>
      <c r="J287" s="622"/>
      <c r="K287" s="125" t="s">
        <v>650</v>
      </c>
      <c r="L287" s="125" t="s">
        <v>651</v>
      </c>
      <c r="M287" s="105">
        <v>2556</v>
      </c>
      <c r="N287" s="105">
        <v>4550</v>
      </c>
      <c r="O287" s="105"/>
      <c r="P287" s="125"/>
      <c r="Q287" s="271">
        <v>0</v>
      </c>
      <c r="R287" s="132">
        <v>229</v>
      </c>
      <c r="S287" s="273">
        <v>0</v>
      </c>
      <c r="T287" s="132">
        <v>27</v>
      </c>
      <c r="U287" s="274">
        <v>931</v>
      </c>
      <c r="V287" s="290">
        <v>31</v>
      </c>
      <c r="W287" s="132">
        <v>0</v>
      </c>
      <c r="X287" s="132">
        <v>0</v>
      </c>
      <c r="Y287" s="132">
        <v>0</v>
      </c>
      <c r="Z287" s="132">
        <v>54</v>
      </c>
      <c r="AA287" s="132">
        <v>21</v>
      </c>
      <c r="AB287" s="132">
        <v>11</v>
      </c>
      <c r="AC287" s="132"/>
      <c r="AD287" s="132"/>
      <c r="AE287" s="290"/>
      <c r="AF287" s="147">
        <f>+O287+P287+Q287+R287+S287+T287+U287+V287+W287+X287+Y287+Z287+AA287+AB287+AC287+AD287</f>
        <v>1304</v>
      </c>
      <c r="AG287" s="125"/>
      <c r="AH287" s="314">
        <f>+(AF287/M287)</f>
        <v>0.51017214397496091</v>
      </c>
      <c r="AI287" s="598">
        <f t="shared" si="4"/>
        <v>0.51017214397496091</v>
      </c>
      <c r="AJ287" s="125"/>
      <c r="AK287" s="690">
        <v>494000000</v>
      </c>
      <c r="AL287" s="203"/>
      <c r="AM287" s="203"/>
      <c r="AN287" s="203"/>
      <c r="AO287" s="203"/>
      <c r="AP287" s="203"/>
      <c r="AQ287" s="203"/>
      <c r="AR287" s="203"/>
      <c r="AS287" s="203"/>
      <c r="AT287" s="690">
        <v>490900000</v>
      </c>
      <c r="AU287" s="617">
        <f>+AT287/AK287</f>
        <v>0.99372469635627525</v>
      </c>
      <c r="AV287" s="144"/>
    </row>
    <row r="288" spans="1:48" ht="60" x14ac:dyDescent="0.25">
      <c r="A288" s="632"/>
      <c r="B288" s="663"/>
      <c r="C288" s="634"/>
      <c r="D288" s="635"/>
      <c r="E288" s="622"/>
      <c r="F288" s="622"/>
      <c r="G288" s="622"/>
      <c r="H288" s="623"/>
      <c r="I288" s="623"/>
      <c r="J288" s="622"/>
      <c r="K288" s="125" t="s">
        <v>652</v>
      </c>
      <c r="L288" s="125" t="s">
        <v>653</v>
      </c>
      <c r="M288" s="105">
        <v>4261</v>
      </c>
      <c r="N288" s="105">
        <v>2792</v>
      </c>
      <c r="O288" s="105"/>
      <c r="P288" s="125"/>
      <c r="Q288" s="132">
        <v>0</v>
      </c>
      <c r="R288" s="132">
        <v>431</v>
      </c>
      <c r="S288" s="273">
        <v>0</v>
      </c>
      <c r="T288" s="271">
        <v>210</v>
      </c>
      <c r="U288" s="279">
        <v>106</v>
      </c>
      <c r="V288" s="290">
        <v>312</v>
      </c>
      <c r="W288" s="300">
        <v>0</v>
      </c>
      <c r="X288" s="300">
        <v>0</v>
      </c>
      <c r="Y288" s="300">
        <v>0</v>
      </c>
      <c r="Z288" s="436">
        <v>0</v>
      </c>
      <c r="AA288" s="109">
        <v>0</v>
      </c>
      <c r="AB288" s="109">
        <v>65</v>
      </c>
      <c r="AC288" s="109"/>
      <c r="AD288" s="109"/>
      <c r="AE288" s="290"/>
      <c r="AF288" s="147">
        <f>+O288+P288+Q288+R288+S288+T288+U288+V288+W288+X288+Y288+Z288+AA288+AB288+AC288+AD288</f>
        <v>1124</v>
      </c>
      <c r="AG288" s="125"/>
      <c r="AH288" s="314">
        <f>+(AF288/M288)</f>
        <v>0.26378784322928889</v>
      </c>
      <c r="AI288" s="598">
        <f t="shared" si="4"/>
        <v>0.26378784322928889</v>
      </c>
      <c r="AJ288" s="125"/>
      <c r="AK288" s="692"/>
      <c r="AL288" s="143"/>
      <c r="AM288" s="143"/>
      <c r="AN288" s="143"/>
      <c r="AO288" s="143"/>
      <c r="AP288" s="143"/>
      <c r="AQ288" s="143"/>
      <c r="AR288" s="143"/>
      <c r="AS288" s="143"/>
      <c r="AT288" s="692"/>
      <c r="AU288" s="618"/>
      <c r="AV288" s="144"/>
    </row>
    <row r="289" spans="1:48" ht="52.5" customHeight="1" x14ac:dyDescent="0.25">
      <c r="A289" s="632"/>
      <c r="B289" s="663"/>
      <c r="C289" s="634"/>
      <c r="D289" s="635"/>
      <c r="E289" s="622"/>
      <c r="F289" s="622"/>
      <c r="G289" s="622"/>
      <c r="H289" s="623"/>
      <c r="I289" s="623"/>
      <c r="J289" s="622"/>
      <c r="K289" s="125"/>
      <c r="L289" s="125"/>
      <c r="M289" s="105"/>
      <c r="N289" s="105"/>
      <c r="O289" s="105"/>
      <c r="P289" s="125"/>
      <c r="Q289" s="109"/>
      <c r="R289" s="109"/>
      <c r="S289" s="109"/>
      <c r="T289" s="109"/>
      <c r="U289" s="274"/>
      <c r="V289" s="290"/>
      <c r="W289" s="109"/>
      <c r="X289" s="109"/>
      <c r="Y289" s="109"/>
      <c r="Z289" s="109"/>
      <c r="AA289" s="109"/>
      <c r="AB289" s="109"/>
      <c r="AC289" s="109"/>
      <c r="AD289" s="109"/>
      <c r="AE289" s="290"/>
      <c r="AF289" s="141"/>
      <c r="AG289" s="125"/>
      <c r="AH289" s="150">
        <f>AVERAGE(AH286:AH288)</f>
        <v>0.36401170152504725</v>
      </c>
      <c r="AI289" s="598">
        <f t="shared" si="4"/>
        <v>0.36401170152504725</v>
      </c>
      <c r="AJ289" s="125"/>
      <c r="AK289" s="143"/>
      <c r="AL289" s="143"/>
      <c r="AM289" s="143"/>
      <c r="AN289" s="143"/>
      <c r="AO289" s="143"/>
      <c r="AP289" s="143"/>
      <c r="AQ289" s="143"/>
      <c r="AR289" s="143"/>
      <c r="AS289" s="143"/>
      <c r="AT289" s="143"/>
      <c r="AU289" s="143"/>
      <c r="AV289" s="144"/>
    </row>
    <row r="290" spans="1:48" ht="70.5" customHeight="1" x14ac:dyDescent="0.25">
      <c r="A290" s="632"/>
      <c r="B290" s="663"/>
      <c r="C290" s="634"/>
      <c r="D290" s="635"/>
      <c r="E290" s="622"/>
      <c r="F290" s="622"/>
      <c r="G290" s="622"/>
      <c r="H290" s="623"/>
      <c r="I290" s="623"/>
      <c r="J290" s="622" t="s">
        <v>655</v>
      </c>
      <c r="K290" s="125" t="s">
        <v>656</v>
      </c>
      <c r="L290" s="125" t="s">
        <v>657</v>
      </c>
      <c r="M290" s="105">
        <v>13374</v>
      </c>
      <c r="N290" s="105">
        <v>12897</v>
      </c>
      <c r="O290" s="105"/>
      <c r="P290" s="125"/>
      <c r="Q290" s="132">
        <v>834</v>
      </c>
      <c r="R290" s="132">
        <v>1134</v>
      </c>
      <c r="S290" s="216">
        <v>0</v>
      </c>
      <c r="T290" s="132">
        <v>2112</v>
      </c>
      <c r="U290" s="274">
        <v>346</v>
      </c>
      <c r="V290" s="290">
        <v>0</v>
      </c>
      <c r="W290" s="132">
        <v>0</v>
      </c>
      <c r="X290" s="132">
        <v>0</v>
      </c>
      <c r="Y290" s="132">
        <v>103</v>
      </c>
      <c r="Z290" s="132">
        <v>429</v>
      </c>
      <c r="AA290" s="132">
        <v>8079</v>
      </c>
      <c r="AB290" s="132">
        <v>72</v>
      </c>
      <c r="AC290" s="132"/>
      <c r="AD290" s="132"/>
      <c r="AE290" s="290"/>
      <c r="AF290" s="147">
        <f>+S290+T290+R290+Q290+U290+W290+X290+Y290+Z290+AA290+AB290</f>
        <v>13109</v>
      </c>
      <c r="AG290" s="125"/>
      <c r="AH290" s="314">
        <f>+(AF290/M290)</f>
        <v>0.98018543442500372</v>
      </c>
      <c r="AI290" s="598">
        <f t="shared" si="4"/>
        <v>0.98018543442500372</v>
      </c>
      <c r="AJ290" s="125"/>
      <c r="AK290" s="619">
        <v>637000000</v>
      </c>
      <c r="AL290" s="148"/>
      <c r="AM290" s="148"/>
      <c r="AN290" s="148"/>
      <c r="AO290" s="148"/>
      <c r="AP290" s="148"/>
      <c r="AQ290" s="148"/>
      <c r="AR290" s="148"/>
      <c r="AS290" s="148"/>
      <c r="AT290" s="619">
        <v>136020000</v>
      </c>
      <c r="AU290" s="617">
        <f>+AT290/AK290</f>
        <v>0.21353218210361066</v>
      </c>
      <c r="AV290" s="144"/>
    </row>
    <row r="291" spans="1:48" ht="72.75" customHeight="1" x14ac:dyDescent="0.25">
      <c r="A291" s="632"/>
      <c r="B291" s="663"/>
      <c r="C291" s="634"/>
      <c r="D291" s="635"/>
      <c r="E291" s="622"/>
      <c r="F291" s="622"/>
      <c r="G291" s="622"/>
      <c r="H291" s="623"/>
      <c r="I291" s="623"/>
      <c r="J291" s="622"/>
      <c r="K291" s="125" t="s">
        <v>658</v>
      </c>
      <c r="L291" s="125" t="s">
        <v>659</v>
      </c>
      <c r="M291" s="105">
        <v>8</v>
      </c>
      <c r="N291" s="105">
        <v>0</v>
      </c>
      <c r="O291" s="105"/>
      <c r="P291" s="125"/>
      <c r="Q291" s="132">
        <v>0</v>
      </c>
      <c r="R291" s="132">
        <v>1</v>
      </c>
      <c r="S291" s="216">
        <v>0</v>
      </c>
      <c r="T291" s="132">
        <v>1</v>
      </c>
      <c r="U291" s="279">
        <v>1</v>
      </c>
      <c r="V291" s="290">
        <v>1</v>
      </c>
      <c r="W291" s="132">
        <v>0</v>
      </c>
      <c r="X291" s="132">
        <v>0</v>
      </c>
      <c r="Y291" s="132">
        <v>1</v>
      </c>
      <c r="Z291" s="132">
        <v>2</v>
      </c>
      <c r="AA291" s="132">
        <v>0</v>
      </c>
      <c r="AB291" s="132">
        <v>2</v>
      </c>
      <c r="AC291" s="132"/>
      <c r="AD291" s="132"/>
      <c r="AE291" s="290"/>
      <c r="AF291" s="147">
        <f>+O291+P291+Q291+R291+S291+T291+U291+V291+W291+X291+Y291+Z291+AA291+AB291+AC291+AD291</f>
        <v>9</v>
      </c>
      <c r="AG291" s="125"/>
      <c r="AH291" s="314">
        <v>1</v>
      </c>
      <c r="AI291" s="598">
        <f t="shared" si="4"/>
        <v>1</v>
      </c>
      <c r="AJ291" s="125"/>
      <c r="AK291" s="620"/>
      <c r="AL291" s="148"/>
      <c r="AM291" s="148"/>
      <c r="AN291" s="148"/>
      <c r="AO291" s="148"/>
      <c r="AP291" s="148"/>
      <c r="AQ291" s="148"/>
      <c r="AR291" s="148"/>
      <c r="AS291" s="148"/>
      <c r="AT291" s="620"/>
      <c r="AU291" s="618"/>
      <c r="AV291" s="144"/>
    </row>
    <row r="292" spans="1:48" ht="54.75" customHeight="1" x14ac:dyDescent="0.25">
      <c r="A292" s="632"/>
      <c r="B292" s="663"/>
      <c r="C292" s="634"/>
      <c r="D292" s="635"/>
      <c r="E292" s="622"/>
      <c r="F292" s="622"/>
      <c r="G292" s="622"/>
      <c r="H292" s="623"/>
      <c r="I292" s="623"/>
      <c r="J292" s="622"/>
      <c r="K292" s="125"/>
      <c r="L292" s="125"/>
      <c r="M292" s="105"/>
      <c r="N292" s="105"/>
      <c r="O292" s="105"/>
      <c r="P292" s="125"/>
      <c r="Q292" s="109"/>
      <c r="R292" s="109"/>
      <c r="S292" s="109"/>
      <c r="T292" s="109"/>
      <c r="U292" s="274"/>
      <c r="V292" s="290"/>
      <c r="W292" s="109"/>
      <c r="X292" s="109"/>
      <c r="Y292" s="109"/>
      <c r="Z292" s="109"/>
      <c r="AA292" s="109"/>
      <c r="AB292" s="109"/>
      <c r="AC292" s="109"/>
      <c r="AD292" s="109"/>
      <c r="AE292" s="290"/>
      <c r="AF292" s="141"/>
      <c r="AG292" s="125"/>
      <c r="AH292" s="150">
        <f>AVERAGE(AH290:AH291)</f>
        <v>0.9900927172125018</v>
      </c>
      <c r="AI292" s="598">
        <f t="shared" si="4"/>
        <v>0.9900927172125018</v>
      </c>
      <c r="AJ292" s="125"/>
      <c r="AK292" s="143"/>
      <c r="AL292" s="143"/>
      <c r="AM292" s="143"/>
      <c r="AN292" s="143"/>
      <c r="AO292" s="143"/>
      <c r="AP292" s="143"/>
      <c r="AQ292" s="143"/>
      <c r="AR292" s="143"/>
      <c r="AS292" s="143"/>
      <c r="AT292" s="143"/>
      <c r="AU292" s="143"/>
      <c r="AV292" s="144"/>
    </row>
    <row r="293" spans="1:48" ht="90" customHeight="1" x14ac:dyDescent="0.25">
      <c r="A293" s="632"/>
      <c r="B293" s="663"/>
      <c r="C293" s="634"/>
      <c r="D293" s="635"/>
      <c r="E293" s="622"/>
      <c r="F293" s="622"/>
      <c r="G293" s="622"/>
      <c r="H293" s="623"/>
      <c r="I293" s="623"/>
      <c r="J293" s="622" t="s">
        <v>664</v>
      </c>
      <c r="K293" s="125" t="s">
        <v>660</v>
      </c>
      <c r="L293" s="125" t="s">
        <v>661</v>
      </c>
      <c r="M293" s="105">
        <v>9231</v>
      </c>
      <c r="N293" s="105">
        <v>3601</v>
      </c>
      <c r="O293" s="105"/>
      <c r="P293" s="125"/>
      <c r="Q293" s="132">
        <v>1062</v>
      </c>
      <c r="R293" s="132">
        <v>2063</v>
      </c>
      <c r="S293" s="216">
        <f>SUM('[1]Plan indicativo-2017 PES - PR'!$V$19+'[1]Plan indicativo-2017 PES - PR'!$W$19)</f>
        <v>745</v>
      </c>
      <c r="T293" s="132">
        <v>2112</v>
      </c>
      <c r="U293" s="274">
        <v>865</v>
      </c>
      <c r="V293" s="290">
        <v>328</v>
      </c>
      <c r="W293" s="132">
        <v>0</v>
      </c>
      <c r="X293" s="132">
        <v>0</v>
      </c>
      <c r="Y293" s="132">
        <v>359</v>
      </c>
      <c r="Z293" s="132">
        <v>610</v>
      </c>
      <c r="AA293" s="132">
        <v>1741</v>
      </c>
      <c r="AB293" s="132">
        <v>610</v>
      </c>
      <c r="AC293" s="132"/>
      <c r="AD293" s="132"/>
      <c r="AE293" s="290"/>
      <c r="AF293" s="147">
        <f>+R293+T293+U293+V293+Y293+Z293+AA293+AB293</f>
        <v>8688</v>
      </c>
      <c r="AG293" s="125"/>
      <c r="AH293" s="314">
        <f>+(AF293/M293)</f>
        <v>0.94117647058823528</v>
      </c>
      <c r="AI293" s="598">
        <f t="shared" si="4"/>
        <v>0.94117647058823528</v>
      </c>
      <c r="AJ293" s="125"/>
      <c r="AK293" s="619">
        <v>65000000</v>
      </c>
      <c r="AL293" s="148"/>
      <c r="AM293" s="148"/>
      <c r="AN293" s="148"/>
      <c r="AO293" s="148"/>
      <c r="AP293" s="148"/>
      <c r="AQ293" s="148"/>
      <c r="AR293" s="148"/>
      <c r="AS293" s="148"/>
      <c r="AT293" s="619">
        <v>44100000</v>
      </c>
      <c r="AU293" s="617">
        <f>+AT293/AK293</f>
        <v>0.67846153846153845</v>
      </c>
      <c r="AV293" s="144"/>
    </row>
    <row r="294" spans="1:48" ht="135" customHeight="1" x14ac:dyDescent="0.25">
      <c r="A294" s="632"/>
      <c r="B294" s="663"/>
      <c r="C294" s="634"/>
      <c r="D294" s="635"/>
      <c r="E294" s="622"/>
      <c r="F294" s="622"/>
      <c r="G294" s="622"/>
      <c r="H294" s="623"/>
      <c r="I294" s="623"/>
      <c r="J294" s="622"/>
      <c r="K294" s="109" t="s">
        <v>662</v>
      </c>
      <c r="L294" s="125" t="s">
        <v>663</v>
      </c>
      <c r="M294" s="105">
        <v>690</v>
      </c>
      <c r="N294" s="105">
        <v>181</v>
      </c>
      <c r="O294" s="105"/>
      <c r="P294" s="125"/>
      <c r="Q294" s="132">
        <v>139</v>
      </c>
      <c r="R294" s="132">
        <v>182</v>
      </c>
      <c r="S294" s="216">
        <f>SUM('[1]Plan indicativo-2017 PES - PR'!$U$20+'[1]Plan indicativo-2017 PES - PR'!$V$20+'[1]Plan indicativo-2017 PES - PR'!$W$20)</f>
        <v>63</v>
      </c>
      <c r="T294" s="132">
        <v>126</v>
      </c>
      <c r="U294" s="274">
        <v>21</v>
      </c>
      <c r="V294" s="290">
        <v>199</v>
      </c>
      <c r="W294" s="132">
        <v>0</v>
      </c>
      <c r="X294" s="132">
        <v>0</v>
      </c>
      <c r="Y294" s="132">
        <v>53</v>
      </c>
      <c r="Z294" s="132">
        <v>1295</v>
      </c>
      <c r="AA294" s="132">
        <v>436</v>
      </c>
      <c r="AB294" s="132">
        <v>232</v>
      </c>
      <c r="AC294" s="132"/>
      <c r="AD294" s="132"/>
      <c r="AE294" s="290"/>
      <c r="AF294" s="147">
        <f>+R294+T294+U294+V294+Y294+Z294+AA294+AB294</f>
        <v>2544</v>
      </c>
      <c r="AG294" s="125"/>
      <c r="AH294" s="314">
        <v>1</v>
      </c>
      <c r="AI294" s="598">
        <f t="shared" si="4"/>
        <v>1</v>
      </c>
      <c r="AJ294" s="125"/>
      <c r="AK294" s="620"/>
      <c r="AL294" s="148"/>
      <c r="AM294" s="148"/>
      <c r="AN294" s="148"/>
      <c r="AO294" s="148"/>
      <c r="AP294" s="148"/>
      <c r="AQ294" s="148"/>
      <c r="AR294" s="148"/>
      <c r="AS294" s="148"/>
      <c r="AT294" s="620"/>
      <c r="AU294" s="618"/>
      <c r="AV294" s="144"/>
    </row>
    <row r="295" spans="1:48" ht="135" customHeight="1" x14ac:dyDescent="0.25">
      <c r="A295" s="632"/>
      <c r="B295" s="663"/>
      <c r="C295" s="634"/>
      <c r="D295" s="635"/>
      <c r="E295" s="622"/>
      <c r="F295" s="622"/>
      <c r="G295" s="622"/>
      <c r="H295" s="623"/>
      <c r="I295" s="623"/>
      <c r="J295" s="622"/>
      <c r="K295" s="109"/>
      <c r="L295" s="125"/>
      <c r="M295" s="105"/>
      <c r="N295" s="105"/>
      <c r="O295" s="105"/>
      <c r="P295" s="125"/>
      <c r="Q295" s="109"/>
      <c r="R295" s="109"/>
      <c r="S295" s="109"/>
      <c r="T295" s="109"/>
      <c r="U295" s="274"/>
      <c r="V295" s="290"/>
      <c r="W295" s="109"/>
      <c r="X295" s="109"/>
      <c r="Y295" s="109"/>
      <c r="Z295" s="109"/>
      <c r="AA295" s="109"/>
      <c r="AB295" s="109"/>
      <c r="AC295" s="109"/>
      <c r="AD295" s="109"/>
      <c r="AE295" s="290"/>
      <c r="AF295" s="141"/>
      <c r="AG295" s="125"/>
      <c r="AH295" s="150">
        <f>AVERAGE(AH293:AH294)</f>
        <v>0.97058823529411764</v>
      </c>
      <c r="AI295" s="598">
        <f t="shared" si="4"/>
        <v>0.97058823529411764</v>
      </c>
      <c r="AJ295" s="125"/>
      <c r="AK295" s="143"/>
      <c r="AL295" s="143"/>
      <c r="AM295" s="143"/>
      <c r="AN295" s="143"/>
      <c r="AO295" s="143"/>
      <c r="AP295" s="143"/>
      <c r="AQ295" s="143"/>
      <c r="AR295" s="143"/>
      <c r="AS295" s="143"/>
      <c r="AT295" s="143"/>
      <c r="AU295" s="143"/>
      <c r="AV295" s="144"/>
    </row>
    <row r="296" spans="1:48" ht="108" customHeight="1" x14ac:dyDescent="0.25">
      <c r="A296" s="632"/>
      <c r="B296" s="663"/>
      <c r="C296" s="634"/>
      <c r="D296" s="635"/>
      <c r="E296" s="622"/>
      <c r="F296" s="622"/>
      <c r="G296" s="622"/>
      <c r="H296" s="623"/>
      <c r="I296" s="623"/>
      <c r="J296" s="622" t="s">
        <v>665</v>
      </c>
      <c r="K296" s="43" t="s">
        <v>666</v>
      </c>
      <c r="L296" s="135" t="s">
        <v>667</v>
      </c>
      <c r="M296" s="132">
        <v>10577</v>
      </c>
      <c r="N296" s="105">
        <v>9852</v>
      </c>
      <c r="O296" s="105"/>
      <c r="P296" s="125"/>
      <c r="Q296" s="132">
        <v>592</v>
      </c>
      <c r="R296" s="132">
        <v>2285</v>
      </c>
      <c r="S296" s="216">
        <v>0</v>
      </c>
      <c r="T296" s="132">
        <v>648</v>
      </c>
      <c r="U296" s="274">
        <v>592</v>
      </c>
      <c r="V296" s="290">
        <v>588</v>
      </c>
      <c r="W296" s="300">
        <v>25</v>
      </c>
      <c r="X296" s="300">
        <v>0</v>
      </c>
      <c r="Y296" s="300">
        <v>353</v>
      </c>
      <c r="Z296" s="132">
        <v>1502</v>
      </c>
      <c r="AA296" s="132">
        <v>3126</v>
      </c>
      <c r="AB296" s="132">
        <v>3509</v>
      </c>
      <c r="AC296" s="132"/>
      <c r="AD296" s="132"/>
      <c r="AE296" s="290"/>
      <c r="AF296" s="147">
        <f>+R296+S296+T296+U296+V296+W296+X296+Y296+Z296+AA296+AB296</f>
        <v>12628</v>
      </c>
      <c r="AG296" s="125"/>
      <c r="AH296" s="314">
        <v>1</v>
      </c>
      <c r="AI296" s="598">
        <f t="shared" si="4"/>
        <v>1</v>
      </c>
      <c r="AJ296" s="125"/>
      <c r="AK296" s="619">
        <v>100000000</v>
      </c>
      <c r="AL296" s="148"/>
      <c r="AM296" s="148"/>
      <c r="AN296" s="148"/>
      <c r="AO296" s="148"/>
      <c r="AP296" s="148"/>
      <c r="AQ296" s="148"/>
      <c r="AR296" s="148"/>
      <c r="AS296" s="148"/>
      <c r="AT296" s="619">
        <v>44100000</v>
      </c>
      <c r="AU296" s="617">
        <f>+AT296/AK296</f>
        <v>0.441</v>
      </c>
      <c r="AV296" s="144"/>
    </row>
    <row r="297" spans="1:48" ht="60" x14ac:dyDescent="0.25">
      <c r="A297" s="632"/>
      <c r="B297" s="663"/>
      <c r="C297" s="634"/>
      <c r="D297" s="635"/>
      <c r="E297" s="622"/>
      <c r="F297" s="622"/>
      <c r="G297" s="622"/>
      <c r="H297" s="623"/>
      <c r="I297" s="623"/>
      <c r="J297" s="622"/>
      <c r="K297" s="43" t="s">
        <v>668</v>
      </c>
      <c r="L297" s="135" t="s">
        <v>669</v>
      </c>
      <c r="M297" s="132">
        <v>3200</v>
      </c>
      <c r="N297" s="105">
        <v>3387</v>
      </c>
      <c r="O297" s="105"/>
      <c r="P297" s="125"/>
      <c r="Q297" s="132">
        <v>585</v>
      </c>
      <c r="R297" s="132">
        <v>857</v>
      </c>
      <c r="S297" s="216">
        <v>0</v>
      </c>
      <c r="T297" s="132">
        <v>401</v>
      </c>
      <c r="U297" s="274">
        <v>659</v>
      </c>
      <c r="V297" s="290">
        <v>151</v>
      </c>
      <c r="W297" s="132">
        <v>0</v>
      </c>
      <c r="X297" s="132">
        <v>0</v>
      </c>
      <c r="Y297" s="132">
        <v>466</v>
      </c>
      <c r="Z297" s="132">
        <v>344</v>
      </c>
      <c r="AA297" s="132">
        <v>1152</v>
      </c>
      <c r="AB297" s="132">
        <v>541</v>
      </c>
      <c r="AC297" s="132"/>
      <c r="AD297" s="132"/>
      <c r="AE297" s="290"/>
      <c r="AF297" s="147">
        <f>+R297+S297+T297+U297+V297+W297+X297+Y297+Z297+AA297+AB297</f>
        <v>4571</v>
      </c>
      <c r="AG297" s="125"/>
      <c r="AH297" s="314">
        <v>1</v>
      </c>
      <c r="AI297" s="598">
        <f t="shared" si="4"/>
        <v>1</v>
      </c>
      <c r="AJ297" s="125"/>
      <c r="AK297" s="671"/>
      <c r="AL297" s="148"/>
      <c r="AM297" s="148"/>
      <c r="AN297" s="148"/>
      <c r="AO297" s="148"/>
      <c r="AP297" s="148"/>
      <c r="AQ297" s="148"/>
      <c r="AR297" s="148"/>
      <c r="AS297" s="148"/>
      <c r="AT297" s="671"/>
      <c r="AU297" s="670"/>
      <c r="AV297" s="144"/>
    </row>
    <row r="298" spans="1:48" ht="30" x14ac:dyDescent="0.25">
      <c r="A298" s="632"/>
      <c r="B298" s="663"/>
      <c r="C298" s="634"/>
      <c r="D298" s="635"/>
      <c r="E298" s="622"/>
      <c r="F298" s="622"/>
      <c r="G298" s="622"/>
      <c r="H298" s="623"/>
      <c r="I298" s="623"/>
      <c r="J298" s="622"/>
      <c r="K298" s="43" t="s">
        <v>670</v>
      </c>
      <c r="L298" s="135" t="s">
        <v>671</v>
      </c>
      <c r="M298" s="105">
        <v>1219</v>
      </c>
      <c r="N298" s="105">
        <v>0</v>
      </c>
      <c r="O298" s="105"/>
      <c r="P298" s="125"/>
      <c r="Q298" s="132">
        <v>352</v>
      </c>
      <c r="R298" s="132">
        <v>377</v>
      </c>
      <c r="S298" s="216">
        <v>0</v>
      </c>
      <c r="T298" s="132">
        <v>44</v>
      </c>
      <c r="U298" s="274">
        <v>0</v>
      </c>
      <c r="V298" s="290">
        <v>70</v>
      </c>
      <c r="W298" s="132">
        <v>0</v>
      </c>
      <c r="X298" s="132">
        <v>0</v>
      </c>
      <c r="Y298" s="132">
        <v>37</v>
      </c>
      <c r="Z298" s="132">
        <v>765</v>
      </c>
      <c r="AA298" s="132">
        <v>186</v>
      </c>
      <c r="AB298" s="132">
        <v>200</v>
      </c>
      <c r="AC298" s="132"/>
      <c r="AD298" s="132"/>
      <c r="AE298" s="290"/>
      <c r="AF298" s="147">
        <f>+R298+S298+T298+U298+V298+W298+X298+Y298+Z298+AA298+AB298</f>
        <v>1679</v>
      </c>
      <c r="AG298" s="125"/>
      <c r="AH298" s="314">
        <v>1</v>
      </c>
      <c r="AI298" s="598">
        <f t="shared" si="4"/>
        <v>1</v>
      </c>
      <c r="AJ298" s="125"/>
      <c r="AK298" s="620"/>
      <c r="AL298" s="148"/>
      <c r="AM298" s="148"/>
      <c r="AN298" s="148"/>
      <c r="AO298" s="148"/>
      <c r="AP298" s="148"/>
      <c r="AQ298" s="148"/>
      <c r="AR298" s="148"/>
      <c r="AS298" s="148"/>
      <c r="AT298" s="620"/>
      <c r="AU298" s="618"/>
      <c r="AV298" s="144"/>
    </row>
    <row r="299" spans="1:48" ht="41.25" customHeight="1" x14ac:dyDescent="0.25">
      <c r="A299" s="632"/>
      <c r="B299" s="663"/>
      <c r="C299" s="634"/>
      <c r="D299" s="635"/>
      <c r="E299" s="622"/>
      <c r="F299" s="622"/>
      <c r="G299" s="622"/>
      <c r="H299" s="623"/>
      <c r="I299" s="623"/>
      <c r="J299" s="622"/>
      <c r="K299" s="43"/>
      <c r="L299" s="135"/>
      <c r="M299" s="105"/>
      <c r="N299" s="105"/>
      <c r="O299" s="105"/>
      <c r="P299" s="125"/>
      <c r="Q299" s="125"/>
      <c r="R299" s="125"/>
      <c r="S299" s="125"/>
      <c r="T299" s="125"/>
      <c r="U299" s="274"/>
      <c r="V299" s="290"/>
      <c r="W299" s="125"/>
      <c r="X299" s="125"/>
      <c r="Y299" s="125"/>
      <c r="Z299" s="125"/>
      <c r="AA299" s="125"/>
      <c r="AB299" s="125"/>
      <c r="AC299" s="125"/>
      <c r="AD299" s="125"/>
      <c r="AE299" s="290"/>
      <c r="AF299" s="141"/>
      <c r="AG299" s="125"/>
      <c r="AH299" s="150">
        <f>AVERAGE(AH296:AH298)</f>
        <v>1</v>
      </c>
      <c r="AI299" s="598">
        <f t="shared" si="4"/>
        <v>1</v>
      </c>
      <c r="AJ299" s="125"/>
      <c r="AK299" s="143"/>
      <c r="AL299" s="143"/>
      <c r="AM299" s="143"/>
      <c r="AN299" s="143"/>
      <c r="AO299" s="143"/>
      <c r="AP299" s="143"/>
      <c r="AQ299" s="143"/>
      <c r="AR299" s="143"/>
      <c r="AS299" s="143"/>
      <c r="AT299" s="143"/>
      <c r="AU299" s="143"/>
      <c r="AV299" s="144"/>
    </row>
    <row r="300" spans="1:48" ht="71.25" customHeight="1" x14ac:dyDescent="0.25">
      <c r="A300" s="632"/>
      <c r="B300" s="663"/>
      <c r="C300" s="634"/>
      <c r="D300" s="635"/>
      <c r="E300" s="622"/>
      <c r="F300" s="622"/>
      <c r="G300" s="622"/>
      <c r="H300" s="623"/>
      <c r="I300" s="623"/>
      <c r="J300" s="622" t="s">
        <v>680</v>
      </c>
      <c r="K300" s="43" t="s">
        <v>672</v>
      </c>
      <c r="L300" s="43" t="s">
        <v>673</v>
      </c>
      <c r="M300" s="105">
        <v>3</v>
      </c>
      <c r="N300" s="105">
        <v>0</v>
      </c>
      <c r="O300" s="105"/>
      <c r="P300" s="125"/>
      <c r="Q300" s="132">
        <v>0</v>
      </c>
      <c r="R300" s="132">
        <v>0</v>
      </c>
      <c r="S300" s="216">
        <v>1</v>
      </c>
      <c r="T300" s="132">
        <v>0</v>
      </c>
      <c r="U300" s="274">
        <v>0</v>
      </c>
      <c r="V300" s="290">
        <v>1</v>
      </c>
      <c r="W300" s="132">
        <v>0</v>
      </c>
      <c r="X300" s="132">
        <v>0</v>
      </c>
      <c r="Y300" s="132">
        <v>0</v>
      </c>
      <c r="Z300" s="132">
        <v>0</v>
      </c>
      <c r="AA300" s="132">
        <v>0</v>
      </c>
      <c r="AB300" s="132">
        <v>14</v>
      </c>
      <c r="AC300" s="132"/>
      <c r="AD300" s="132"/>
      <c r="AE300" s="290"/>
      <c r="AF300" s="147">
        <f>+O300+P300+Q300+R300+S300+T300+U300+V300+W300+X300+Y300+Z300+AA300+AB300+AC300+AD300</f>
        <v>16</v>
      </c>
      <c r="AG300" s="125"/>
      <c r="AH300" s="314">
        <v>1</v>
      </c>
      <c r="AI300" s="598">
        <f t="shared" si="4"/>
        <v>1</v>
      </c>
      <c r="AJ300" s="125"/>
      <c r="AK300" s="143"/>
      <c r="AL300" s="143"/>
      <c r="AM300" s="143"/>
      <c r="AN300" s="143"/>
      <c r="AO300" s="143"/>
      <c r="AP300" s="143"/>
      <c r="AQ300" s="143"/>
      <c r="AR300" s="143"/>
      <c r="AS300" s="143"/>
      <c r="AT300" s="143"/>
      <c r="AU300" s="143"/>
      <c r="AV300" s="144"/>
    </row>
    <row r="301" spans="1:48" ht="75" x14ac:dyDescent="0.25">
      <c r="A301" s="632"/>
      <c r="B301" s="663"/>
      <c r="C301" s="634"/>
      <c r="D301" s="635"/>
      <c r="E301" s="622"/>
      <c r="F301" s="622"/>
      <c r="G301" s="622"/>
      <c r="H301" s="623"/>
      <c r="I301" s="623"/>
      <c r="J301" s="622"/>
      <c r="K301" s="43" t="s">
        <v>674</v>
      </c>
      <c r="L301" s="43" t="s">
        <v>675</v>
      </c>
      <c r="M301" s="105">
        <v>9377</v>
      </c>
      <c r="N301" s="105">
        <v>10993</v>
      </c>
      <c r="O301" s="105"/>
      <c r="P301" s="125"/>
      <c r="Q301" s="132">
        <v>0</v>
      </c>
      <c r="R301" s="132">
        <v>0</v>
      </c>
      <c r="S301" s="216">
        <v>1300</v>
      </c>
      <c r="T301" s="132">
        <v>0</v>
      </c>
      <c r="U301" s="274">
        <v>0</v>
      </c>
      <c r="V301" s="290">
        <v>0</v>
      </c>
      <c r="W301" s="300">
        <v>430</v>
      </c>
      <c r="X301" s="300">
        <v>0</v>
      </c>
      <c r="Y301" s="300">
        <v>0</v>
      </c>
      <c r="Z301" s="132">
        <v>0</v>
      </c>
      <c r="AA301" s="132">
        <v>0</v>
      </c>
      <c r="AB301" s="132">
        <v>2224</v>
      </c>
      <c r="AC301" s="132"/>
      <c r="AD301" s="132"/>
      <c r="AE301" s="290"/>
      <c r="AF301" s="147">
        <f>+O301+P301+Q301+R301+S301+T301+U301+V301+W301+X301+Y301+Z301+AA301+AB301+AC301+AD301</f>
        <v>3954</v>
      </c>
      <c r="AG301" s="125"/>
      <c r="AH301" s="314">
        <f>+(AF301/M301)</f>
        <v>0.42167004372400557</v>
      </c>
      <c r="AI301" s="598">
        <f t="shared" si="4"/>
        <v>0.42167004372400557</v>
      </c>
      <c r="AJ301" s="125"/>
      <c r="AK301" s="619">
        <v>720552679</v>
      </c>
      <c r="AL301" s="148"/>
      <c r="AM301" s="148"/>
      <c r="AN301" s="148"/>
      <c r="AO301" s="148"/>
      <c r="AP301" s="148"/>
      <c r="AQ301" s="148"/>
      <c r="AR301" s="148"/>
      <c r="AS301" s="148"/>
      <c r="AT301" s="619">
        <v>651200000</v>
      </c>
      <c r="AU301" s="617">
        <f>+AT301/AK301</f>
        <v>0.90375071660791095</v>
      </c>
      <c r="AV301" s="144"/>
    </row>
    <row r="302" spans="1:48" ht="75" x14ac:dyDescent="0.25">
      <c r="A302" s="632"/>
      <c r="B302" s="663"/>
      <c r="C302" s="634"/>
      <c r="D302" s="635"/>
      <c r="E302" s="622"/>
      <c r="F302" s="622"/>
      <c r="G302" s="622"/>
      <c r="H302" s="623"/>
      <c r="I302" s="623"/>
      <c r="J302" s="622"/>
      <c r="K302" s="43" t="s">
        <v>676</v>
      </c>
      <c r="L302" s="43" t="s">
        <v>677</v>
      </c>
      <c r="M302" s="105">
        <v>2494</v>
      </c>
      <c r="N302" s="105">
        <v>2370</v>
      </c>
      <c r="O302" s="105"/>
      <c r="P302" s="125"/>
      <c r="Q302" s="132">
        <v>302</v>
      </c>
      <c r="R302" s="132">
        <v>657</v>
      </c>
      <c r="S302" s="216">
        <v>0</v>
      </c>
      <c r="T302" s="132">
        <v>963</v>
      </c>
      <c r="U302" s="274">
        <v>210</v>
      </c>
      <c r="V302" s="290">
        <v>154</v>
      </c>
      <c r="W302" s="300">
        <v>0</v>
      </c>
      <c r="X302" s="300">
        <v>0</v>
      </c>
      <c r="Y302" s="300">
        <v>783</v>
      </c>
      <c r="Z302" s="436">
        <v>879</v>
      </c>
      <c r="AA302" s="125">
        <v>919</v>
      </c>
      <c r="AB302" s="125">
        <v>1100</v>
      </c>
      <c r="AC302" s="125"/>
      <c r="AD302" s="125"/>
      <c r="AE302" s="290"/>
      <c r="AF302" s="147">
        <f>+O302+P302+Q302+R302+S302+T302+U302+V302+W302+X302+Y302+Z302+AA302+AB302+AC302+AD302</f>
        <v>5967</v>
      </c>
      <c r="AG302" s="125"/>
      <c r="AH302" s="314">
        <v>1</v>
      </c>
      <c r="AI302" s="598">
        <f t="shared" si="4"/>
        <v>1</v>
      </c>
      <c r="AJ302" s="125"/>
      <c r="AK302" s="671"/>
      <c r="AL302" s="148"/>
      <c r="AM302" s="148"/>
      <c r="AN302" s="148"/>
      <c r="AO302" s="148"/>
      <c r="AP302" s="148"/>
      <c r="AQ302" s="148"/>
      <c r="AR302" s="148"/>
      <c r="AS302" s="148"/>
      <c r="AT302" s="671"/>
      <c r="AU302" s="670"/>
      <c r="AV302" s="144"/>
    </row>
    <row r="303" spans="1:48" ht="60" customHeight="1" x14ac:dyDescent="0.25">
      <c r="A303" s="632"/>
      <c r="B303" s="663"/>
      <c r="C303" s="634"/>
      <c r="D303" s="635"/>
      <c r="E303" s="622"/>
      <c r="F303" s="622"/>
      <c r="G303" s="622"/>
      <c r="H303" s="623"/>
      <c r="I303" s="623"/>
      <c r="J303" s="622"/>
      <c r="K303" s="43" t="s">
        <v>678</v>
      </c>
      <c r="L303" s="43" t="s">
        <v>679</v>
      </c>
      <c r="M303" s="105">
        <v>1200</v>
      </c>
      <c r="N303" s="105">
        <v>0</v>
      </c>
      <c r="O303" s="105"/>
      <c r="P303" s="125"/>
      <c r="Q303" s="132">
        <v>0</v>
      </c>
      <c r="R303" s="132">
        <v>0</v>
      </c>
      <c r="S303" s="216">
        <v>0</v>
      </c>
      <c r="T303" s="132">
        <v>482</v>
      </c>
      <c r="U303" s="274">
        <v>705</v>
      </c>
      <c r="V303" s="290">
        <v>0</v>
      </c>
      <c r="W303" s="132">
        <v>0</v>
      </c>
      <c r="X303" s="132">
        <v>0</v>
      </c>
      <c r="Y303" s="132">
        <v>0</v>
      </c>
      <c r="Z303" s="132">
        <v>0</v>
      </c>
      <c r="AA303" s="132">
        <v>170</v>
      </c>
      <c r="AB303" s="132">
        <v>956</v>
      </c>
      <c r="AC303" s="132"/>
      <c r="AD303" s="132"/>
      <c r="AE303" s="290"/>
      <c r="AF303" s="147">
        <f>+O303+P303+Q303+R303+S303+T303+U303+V303+W303+X303+Y303+Z303+AA303+AB303+AC303+AD303</f>
        <v>2313</v>
      </c>
      <c r="AG303" s="125"/>
      <c r="AH303" s="314">
        <v>1</v>
      </c>
      <c r="AI303" s="598">
        <f t="shared" si="4"/>
        <v>1</v>
      </c>
      <c r="AJ303" s="125"/>
      <c r="AK303" s="620"/>
      <c r="AL303" s="148"/>
      <c r="AM303" s="148"/>
      <c r="AN303" s="148"/>
      <c r="AO303" s="148"/>
      <c r="AP303" s="148"/>
      <c r="AQ303" s="148"/>
      <c r="AR303" s="148"/>
      <c r="AS303" s="148"/>
      <c r="AT303" s="620"/>
      <c r="AU303" s="618"/>
      <c r="AV303" s="144"/>
    </row>
    <row r="304" spans="1:48" ht="60" customHeight="1" x14ac:dyDescent="0.25">
      <c r="A304" s="632"/>
      <c r="B304" s="663"/>
      <c r="C304" s="634"/>
      <c r="D304" s="635"/>
      <c r="E304" s="622"/>
      <c r="F304" s="622"/>
      <c r="G304" s="622"/>
      <c r="H304" s="623"/>
      <c r="I304" s="623"/>
      <c r="J304" s="622"/>
      <c r="K304" s="43"/>
      <c r="L304" s="43"/>
      <c r="M304" s="105"/>
      <c r="N304" s="105"/>
      <c r="O304" s="105"/>
      <c r="P304" s="125"/>
      <c r="Q304" s="125"/>
      <c r="R304" s="125"/>
      <c r="S304" s="125"/>
      <c r="T304" s="125"/>
      <c r="U304" s="274"/>
      <c r="V304" s="290"/>
      <c r="W304" s="125"/>
      <c r="X304" s="125"/>
      <c r="Y304" s="125"/>
      <c r="Z304" s="125"/>
      <c r="AA304" s="125"/>
      <c r="AB304" s="125"/>
      <c r="AC304" s="125"/>
      <c r="AD304" s="125"/>
      <c r="AE304" s="290"/>
      <c r="AF304" s="141"/>
      <c r="AG304" s="125"/>
      <c r="AH304" s="150">
        <f>AVERAGE(AH300:AH303)</f>
        <v>0.85541751093100138</v>
      </c>
      <c r="AI304" s="598">
        <f t="shared" si="4"/>
        <v>0.85541751093100138</v>
      </c>
      <c r="AJ304" s="125"/>
      <c r="AK304" s="143"/>
      <c r="AL304" s="143"/>
      <c r="AM304" s="143"/>
      <c r="AN304" s="143"/>
      <c r="AO304" s="143"/>
      <c r="AP304" s="143"/>
      <c r="AQ304" s="143"/>
      <c r="AR304" s="143"/>
      <c r="AS304" s="143"/>
      <c r="AT304" s="143"/>
      <c r="AU304" s="143"/>
      <c r="AV304" s="144"/>
    </row>
    <row r="305" spans="1:48" ht="60" customHeight="1" x14ac:dyDescent="0.25">
      <c r="A305" s="632"/>
      <c r="B305" s="663"/>
      <c r="C305" s="634"/>
      <c r="D305" s="635"/>
      <c r="E305" s="622"/>
      <c r="F305" s="622"/>
      <c r="G305" s="622"/>
      <c r="H305" s="623"/>
      <c r="I305" s="623"/>
      <c r="J305" s="622" t="s">
        <v>681</v>
      </c>
      <c r="K305" s="125" t="s">
        <v>682</v>
      </c>
      <c r="L305" s="125" t="s">
        <v>683</v>
      </c>
      <c r="M305" s="132">
        <v>1</v>
      </c>
      <c r="N305" s="132" t="s">
        <v>127</v>
      </c>
      <c r="O305" s="132"/>
      <c r="P305" s="125"/>
      <c r="Q305" s="132">
        <v>0</v>
      </c>
      <c r="R305" s="132">
        <v>0</v>
      </c>
      <c r="S305" s="132">
        <v>0</v>
      </c>
      <c r="T305" s="132">
        <v>0.11</v>
      </c>
      <c r="U305" s="274">
        <v>0</v>
      </c>
      <c r="V305" s="290">
        <v>0</v>
      </c>
      <c r="W305" s="132">
        <v>0</v>
      </c>
      <c r="X305" s="132">
        <v>0</v>
      </c>
      <c r="Y305" s="132">
        <v>0.2</v>
      </c>
      <c r="Z305" s="132">
        <v>0.56999999999999995</v>
      </c>
      <c r="AA305" s="132">
        <v>0.02</v>
      </c>
      <c r="AB305" s="132">
        <v>0.05</v>
      </c>
      <c r="AC305" s="132"/>
      <c r="AD305" s="132"/>
      <c r="AE305" s="290"/>
      <c r="AF305" s="141">
        <f>+O305+P305+Q305+R305+S305+T305+U305+V305+W305+X305+Y305+Z305+AA305+AB305+AC305+AD305</f>
        <v>0.95</v>
      </c>
      <c r="AG305" s="125"/>
      <c r="AH305" s="314">
        <f>+(AF305/M305)</f>
        <v>0.95</v>
      </c>
      <c r="AI305" s="598">
        <f t="shared" si="4"/>
        <v>0.95</v>
      </c>
      <c r="AJ305" s="125"/>
      <c r="AK305" s="619">
        <v>296600000</v>
      </c>
      <c r="AL305" s="148"/>
      <c r="AM305" s="148"/>
      <c r="AN305" s="148"/>
      <c r="AO305" s="148"/>
      <c r="AP305" s="148"/>
      <c r="AQ305" s="148"/>
      <c r="AR305" s="148"/>
      <c r="AS305" s="148"/>
      <c r="AT305" s="619">
        <v>285550000</v>
      </c>
      <c r="AU305" s="617">
        <f>+AT305/AK305</f>
        <v>0.96274443695212408</v>
      </c>
      <c r="AV305" s="144"/>
    </row>
    <row r="306" spans="1:48" ht="39.75" customHeight="1" x14ac:dyDescent="0.25">
      <c r="A306" s="632"/>
      <c r="B306" s="663"/>
      <c r="C306" s="634"/>
      <c r="D306" s="635"/>
      <c r="E306" s="622"/>
      <c r="F306" s="622"/>
      <c r="G306" s="622"/>
      <c r="H306" s="623"/>
      <c r="I306" s="623"/>
      <c r="J306" s="622"/>
      <c r="K306" s="125"/>
      <c r="L306" s="125"/>
      <c r="M306" s="132"/>
      <c r="N306" s="132"/>
      <c r="O306" s="132"/>
      <c r="P306" s="125"/>
      <c r="Q306" s="125"/>
      <c r="R306" s="125"/>
      <c r="S306" s="125"/>
      <c r="T306" s="125"/>
      <c r="U306" s="274"/>
      <c r="V306" s="290"/>
      <c r="W306" s="125"/>
      <c r="X306" s="125"/>
      <c r="Y306" s="125"/>
      <c r="Z306" s="125"/>
      <c r="AA306" s="125"/>
      <c r="AB306" s="125"/>
      <c r="AC306" s="125"/>
      <c r="AD306" s="125"/>
      <c r="AE306" s="290"/>
      <c r="AF306" s="141"/>
      <c r="AG306" s="125"/>
      <c r="AH306" s="150">
        <f>+AH305</f>
        <v>0.95</v>
      </c>
      <c r="AI306" s="598">
        <f t="shared" si="4"/>
        <v>0.95</v>
      </c>
      <c r="AJ306" s="125"/>
      <c r="AK306" s="620"/>
      <c r="AL306" s="148"/>
      <c r="AM306" s="148"/>
      <c r="AN306" s="148"/>
      <c r="AO306" s="148"/>
      <c r="AP306" s="148"/>
      <c r="AQ306" s="148"/>
      <c r="AR306" s="148"/>
      <c r="AS306" s="148"/>
      <c r="AT306" s="620"/>
      <c r="AU306" s="618"/>
      <c r="AV306" s="144"/>
    </row>
    <row r="307" spans="1:48" ht="39.75" customHeight="1" x14ac:dyDescent="0.25">
      <c r="A307" s="632"/>
      <c r="B307" s="663"/>
      <c r="C307" s="634"/>
      <c r="D307" s="635"/>
      <c r="E307" s="622"/>
      <c r="F307" s="622"/>
      <c r="G307" s="622"/>
      <c r="H307" s="623"/>
      <c r="I307" s="623"/>
      <c r="J307" s="132"/>
      <c r="K307" s="125"/>
      <c r="L307" s="125"/>
      <c r="M307" s="132"/>
      <c r="N307" s="132"/>
      <c r="O307" s="132"/>
      <c r="P307" s="125"/>
      <c r="Q307" s="125"/>
      <c r="R307" s="125"/>
      <c r="S307" s="125"/>
      <c r="T307" s="125"/>
      <c r="U307" s="274"/>
      <c r="V307" s="290"/>
      <c r="W307" s="125"/>
      <c r="X307" s="125"/>
      <c r="Y307" s="125"/>
      <c r="Z307" s="125"/>
      <c r="AA307" s="125"/>
      <c r="AB307" s="125"/>
      <c r="AC307" s="125"/>
      <c r="AD307" s="125"/>
      <c r="AE307" s="290"/>
      <c r="AF307" s="141"/>
      <c r="AG307" s="125"/>
      <c r="AH307" s="218">
        <f>+(AH277+AH280+AH283+AH285+AH289+AH292+AH295+AH299+AH304+AH306)/10</f>
        <v>0.89578445399626661</v>
      </c>
      <c r="AI307" s="598">
        <f t="shared" si="4"/>
        <v>0.89578445399626661</v>
      </c>
      <c r="AJ307" s="125"/>
      <c r="AK307" s="143"/>
      <c r="AL307" s="143"/>
      <c r="AM307" s="143"/>
      <c r="AN307" s="143"/>
      <c r="AO307" s="143"/>
      <c r="AP307" s="143"/>
      <c r="AQ307" s="143"/>
      <c r="AR307" s="143"/>
      <c r="AS307" s="143"/>
      <c r="AT307" s="143"/>
      <c r="AU307" s="143"/>
      <c r="AV307" s="144"/>
    </row>
    <row r="308" spans="1:48" ht="39.75" customHeight="1" x14ac:dyDescent="0.25">
      <c r="A308" s="632"/>
      <c r="B308" s="663"/>
      <c r="C308" s="634"/>
      <c r="D308" s="635"/>
      <c r="E308" s="132"/>
      <c r="F308" s="132"/>
      <c r="G308" s="132"/>
      <c r="H308" s="108"/>
      <c r="I308" s="108"/>
      <c r="J308" s="132"/>
      <c r="K308" s="125"/>
      <c r="L308" s="125"/>
      <c r="M308" s="132"/>
      <c r="N308" s="132"/>
      <c r="O308" s="132"/>
      <c r="P308" s="125"/>
      <c r="Q308" s="125"/>
      <c r="R308" s="125"/>
      <c r="S308" s="125"/>
      <c r="T308" s="125"/>
      <c r="U308" s="274"/>
      <c r="V308" s="290"/>
      <c r="W308" s="125"/>
      <c r="X308" s="125"/>
      <c r="Y308" s="125"/>
      <c r="Z308" s="125"/>
      <c r="AA308" s="125"/>
      <c r="AB308" s="125"/>
      <c r="AC308" s="125"/>
      <c r="AD308" s="125"/>
      <c r="AE308" s="290"/>
      <c r="AF308" s="141"/>
      <c r="AG308" s="125"/>
      <c r="AH308" s="223">
        <f>+AH307</f>
        <v>0.89578445399626661</v>
      </c>
      <c r="AI308" s="598">
        <f t="shared" si="4"/>
        <v>0.89578445399626661</v>
      </c>
      <c r="AJ308" s="125"/>
      <c r="AK308" s="143"/>
      <c r="AL308" s="143"/>
      <c r="AM308" s="143"/>
      <c r="AN308" s="143"/>
      <c r="AO308" s="143"/>
      <c r="AP308" s="143"/>
      <c r="AQ308" s="143"/>
      <c r="AR308" s="143"/>
      <c r="AS308" s="143"/>
      <c r="AT308" s="143"/>
      <c r="AU308" s="143"/>
      <c r="AV308" s="144"/>
    </row>
    <row r="309" spans="1:48" ht="39.75" customHeight="1" x14ac:dyDescent="0.25">
      <c r="A309" s="632"/>
      <c r="B309" s="663"/>
      <c r="C309" s="634"/>
      <c r="D309" s="127"/>
      <c r="E309" s="132"/>
      <c r="F309" s="132"/>
      <c r="G309" s="132"/>
      <c r="H309" s="108"/>
      <c r="I309" s="108"/>
      <c r="J309" s="132"/>
      <c r="K309" s="125"/>
      <c r="L309" s="125"/>
      <c r="M309" s="132"/>
      <c r="N309" s="132"/>
      <c r="O309" s="132"/>
      <c r="P309" s="125"/>
      <c r="Q309" s="125"/>
      <c r="R309" s="125"/>
      <c r="S309" s="125"/>
      <c r="T309" s="125"/>
      <c r="U309" s="274"/>
      <c r="V309" s="290"/>
      <c r="W309" s="125"/>
      <c r="X309" s="125"/>
      <c r="Y309" s="125"/>
      <c r="Z309" s="125"/>
      <c r="AA309" s="125"/>
      <c r="AB309" s="125"/>
      <c r="AC309" s="125"/>
      <c r="AD309" s="125"/>
      <c r="AE309" s="290"/>
      <c r="AF309" s="141"/>
      <c r="AG309" s="125"/>
      <c r="AH309" s="219">
        <f>+(AH92+AH208+AH238+AH273+AH308)/5</f>
        <v>0.84094645384450273</v>
      </c>
      <c r="AI309" s="598">
        <f>+AH309</f>
        <v>0.84094645384450273</v>
      </c>
      <c r="AJ309" s="125"/>
      <c r="AK309" s="143"/>
      <c r="AL309" s="143"/>
      <c r="AM309" s="143"/>
      <c r="AN309" s="143"/>
      <c r="AO309" s="143"/>
      <c r="AP309" s="143"/>
      <c r="AQ309" s="143"/>
      <c r="AR309" s="143"/>
      <c r="AS309" s="143"/>
      <c r="AT309" s="143"/>
      <c r="AU309" s="143"/>
      <c r="AV309" s="144"/>
    </row>
    <row r="310" spans="1:48" ht="87" customHeight="1" x14ac:dyDescent="0.25">
      <c r="A310" s="632"/>
      <c r="B310" s="663"/>
      <c r="C310" s="638" t="s">
        <v>684</v>
      </c>
      <c r="D310" s="633" t="s">
        <v>685</v>
      </c>
      <c r="E310" s="622" t="s">
        <v>686</v>
      </c>
      <c r="F310" s="135" t="s">
        <v>690</v>
      </c>
      <c r="G310" s="135" t="s">
        <v>687</v>
      </c>
      <c r="H310" s="211">
        <v>0.1</v>
      </c>
      <c r="I310" s="211">
        <v>3.3000000000000002E-2</v>
      </c>
      <c r="J310" s="625" t="s">
        <v>689</v>
      </c>
      <c r="K310" s="249" t="s">
        <v>692</v>
      </c>
      <c r="L310" s="249" t="s">
        <v>693</v>
      </c>
      <c r="M310" s="220">
        <v>10000</v>
      </c>
      <c r="N310" s="220">
        <v>3321</v>
      </c>
      <c r="O310" s="220"/>
      <c r="P310" s="125"/>
      <c r="Q310" s="132">
        <v>162</v>
      </c>
      <c r="R310" s="132">
        <v>1850</v>
      </c>
      <c r="S310" s="221">
        <v>281</v>
      </c>
      <c r="T310" s="132">
        <v>474</v>
      </c>
      <c r="U310" s="274">
        <v>1128</v>
      </c>
      <c r="V310" s="289">
        <v>1543</v>
      </c>
      <c r="W310" s="307">
        <v>500</v>
      </c>
      <c r="X310" s="307">
        <v>2329</v>
      </c>
      <c r="Y310" s="307">
        <v>197</v>
      </c>
      <c r="Z310" s="132">
        <v>1212</v>
      </c>
      <c r="AA310" s="132">
        <v>0</v>
      </c>
      <c r="AB310" s="132">
        <v>1469</v>
      </c>
      <c r="AC310" s="132"/>
      <c r="AD310" s="132"/>
      <c r="AE310" s="290"/>
      <c r="AF310" s="141">
        <f>+O310+P310+Q310+R310+S310+T310+U310+V310+W310+X310+Y310+Z310+AA310+AB310+AC310+AD310</f>
        <v>11145</v>
      </c>
      <c r="AG310" s="125"/>
      <c r="AH310" s="102">
        <v>1</v>
      </c>
      <c r="AI310" s="598">
        <f t="shared" si="4"/>
        <v>1</v>
      </c>
      <c r="AJ310" s="125"/>
      <c r="AK310" s="698">
        <v>4601798071</v>
      </c>
      <c r="AL310" s="143"/>
      <c r="AM310" s="143"/>
      <c r="AN310" s="143"/>
      <c r="AO310" s="143"/>
      <c r="AP310" s="143"/>
      <c r="AQ310" s="143"/>
      <c r="AR310" s="143"/>
      <c r="AS310" s="143"/>
      <c r="AT310" s="698">
        <v>3529107838</v>
      </c>
      <c r="AU310" s="617">
        <f>+AT310/AK310</f>
        <v>0.76689758732353552</v>
      </c>
      <c r="AV310" s="144"/>
    </row>
    <row r="311" spans="1:48" ht="75" customHeight="1" x14ac:dyDescent="0.25">
      <c r="A311" s="632"/>
      <c r="B311" s="663"/>
      <c r="C311" s="638"/>
      <c r="D311" s="633"/>
      <c r="E311" s="622"/>
      <c r="F311" s="622" t="s">
        <v>691</v>
      </c>
      <c r="G311" s="43" t="s">
        <v>688</v>
      </c>
      <c r="H311" s="640">
        <v>7</v>
      </c>
      <c r="I311" s="640">
        <v>4</v>
      </c>
      <c r="J311" s="625"/>
      <c r="K311" s="249" t="s">
        <v>694</v>
      </c>
      <c r="L311" s="249" t="s">
        <v>695</v>
      </c>
      <c r="M311" s="220">
        <v>7</v>
      </c>
      <c r="N311" s="220">
        <v>4</v>
      </c>
      <c r="O311" s="220"/>
      <c r="P311" s="125"/>
      <c r="Q311" s="132">
        <v>0</v>
      </c>
      <c r="R311" s="132">
        <v>0</v>
      </c>
      <c r="S311" s="221">
        <v>0</v>
      </c>
      <c r="T311" s="132">
        <v>0</v>
      </c>
      <c r="U311" s="274">
        <v>0</v>
      </c>
      <c r="V311" s="289">
        <v>0</v>
      </c>
      <c r="W311" s="307">
        <v>0</v>
      </c>
      <c r="X311" s="307">
        <v>0</v>
      </c>
      <c r="Y311" s="307">
        <v>0</v>
      </c>
      <c r="Z311" s="132">
        <v>0</v>
      </c>
      <c r="AA311" s="132">
        <v>0</v>
      </c>
      <c r="AB311" s="132">
        <v>1</v>
      </c>
      <c r="AC311" s="132"/>
      <c r="AD311" s="132"/>
      <c r="AE311" s="290"/>
      <c r="AF311" s="141">
        <f>+O311+P311+Q311+R311+S311+T311+U311+V311+W311+X311+Y311+Z311+AA311+AB311+AC311+AD311</f>
        <v>1</v>
      </c>
      <c r="AG311" s="125"/>
      <c r="AH311" s="102">
        <f>+(AF311/M311)</f>
        <v>0.14285714285714285</v>
      </c>
      <c r="AI311" s="598">
        <f t="shared" si="4"/>
        <v>0.14285714285714285</v>
      </c>
      <c r="AJ311" s="125"/>
      <c r="AK311" s="699"/>
      <c r="AL311" s="143"/>
      <c r="AM311" s="143"/>
      <c r="AN311" s="143"/>
      <c r="AO311" s="143"/>
      <c r="AP311" s="143"/>
      <c r="AQ311" s="143"/>
      <c r="AR311" s="143"/>
      <c r="AS311" s="143"/>
      <c r="AT311" s="699"/>
      <c r="AU311" s="670"/>
      <c r="AV311" s="144"/>
    </row>
    <row r="312" spans="1:48" ht="32.25" customHeight="1" x14ac:dyDescent="0.25">
      <c r="A312" s="632"/>
      <c r="B312" s="663"/>
      <c r="C312" s="638"/>
      <c r="D312" s="633"/>
      <c r="E312" s="622"/>
      <c r="F312" s="622"/>
      <c r="G312" s="43"/>
      <c r="H312" s="640"/>
      <c r="I312" s="640"/>
      <c r="J312" s="625"/>
      <c r="K312" s="249"/>
      <c r="L312" s="249"/>
      <c r="M312" s="220"/>
      <c r="N312" s="220"/>
      <c r="O312" s="220"/>
      <c r="P312" s="125"/>
      <c r="Q312" s="132"/>
      <c r="R312" s="132"/>
      <c r="S312" s="133"/>
      <c r="T312" s="132"/>
      <c r="U312" s="274"/>
      <c r="V312" s="290"/>
      <c r="W312" s="132"/>
      <c r="X312" s="132"/>
      <c r="Y312" s="132"/>
      <c r="Z312" s="132"/>
      <c r="AA312" s="132"/>
      <c r="AB312" s="132"/>
      <c r="AC312" s="132"/>
      <c r="AD312" s="132"/>
      <c r="AE312" s="290"/>
      <c r="AF312" s="141"/>
      <c r="AG312" s="125"/>
      <c r="AH312" s="150">
        <f>AVERAGE(AH310:AH311)</f>
        <v>0.5714285714285714</v>
      </c>
      <c r="AI312" s="598">
        <f t="shared" si="4"/>
        <v>0.5714285714285714</v>
      </c>
      <c r="AJ312" s="125"/>
      <c r="AK312" s="699"/>
      <c r="AL312" s="143"/>
      <c r="AM312" s="143"/>
      <c r="AN312" s="143"/>
      <c r="AO312" s="143"/>
      <c r="AP312" s="143"/>
      <c r="AQ312" s="143"/>
      <c r="AR312" s="143"/>
      <c r="AS312" s="143"/>
      <c r="AT312" s="699"/>
      <c r="AU312" s="670"/>
      <c r="AV312" s="144"/>
    </row>
    <row r="313" spans="1:48" ht="54.75" customHeight="1" x14ac:dyDescent="0.25">
      <c r="A313" s="632"/>
      <c r="B313" s="663"/>
      <c r="C313" s="638"/>
      <c r="D313" s="633"/>
      <c r="E313" s="622"/>
      <c r="F313" s="622"/>
      <c r="G313" s="135"/>
      <c r="H313" s="105"/>
      <c r="I313" s="105"/>
      <c r="J313" s="132"/>
      <c r="K313" s="125"/>
      <c r="L313" s="125"/>
      <c r="M313" s="220"/>
      <c r="N313" s="220"/>
      <c r="O313" s="220"/>
      <c r="P313" s="125"/>
      <c r="Q313" s="132"/>
      <c r="R313" s="132"/>
      <c r="S313" s="133"/>
      <c r="T313" s="132"/>
      <c r="U313" s="274"/>
      <c r="V313" s="290"/>
      <c r="W313" s="132"/>
      <c r="X313" s="132"/>
      <c r="Y313" s="132"/>
      <c r="Z313" s="132"/>
      <c r="AA313" s="132"/>
      <c r="AB313" s="132"/>
      <c r="AC313" s="132"/>
      <c r="AD313" s="132"/>
      <c r="AE313" s="290"/>
      <c r="AF313" s="141"/>
      <c r="AG313" s="125"/>
      <c r="AH313" s="160">
        <f>+AH312</f>
        <v>0.5714285714285714</v>
      </c>
      <c r="AI313" s="598">
        <f t="shared" si="4"/>
        <v>0.5714285714285714</v>
      </c>
      <c r="AJ313" s="125"/>
      <c r="AK313" s="700"/>
      <c r="AL313" s="143"/>
      <c r="AM313" s="143"/>
      <c r="AN313" s="143"/>
      <c r="AO313" s="143"/>
      <c r="AP313" s="143"/>
      <c r="AQ313" s="143"/>
      <c r="AR313" s="143"/>
      <c r="AS313" s="143"/>
      <c r="AT313" s="700"/>
      <c r="AU313" s="618"/>
      <c r="AV313" s="144"/>
    </row>
    <row r="314" spans="1:48" ht="88.5" customHeight="1" x14ac:dyDescent="0.25">
      <c r="A314" s="632"/>
      <c r="B314" s="663"/>
      <c r="C314" s="638"/>
      <c r="D314" s="633"/>
      <c r="E314" s="622" t="s">
        <v>696</v>
      </c>
      <c r="F314" s="622" t="s">
        <v>698</v>
      </c>
      <c r="G314" s="622" t="s">
        <v>697</v>
      </c>
      <c r="H314" s="666">
        <v>1.2999999999999999E-2</v>
      </c>
      <c r="I314" s="666">
        <v>7.0000000000000001E-3</v>
      </c>
      <c r="J314" s="625" t="s">
        <v>703</v>
      </c>
      <c r="K314" s="249" t="s">
        <v>699</v>
      </c>
      <c r="L314" s="249" t="s">
        <v>700</v>
      </c>
      <c r="M314" s="220">
        <v>1360</v>
      </c>
      <c r="N314" s="220">
        <v>1297</v>
      </c>
      <c r="O314" s="220"/>
      <c r="P314" s="125"/>
      <c r="Q314" s="132">
        <v>0</v>
      </c>
      <c r="R314" s="132">
        <v>36</v>
      </c>
      <c r="S314" s="221">
        <v>0</v>
      </c>
      <c r="T314" s="132">
        <v>63</v>
      </c>
      <c r="U314" s="274">
        <v>0</v>
      </c>
      <c r="V314" s="289">
        <v>42</v>
      </c>
      <c r="W314" s="307">
        <v>0</v>
      </c>
      <c r="X314" s="307">
        <v>39</v>
      </c>
      <c r="Y314" s="307">
        <v>0</v>
      </c>
      <c r="Z314" s="132">
        <v>21</v>
      </c>
      <c r="AA314" s="132"/>
      <c r="AB314" s="132">
        <v>40</v>
      </c>
      <c r="AC314" s="132"/>
      <c r="AD314" s="132"/>
      <c r="AE314" s="290"/>
      <c r="AF314" s="141">
        <f>+O314+P314+Q314+R314+S314+T314+U314+V314+W314+X314+Y314+Z314+AA314+AB314+AC314+AD314</f>
        <v>241</v>
      </c>
      <c r="AG314" s="125"/>
      <c r="AH314" s="102">
        <f>+AF314/M314</f>
        <v>0.17720588235294119</v>
      </c>
      <c r="AI314" s="598">
        <f t="shared" si="4"/>
        <v>0.17720588235294119</v>
      </c>
      <c r="AJ314" s="125"/>
      <c r="AK314" s="222">
        <v>877881785</v>
      </c>
      <c r="AL314" s="203"/>
      <c r="AM314" s="203"/>
      <c r="AN314" s="203"/>
      <c r="AO314" s="203"/>
      <c r="AP314" s="203"/>
      <c r="AQ314" s="203"/>
      <c r="AR314" s="203"/>
      <c r="AS314" s="203"/>
      <c r="AT314" s="203">
        <v>816170000</v>
      </c>
      <c r="AU314" s="212">
        <f>+AT314/AK314</f>
        <v>0.92970376415772193</v>
      </c>
      <c r="AV314" s="144"/>
    </row>
    <row r="315" spans="1:48" ht="135" x14ac:dyDescent="0.25">
      <c r="A315" s="632"/>
      <c r="B315" s="663"/>
      <c r="C315" s="638"/>
      <c r="D315" s="633"/>
      <c r="E315" s="622"/>
      <c r="F315" s="622"/>
      <c r="G315" s="622"/>
      <c r="H315" s="666"/>
      <c r="I315" s="666"/>
      <c r="J315" s="625"/>
      <c r="K315" s="249" t="s">
        <v>701</v>
      </c>
      <c r="L315" s="249" t="s">
        <v>702</v>
      </c>
      <c r="M315" s="220">
        <v>1360</v>
      </c>
      <c r="N315" s="220">
        <v>1297</v>
      </c>
      <c r="O315" s="220"/>
      <c r="P315" s="125"/>
      <c r="Q315" s="132">
        <v>0</v>
      </c>
      <c r="R315" s="132">
        <v>100</v>
      </c>
      <c r="S315" s="221">
        <v>0</v>
      </c>
      <c r="T315" s="132">
        <v>0</v>
      </c>
      <c r="U315" s="274">
        <v>0</v>
      </c>
      <c r="V315" s="289">
        <v>0</v>
      </c>
      <c r="W315" s="307">
        <v>40</v>
      </c>
      <c r="X315" s="307">
        <v>0</v>
      </c>
      <c r="Y315" s="307">
        <v>0</v>
      </c>
      <c r="Z315" s="132">
        <v>101</v>
      </c>
      <c r="AA315" s="132"/>
      <c r="AB315" s="132">
        <v>0</v>
      </c>
      <c r="AC315" s="132"/>
      <c r="AD315" s="132"/>
      <c r="AE315" s="290"/>
      <c r="AF315" s="141">
        <f>+O315+P315+Q315+R315+S315+T315+U315+V315+W315+X315+Y315+Z315+AA315+AB315+AC315+AD315</f>
        <v>241</v>
      </c>
      <c r="AG315" s="125"/>
      <c r="AH315" s="102">
        <f>+(AF315/M315)</f>
        <v>0.17720588235294119</v>
      </c>
      <c r="AI315" s="598">
        <f t="shared" si="4"/>
        <v>0.17720588235294119</v>
      </c>
      <c r="AJ315" s="125"/>
      <c r="AK315" s="143"/>
      <c r="AL315" s="143"/>
      <c r="AM315" s="143"/>
      <c r="AN315" s="143"/>
      <c r="AO315" s="143"/>
      <c r="AP315" s="143"/>
      <c r="AQ315" s="143"/>
      <c r="AR315" s="143"/>
      <c r="AS315" s="143"/>
      <c r="AT315" s="143"/>
      <c r="AU315" s="143"/>
      <c r="AV315" s="144"/>
    </row>
    <row r="316" spans="1:48" ht="60" x14ac:dyDescent="0.25">
      <c r="A316" s="632"/>
      <c r="B316" s="663"/>
      <c r="C316" s="638"/>
      <c r="D316" s="633"/>
      <c r="E316" s="622"/>
      <c r="F316" s="622"/>
      <c r="G316" s="622"/>
      <c r="H316" s="666"/>
      <c r="I316" s="666"/>
      <c r="J316" s="625"/>
      <c r="K316" s="249" t="s">
        <v>704</v>
      </c>
      <c r="L316" s="249" t="s">
        <v>705</v>
      </c>
      <c r="M316" s="220">
        <v>17170</v>
      </c>
      <c r="N316" s="220">
        <v>16597</v>
      </c>
      <c r="O316" s="220"/>
      <c r="P316" s="125"/>
      <c r="Q316" s="132">
        <v>1336</v>
      </c>
      <c r="R316" s="132">
        <v>537</v>
      </c>
      <c r="S316" s="221">
        <v>21</v>
      </c>
      <c r="T316" s="132">
        <v>3143</v>
      </c>
      <c r="U316" s="274">
        <v>2529</v>
      </c>
      <c r="V316" s="289">
        <v>235</v>
      </c>
      <c r="W316" s="307">
        <v>1604</v>
      </c>
      <c r="X316" s="307">
        <v>1515</v>
      </c>
      <c r="Y316" s="307">
        <v>1416</v>
      </c>
      <c r="Z316" s="132">
        <v>820</v>
      </c>
      <c r="AA316" s="132">
        <v>308</v>
      </c>
      <c r="AB316" s="132">
        <v>4755</v>
      </c>
      <c r="AC316" s="132"/>
      <c r="AD316" s="132"/>
      <c r="AE316" s="290"/>
      <c r="AF316" s="141">
        <f>5928+W316+X316+Y316+Z316+AA316+AB316+V316+U316+R316</f>
        <v>19647</v>
      </c>
      <c r="AG316" s="125"/>
      <c r="AH316" s="102">
        <v>0.1</v>
      </c>
      <c r="AI316" s="598">
        <f t="shared" si="4"/>
        <v>0.1</v>
      </c>
      <c r="AJ316" s="125"/>
      <c r="AK316" s="143"/>
      <c r="AL316" s="143"/>
      <c r="AM316" s="143"/>
      <c r="AN316" s="143"/>
      <c r="AO316" s="143"/>
      <c r="AP316" s="143"/>
      <c r="AQ316" s="143"/>
      <c r="AR316" s="143"/>
      <c r="AS316" s="143"/>
      <c r="AT316" s="143"/>
      <c r="AU316" s="143"/>
      <c r="AV316" s="144"/>
    </row>
    <row r="317" spans="1:48" ht="120" x14ac:dyDescent="0.25">
      <c r="A317" s="632"/>
      <c r="B317" s="663"/>
      <c r="C317" s="638"/>
      <c r="D317" s="633"/>
      <c r="E317" s="622"/>
      <c r="F317" s="622"/>
      <c r="G317" s="622"/>
      <c r="H317" s="666"/>
      <c r="I317" s="666"/>
      <c r="J317" s="625"/>
      <c r="K317" s="249" t="s">
        <v>2166</v>
      </c>
      <c r="L317" s="249" t="s">
        <v>706</v>
      </c>
      <c r="M317" s="220">
        <v>6461</v>
      </c>
      <c r="N317" s="220">
        <v>2968</v>
      </c>
      <c r="O317" s="220"/>
      <c r="P317" s="125"/>
      <c r="Q317" s="132">
        <v>688</v>
      </c>
      <c r="R317" s="132">
        <v>843</v>
      </c>
      <c r="S317" s="221">
        <v>0</v>
      </c>
      <c r="T317" s="284">
        <v>553</v>
      </c>
      <c r="U317" s="284">
        <v>1322</v>
      </c>
      <c r="V317" s="289">
        <v>233</v>
      </c>
      <c r="W317" s="307">
        <v>382</v>
      </c>
      <c r="X317" s="307">
        <v>1086</v>
      </c>
      <c r="Y317" s="307">
        <v>1117</v>
      </c>
      <c r="Z317" s="132">
        <v>1000</v>
      </c>
      <c r="AA317" s="132">
        <v>379</v>
      </c>
      <c r="AB317" s="132">
        <v>221</v>
      </c>
      <c r="AC317" s="132"/>
      <c r="AD317" s="132"/>
      <c r="AE317" s="290"/>
      <c r="AF317" s="141">
        <f>+O317+P317+Q317+R317+S317+T317+U317+V317+W317+X317+Y317+Z317+AA317+AB317+AC317+AD317+N317</f>
        <v>10792</v>
      </c>
      <c r="AG317" s="125"/>
      <c r="AH317" s="102">
        <v>1</v>
      </c>
      <c r="AI317" s="598">
        <f t="shared" si="4"/>
        <v>1</v>
      </c>
      <c r="AJ317" s="125"/>
      <c r="AK317" s="203"/>
      <c r="AL317" s="203"/>
      <c r="AM317" s="203"/>
      <c r="AN317" s="203"/>
      <c r="AO317" s="203"/>
      <c r="AP317" s="203"/>
      <c r="AQ317" s="203"/>
      <c r="AR317" s="203"/>
      <c r="AS317" s="203"/>
      <c r="AT317" s="203"/>
      <c r="AU317" s="156"/>
      <c r="AV317" s="144"/>
    </row>
    <row r="318" spans="1:48" ht="45" x14ac:dyDescent="0.25">
      <c r="A318" s="632"/>
      <c r="B318" s="663"/>
      <c r="C318" s="638"/>
      <c r="D318" s="633"/>
      <c r="E318" s="622"/>
      <c r="F318" s="622"/>
      <c r="G318" s="622"/>
      <c r="H318" s="666"/>
      <c r="I318" s="666"/>
      <c r="J318" s="625"/>
      <c r="K318" s="249" t="s">
        <v>707</v>
      </c>
      <c r="L318" s="249" t="s">
        <v>708</v>
      </c>
      <c r="M318" s="220">
        <v>1</v>
      </c>
      <c r="N318" s="220">
        <v>0</v>
      </c>
      <c r="O318" s="220"/>
      <c r="P318" s="125"/>
      <c r="Q318" s="132">
        <v>0</v>
      </c>
      <c r="R318" s="132">
        <v>0</v>
      </c>
      <c r="S318" s="221">
        <v>0</v>
      </c>
      <c r="T318" s="132">
        <v>1</v>
      </c>
      <c r="U318" s="274">
        <v>0</v>
      </c>
      <c r="V318" s="289">
        <v>0</v>
      </c>
      <c r="W318" s="307">
        <v>0</v>
      </c>
      <c r="X318" s="307">
        <v>0</v>
      </c>
      <c r="Y318" s="307">
        <v>0</v>
      </c>
      <c r="Z318" s="132">
        <v>0</v>
      </c>
      <c r="AA318" s="132">
        <v>0</v>
      </c>
      <c r="AB318" s="132">
        <v>1</v>
      </c>
      <c r="AC318" s="132"/>
      <c r="AD318" s="132"/>
      <c r="AE318" s="290"/>
      <c r="AF318" s="141">
        <f>+O318+P318+Q318+R318+S318+T318+U318+V318+W318+X318+Y318+Z318+AA318+AB318+AC318+AD318</f>
        <v>2</v>
      </c>
      <c r="AG318" s="125"/>
      <c r="AH318" s="102">
        <v>1</v>
      </c>
      <c r="AI318" s="598">
        <f t="shared" si="4"/>
        <v>1</v>
      </c>
      <c r="AJ318" s="125"/>
      <c r="AK318" s="143"/>
      <c r="AL318" s="143"/>
      <c r="AM318" s="143"/>
      <c r="AN318" s="143"/>
      <c r="AO318" s="143"/>
      <c r="AP318" s="143"/>
      <c r="AQ318" s="143"/>
      <c r="AR318" s="143"/>
      <c r="AS318" s="143"/>
      <c r="AT318" s="143"/>
      <c r="AU318" s="143"/>
      <c r="AV318" s="144"/>
    </row>
    <row r="319" spans="1:48" ht="105" x14ac:dyDescent="0.25">
      <c r="A319" s="632"/>
      <c r="B319" s="663"/>
      <c r="C319" s="638"/>
      <c r="D319" s="633"/>
      <c r="E319" s="622"/>
      <c r="F319" s="622"/>
      <c r="G319" s="622"/>
      <c r="H319" s="666"/>
      <c r="I319" s="666"/>
      <c r="J319" s="625"/>
      <c r="K319" s="249" t="s">
        <v>2167</v>
      </c>
      <c r="L319" s="249" t="s">
        <v>709</v>
      </c>
      <c r="M319" s="220">
        <v>16</v>
      </c>
      <c r="N319" s="220">
        <v>8</v>
      </c>
      <c r="O319" s="220"/>
      <c r="P319" s="125"/>
      <c r="Q319" s="132">
        <v>0</v>
      </c>
      <c r="R319" s="132">
        <v>4</v>
      </c>
      <c r="S319" s="221">
        <v>0</v>
      </c>
      <c r="T319" s="132">
        <v>0</v>
      </c>
      <c r="U319" s="274">
        <v>0</v>
      </c>
      <c r="V319" s="289">
        <v>0</v>
      </c>
      <c r="W319" s="307">
        <v>0</v>
      </c>
      <c r="X319" s="307">
        <v>0</v>
      </c>
      <c r="Y319" s="307">
        <v>0</v>
      </c>
      <c r="Z319" s="132">
        <v>0</v>
      </c>
      <c r="AA319" s="132">
        <v>0</v>
      </c>
      <c r="AB319" s="132">
        <v>0</v>
      </c>
      <c r="AC319" s="132"/>
      <c r="AD319" s="132"/>
      <c r="AE319" s="290"/>
      <c r="AF319" s="141">
        <f>+R319</f>
        <v>4</v>
      </c>
      <c r="AG319" s="125"/>
      <c r="AH319" s="96">
        <f>+AF319/(M319)</f>
        <v>0.25</v>
      </c>
      <c r="AI319" s="598">
        <f t="shared" si="4"/>
        <v>0.25</v>
      </c>
      <c r="AJ319" s="125"/>
      <c r="AK319" s="143"/>
      <c r="AL319" s="143"/>
      <c r="AM319" s="143"/>
      <c r="AN319" s="143"/>
      <c r="AO319" s="143"/>
      <c r="AP319" s="143"/>
      <c r="AQ319" s="143"/>
      <c r="AR319" s="143"/>
      <c r="AS319" s="143"/>
      <c r="AT319" s="143"/>
      <c r="AU319" s="143"/>
      <c r="AV319" s="144"/>
    </row>
    <row r="320" spans="1:48" ht="60" x14ac:dyDescent="0.25">
      <c r="A320" s="632"/>
      <c r="B320" s="663"/>
      <c r="C320" s="638"/>
      <c r="D320" s="633"/>
      <c r="E320" s="622"/>
      <c r="F320" s="622"/>
      <c r="G320" s="622"/>
      <c r="H320" s="666"/>
      <c r="I320" s="666"/>
      <c r="J320" s="625"/>
      <c r="K320" s="249" t="s">
        <v>2168</v>
      </c>
      <c r="L320" s="249" t="s">
        <v>710</v>
      </c>
      <c r="M320" s="220">
        <v>1</v>
      </c>
      <c r="N320" s="220">
        <v>1</v>
      </c>
      <c r="O320" s="220"/>
      <c r="P320" s="125"/>
      <c r="Q320" s="132">
        <v>1</v>
      </c>
      <c r="R320" s="132">
        <v>1</v>
      </c>
      <c r="S320" s="221">
        <v>0</v>
      </c>
      <c r="T320" s="132">
        <v>0</v>
      </c>
      <c r="U320" s="274">
        <v>0</v>
      </c>
      <c r="V320" s="289">
        <v>0</v>
      </c>
      <c r="W320" s="132">
        <v>0</v>
      </c>
      <c r="X320" s="132">
        <v>0</v>
      </c>
      <c r="Y320" s="132">
        <v>0</v>
      </c>
      <c r="Z320" s="132">
        <v>0</v>
      </c>
      <c r="AA320" s="132">
        <v>1</v>
      </c>
      <c r="AB320" s="132">
        <v>3</v>
      </c>
      <c r="AC320" s="132"/>
      <c r="AD320" s="132"/>
      <c r="AE320" s="290"/>
      <c r="AF320" s="141">
        <f>+R320</f>
        <v>1</v>
      </c>
      <c r="AG320" s="125"/>
      <c r="AH320" s="96">
        <f>+(AF320/M320)</f>
        <v>1</v>
      </c>
      <c r="AI320" s="598">
        <f t="shared" si="4"/>
        <v>1</v>
      </c>
      <c r="AJ320" s="125"/>
      <c r="AK320" s="143"/>
      <c r="AL320" s="143"/>
      <c r="AM320" s="143"/>
      <c r="AN320" s="143"/>
      <c r="AO320" s="143"/>
      <c r="AP320" s="143"/>
      <c r="AQ320" s="143"/>
      <c r="AR320" s="143"/>
      <c r="AS320" s="143"/>
      <c r="AT320" s="143"/>
      <c r="AU320" s="143"/>
      <c r="AV320" s="144"/>
    </row>
    <row r="321" spans="1:48" ht="45" customHeight="1" x14ac:dyDescent="0.25">
      <c r="A321" s="632"/>
      <c r="B321" s="663"/>
      <c r="C321" s="638"/>
      <c r="D321" s="633"/>
      <c r="E321" s="622"/>
      <c r="F321" s="622"/>
      <c r="G321" s="622"/>
      <c r="H321" s="666"/>
      <c r="I321" s="666"/>
      <c r="J321" s="625"/>
      <c r="K321" s="125"/>
      <c r="L321" s="125"/>
      <c r="M321" s="220"/>
      <c r="N321" s="220"/>
      <c r="O321" s="220"/>
      <c r="P321" s="125"/>
      <c r="Q321" s="132"/>
      <c r="R321" s="132"/>
      <c r="S321" s="133"/>
      <c r="T321" s="132"/>
      <c r="U321" s="274"/>
      <c r="V321" s="290"/>
      <c r="W321" s="132"/>
      <c r="X321" s="132"/>
      <c r="Y321" s="132"/>
      <c r="Z321" s="132"/>
      <c r="AA321" s="132"/>
      <c r="AB321" s="132"/>
      <c r="AC321" s="132"/>
      <c r="AD321" s="132"/>
      <c r="AE321" s="290"/>
      <c r="AF321" s="141"/>
      <c r="AG321" s="125"/>
      <c r="AH321" s="150">
        <f>AVERAGE(AH314:AH320)</f>
        <v>0.52920168067226891</v>
      </c>
      <c r="AI321" s="598">
        <f t="shared" si="4"/>
        <v>0.52920168067226891</v>
      </c>
      <c r="AJ321" s="125"/>
      <c r="AK321" s="143"/>
      <c r="AL321" s="143"/>
      <c r="AM321" s="143"/>
      <c r="AN321" s="143"/>
      <c r="AO321" s="143"/>
      <c r="AP321" s="143"/>
      <c r="AQ321" s="143"/>
      <c r="AR321" s="143"/>
      <c r="AS321" s="143"/>
      <c r="AT321" s="143"/>
      <c r="AU321" s="143"/>
      <c r="AV321" s="144"/>
    </row>
    <row r="322" spans="1:48" ht="114.75" customHeight="1" x14ac:dyDescent="0.25">
      <c r="A322" s="632"/>
      <c r="B322" s="663"/>
      <c r="C322" s="638"/>
      <c r="D322" s="633"/>
      <c r="E322" s="622"/>
      <c r="F322" s="622" t="s">
        <v>712</v>
      </c>
      <c r="G322" s="622" t="s">
        <v>711</v>
      </c>
      <c r="H322" s="623">
        <v>0.15</v>
      </c>
      <c r="I322" s="623">
        <v>0.15</v>
      </c>
      <c r="J322" s="625" t="s">
        <v>713</v>
      </c>
      <c r="K322" s="249" t="s">
        <v>714</v>
      </c>
      <c r="L322" s="249" t="s">
        <v>715</v>
      </c>
      <c r="M322" s="220">
        <f>43500</f>
        <v>43500</v>
      </c>
      <c r="N322" s="701">
        <v>47276</v>
      </c>
      <c r="O322" s="220"/>
      <c r="P322" s="125"/>
      <c r="Q322" s="132">
        <v>3044</v>
      </c>
      <c r="R322" s="132">
        <v>6137</v>
      </c>
      <c r="S322" s="284">
        <v>347</v>
      </c>
      <c r="T322" s="284">
        <v>6736</v>
      </c>
      <c r="U322" s="284">
        <v>6238</v>
      </c>
      <c r="V322" s="289">
        <v>1563</v>
      </c>
      <c r="W322" s="132">
        <v>1692</v>
      </c>
      <c r="X322" s="132">
        <v>9950</v>
      </c>
      <c r="Y322" s="132">
        <v>1583</v>
      </c>
      <c r="Z322" s="132">
        <v>663</v>
      </c>
      <c r="AA322" s="132">
        <v>760</v>
      </c>
      <c r="AB322" s="132">
        <v>3977</v>
      </c>
      <c r="AC322" s="132"/>
      <c r="AD322" s="132"/>
      <c r="AE322" s="290"/>
      <c r="AF322" s="141">
        <f>+Q322+R322+S322+T322+U322+V322+W322+X322+Y322+Z322+AA322+AB322</f>
        <v>42690</v>
      </c>
      <c r="AG322" s="125"/>
      <c r="AH322" s="102">
        <f>+(AF322/M322)</f>
        <v>0.98137931034482762</v>
      </c>
      <c r="AI322" s="598">
        <f t="shared" si="4"/>
        <v>0.98137931034482762</v>
      </c>
      <c r="AJ322" s="125"/>
      <c r="AK322" s="143"/>
      <c r="AL322" s="143"/>
      <c r="AM322" s="143"/>
      <c r="AN322" s="143"/>
      <c r="AO322" s="143"/>
      <c r="AP322" s="143"/>
      <c r="AQ322" s="143"/>
      <c r="AR322" s="143"/>
      <c r="AS322" s="143"/>
      <c r="AT322" s="143"/>
      <c r="AU322" s="143"/>
      <c r="AV322" s="144"/>
    </row>
    <row r="323" spans="1:48" ht="75" x14ac:dyDescent="0.25">
      <c r="A323" s="632"/>
      <c r="B323" s="663"/>
      <c r="C323" s="638"/>
      <c r="D323" s="633"/>
      <c r="E323" s="622"/>
      <c r="F323" s="622"/>
      <c r="G323" s="622"/>
      <c r="H323" s="623"/>
      <c r="I323" s="623"/>
      <c r="J323" s="625"/>
      <c r="K323" s="249" t="s">
        <v>716</v>
      </c>
      <c r="L323" s="249" t="s">
        <v>717</v>
      </c>
      <c r="M323" s="220">
        <v>836</v>
      </c>
      <c r="N323" s="702"/>
      <c r="O323" s="220"/>
      <c r="P323" s="125"/>
      <c r="Q323" s="132">
        <v>0</v>
      </c>
      <c r="R323" s="132">
        <v>487</v>
      </c>
      <c r="S323" s="221">
        <v>0</v>
      </c>
      <c r="T323" s="132">
        <v>52</v>
      </c>
      <c r="U323" s="274">
        <v>407</v>
      </c>
      <c r="V323" s="289">
        <v>0</v>
      </c>
      <c r="W323" s="445">
        <v>65</v>
      </c>
      <c r="X323" s="445">
        <v>35</v>
      </c>
      <c r="Y323" s="445">
        <v>0</v>
      </c>
      <c r="Z323" s="445"/>
      <c r="AA323" s="132">
        <v>0</v>
      </c>
      <c r="AB323" s="132">
        <v>149</v>
      </c>
      <c r="AC323" s="132"/>
      <c r="AD323" s="132"/>
      <c r="AE323" s="290"/>
      <c r="AF323" s="141">
        <f>+(S323+T323+U323+V323+W323+X323+Y323+R323)</f>
        <v>1046</v>
      </c>
      <c r="AG323" s="125"/>
      <c r="AH323" s="102">
        <v>1</v>
      </c>
      <c r="AI323" s="598">
        <f t="shared" si="4"/>
        <v>1</v>
      </c>
      <c r="AJ323" s="125"/>
      <c r="AK323" s="143"/>
      <c r="AL323" s="143"/>
      <c r="AM323" s="143"/>
      <c r="AN323" s="143"/>
      <c r="AO323" s="143"/>
      <c r="AP323" s="143"/>
      <c r="AQ323" s="143"/>
      <c r="AR323" s="143"/>
      <c r="AS323" s="143"/>
      <c r="AT323" s="143"/>
      <c r="AU323" s="143"/>
      <c r="AV323" s="144"/>
    </row>
    <row r="324" spans="1:48" ht="120" x14ac:dyDescent="0.25">
      <c r="A324" s="632"/>
      <c r="B324" s="663"/>
      <c r="C324" s="638"/>
      <c r="D324" s="633"/>
      <c r="E324" s="622"/>
      <c r="F324" s="622"/>
      <c r="G324" s="622"/>
      <c r="H324" s="623"/>
      <c r="I324" s="623"/>
      <c r="J324" s="625"/>
      <c r="K324" s="249" t="s">
        <v>718</v>
      </c>
      <c r="L324" s="249" t="s">
        <v>719</v>
      </c>
      <c r="M324" s="220">
        <v>3000</v>
      </c>
      <c r="N324" s="703"/>
      <c r="O324" s="220"/>
      <c r="P324" s="125"/>
      <c r="Q324" s="132">
        <v>0</v>
      </c>
      <c r="R324" s="132">
        <v>73</v>
      </c>
      <c r="S324" s="221">
        <v>0</v>
      </c>
      <c r="T324" s="132">
        <v>0</v>
      </c>
      <c r="U324" s="274">
        <v>0</v>
      </c>
      <c r="V324" s="289">
        <v>0</v>
      </c>
      <c r="W324" s="445">
        <v>0</v>
      </c>
      <c r="X324" s="445">
        <v>634</v>
      </c>
      <c r="Y324" s="445">
        <v>0</v>
      </c>
      <c r="Z324" s="445">
        <v>35</v>
      </c>
      <c r="AA324" s="132">
        <v>0</v>
      </c>
      <c r="AB324" s="132">
        <v>821</v>
      </c>
      <c r="AC324" s="132"/>
      <c r="AD324" s="132"/>
      <c r="AE324" s="290"/>
      <c r="AF324" s="141">
        <f>+O324+P324+Q324+R324+S324+T324+U324+V324+W324+X324+Y324+Z324+AA324+AB324+AC324+AD324</f>
        <v>1563</v>
      </c>
      <c r="AG324" s="125"/>
      <c r="AH324" s="102">
        <f>+(AF324/M324)</f>
        <v>0.52100000000000002</v>
      </c>
      <c r="AI324" s="598">
        <f t="shared" ref="AI324:AI387" si="5">+AH324</f>
        <v>0.52100000000000002</v>
      </c>
      <c r="AJ324" s="125"/>
      <c r="AK324" s="143"/>
      <c r="AL324" s="143"/>
      <c r="AM324" s="143"/>
      <c r="AN324" s="143"/>
      <c r="AO324" s="143"/>
      <c r="AP324" s="143"/>
      <c r="AQ324" s="143"/>
      <c r="AR324" s="143"/>
      <c r="AS324" s="143"/>
      <c r="AT324" s="143"/>
      <c r="AU324" s="143"/>
      <c r="AV324" s="144"/>
    </row>
    <row r="325" spans="1:48" ht="60" customHeight="1" x14ac:dyDescent="0.25">
      <c r="A325" s="632"/>
      <c r="B325" s="663"/>
      <c r="C325" s="638"/>
      <c r="D325" s="633"/>
      <c r="E325" s="622"/>
      <c r="F325" s="622"/>
      <c r="G325" s="622"/>
      <c r="H325" s="623"/>
      <c r="I325" s="623"/>
      <c r="J325" s="625"/>
      <c r="K325" s="125"/>
      <c r="L325" s="125"/>
      <c r="M325" s="220"/>
      <c r="N325" s="220"/>
      <c r="O325" s="220"/>
      <c r="P325" s="125"/>
      <c r="Q325" s="132"/>
      <c r="R325" s="132"/>
      <c r="S325" s="133"/>
      <c r="T325" s="132"/>
      <c r="U325" s="274"/>
      <c r="V325" s="290"/>
      <c r="W325" s="132"/>
      <c r="X325" s="132"/>
      <c r="Y325" s="132"/>
      <c r="Z325" s="132"/>
      <c r="AA325" s="132"/>
      <c r="AB325" s="132"/>
      <c r="AC325" s="132"/>
      <c r="AD325" s="132"/>
      <c r="AE325" s="290"/>
      <c r="AF325" s="141"/>
      <c r="AG325" s="125"/>
      <c r="AH325" s="150">
        <f>AVERAGE(AH322:AH324)</f>
        <v>0.83412643678160914</v>
      </c>
      <c r="AI325" s="598">
        <f t="shared" si="5"/>
        <v>0.83412643678160914</v>
      </c>
      <c r="AJ325" s="125"/>
      <c r="AK325" s="143"/>
      <c r="AL325" s="143"/>
      <c r="AM325" s="143"/>
      <c r="AN325" s="143"/>
      <c r="AO325" s="143"/>
      <c r="AP325" s="143"/>
      <c r="AQ325" s="143"/>
      <c r="AR325" s="143"/>
      <c r="AS325" s="143"/>
      <c r="AT325" s="143"/>
      <c r="AU325" s="143"/>
      <c r="AV325" s="144"/>
    </row>
    <row r="326" spans="1:48" ht="60" customHeight="1" x14ac:dyDescent="0.25">
      <c r="A326" s="632"/>
      <c r="B326" s="663"/>
      <c r="C326" s="638"/>
      <c r="D326" s="633"/>
      <c r="E326" s="622"/>
      <c r="F326" s="132"/>
      <c r="G326" s="622"/>
      <c r="H326" s="623"/>
      <c r="I326" s="623"/>
      <c r="J326" s="132"/>
      <c r="K326" s="125"/>
      <c r="L326" s="125"/>
      <c r="M326" s="220"/>
      <c r="N326" s="220"/>
      <c r="O326" s="220"/>
      <c r="P326" s="125"/>
      <c r="Q326" s="132"/>
      <c r="R326" s="132"/>
      <c r="S326" s="133"/>
      <c r="T326" s="132"/>
      <c r="U326" s="274"/>
      <c r="V326" s="290"/>
      <c r="W326" s="132"/>
      <c r="X326" s="132"/>
      <c r="Y326" s="132"/>
      <c r="Z326" s="132"/>
      <c r="AA326" s="132"/>
      <c r="AB326" s="132"/>
      <c r="AC326" s="132"/>
      <c r="AD326" s="132"/>
      <c r="AE326" s="290"/>
      <c r="AF326" s="141"/>
      <c r="AG326" s="125"/>
      <c r="AH326" s="171">
        <f>+(AH321+AH325+AH312)/3</f>
        <v>0.64491889629414978</v>
      </c>
      <c r="AI326" s="598">
        <f t="shared" si="5"/>
        <v>0.64491889629414978</v>
      </c>
      <c r="AJ326" s="125"/>
      <c r="AK326" s="143"/>
      <c r="AL326" s="143"/>
      <c r="AM326" s="143"/>
      <c r="AN326" s="143"/>
      <c r="AO326" s="143"/>
      <c r="AP326" s="143"/>
      <c r="AQ326" s="143"/>
      <c r="AR326" s="143"/>
      <c r="AS326" s="143"/>
      <c r="AT326" s="143"/>
      <c r="AU326" s="143"/>
      <c r="AV326" s="144"/>
    </row>
    <row r="327" spans="1:48" ht="57.75" customHeight="1" x14ac:dyDescent="0.25">
      <c r="A327" s="632"/>
      <c r="B327" s="663"/>
      <c r="C327" s="638"/>
      <c r="D327" s="633"/>
      <c r="E327" s="109"/>
      <c r="F327" s="132"/>
      <c r="G327" s="132"/>
      <c r="H327" s="206"/>
      <c r="I327" s="206"/>
      <c r="J327" s="132"/>
      <c r="K327" s="125"/>
      <c r="L327" s="125"/>
      <c r="M327" s="220"/>
      <c r="N327" s="220"/>
      <c r="O327" s="220"/>
      <c r="P327" s="125"/>
      <c r="Q327" s="132"/>
      <c r="R327" s="132"/>
      <c r="S327" s="133"/>
      <c r="T327" s="132"/>
      <c r="U327" s="274"/>
      <c r="V327" s="290"/>
      <c r="W327" s="132"/>
      <c r="X327" s="132"/>
      <c r="Y327" s="132"/>
      <c r="Z327" s="132"/>
      <c r="AA327" s="132"/>
      <c r="AB327" s="132"/>
      <c r="AC327" s="132"/>
      <c r="AD327" s="132"/>
      <c r="AE327" s="290"/>
      <c r="AF327" s="141"/>
      <c r="AG327" s="125"/>
      <c r="AH327" s="223">
        <f>+(AH313+AH326)/2</f>
        <v>0.60817373386136064</v>
      </c>
      <c r="AI327" s="598">
        <f t="shared" si="5"/>
        <v>0.60817373386136064</v>
      </c>
      <c r="AJ327" s="125"/>
      <c r="AK327" s="143"/>
      <c r="AL327" s="143"/>
      <c r="AM327" s="143"/>
      <c r="AN327" s="143"/>
      <c r="AO327" s="143"/>
      <c r="AP327" s="143"/>
      <c r="AQ327" s="143"/>
      <c r="AR327" s="143"/>
      <c r="AS327" s="143"/>
      <c r="AT327" s="143"/>
      <c r="AU327" s="143"/>
      <c r="AV327" s="144"/>
    </row>
    <row r="328" spans="1:48" ht="97.5" customHeight="1" x14ac:dyDescent="0.25">
      <c r="A328" s="632"/>
      <c r="B328" s="663"/>
      <c r="C328" s="638"/>
      <c r="D328" s="626" t="s">
        <v>720</v>
      </c>
      <c r="E328" s="622" t="s">
        <v>721</v>
      </c>
      <c r="F328" s="622" t="s">
        <v>723</v>
      </c>
      <c r="G328" s="622" t="s">
        <v>722</v>
      </c>
      <c r="H328" s="630">
        <v>0.1</v>
      </c>
      <c r="I328" s="630">
        <v>0.05</v>
      </c>
      <c r="J328" s="625" t="s">
        <v>724</v>
      </c>
      <c r="K328" s="249" t="s">
        <v>725</v>
      </c>
      <c r="L328" s="249" t="s">
        <v>726</v>
      </c>
      <c r="M328" s="220">
        <v>500</v>
      </c>
      <c r="N328" s="220">
        <v>0</v>
      </c>
      <c r="O328" s="220"/>
      <c r="P328" s="125"/>
      <c r="Q328" s="132">
        <v>368</v>
      </c>
      <c r="R328" s="132">
        <v>0</v>
      </c>
      <c r="S328" s="284">
        <v>144</v>
      </c>
      <c r="T328" s="284">
        <v>0</v>
      </c>
      <c r="U328" s="284">
        <v>27</v>
      </c>
      <c r="V328" s="289">
        <f>320-171</f>
        <v>149</v>
      </c>
      <c r="W328" s="307">
        <v>0</v>
      </c>
      <c r="X328" s="307">
        <v>60</v>
      </c>
      <c r="Y328" s="307">
        <v>0</v>
      </c>
      <c r="Z328" s="132">
        <v>6</v>
      </c>
      <c r="AA328" s="132">
        <v>0</v>
      </c>
      <c r="AB328" s="132">
        <v>31</v>
      </c>
      <c r="AC328" s="132"/>
      <c r="AD328" s="132"/>
      <c r="AE328" s="290"/>
      <c r="AF328" s="141">
        <f t="shared" ref="AF328:AF334" si="6">+O328+P328+Q328+R328+S328+T328+U328+V328+W328+X328+Y328+Z328+AA328+AB328+AC328+AD328</f>
        <v>785</v>
      </c>
      <c r="AG328" s="125"/>
      <c r="AH328" s="102">
        <v>1</v>
      </c>
      <c r="AI328" s="598">
        <f t="shared" si="5"/>
        <v>1</v>
      </c>
      <c r="AJ328" s="125"/>
      <c r="AK328" s="203">
        <v>196619135</v>
      </c>
      <c r="AL328" s="203"/>
      <c r="AM328" s="203"/>
      <c r="AN328" s="203"/>
      <c r="AO328" s="203"/>
      <c r="AP328" s="203"/>
      <c r="AQ328" s="203"/>
      <c r="AR328" s="203"/>
      <c r="AS328" s="203"/>
      <c r="AT328" s="203">
        <v>179050000</v>
      </c>
      <c r="AU328" s="212">
        <f>+AT328/AK328</f>
        <v>0.91064381907691738</v>
      </c>
      <c r="AV328" s="144"/>
    </row>
    <row r="329" spans="1:48" ht="60" x14ac:dyDescent="0.25">
      <c r="A329" s="632"/>
      <c r="B329" s="663"/>
      <c r="C329" s="638"/>
      <c r="D329" s="626"/>
      <c r="E329" s="622"/>
      <c r="F329" s="622"/>
      <c r="G329" s="622"/>
      <c r="H329" s="630"/>
      <c r="I329" s="630"/>
      <c r="J329" s="625"/>
      <c r="K329" s="249" t="s">
        <v>727</v>
      </c>
      <c r="L329" s="249" t="s">
        <v>728</v>
      </c>
      <c r="M329" s="220">
        <v>905</v>
      </c>
      <c r="N329" s="220">
        <v>2095</v>
      </c>
      <c r="O329" s="220"/>
      <c r="P329" s="125"/>
      <c r="Q329" s="132">
        <v>35</v>
      </c>
      <c r="R329" s="132">
        <v>0</v>
      </c>
      <c r="S329" s="284">
        <v>76</v>
      </c>
      <c r="T329" s="284">
        <v>182</v>
      </c>
      <c r="U329" s="284">
        <v>133</v>
      </c>
      <c r="V329" s="289">
        <v>0</v>
      </c>
      <c r="W329" s="307">
        <v>0</v>
      </c>
      <c r="X329" s="307">
        <v>314</v>
      </c>
      <c r="Y329" s="307">
        <v>0</v>
      </c>
      <c r="Z329" s="132">
        <v>898</v>
      </c>
      <c r="AA329" s="132">
        <v>350</v>
      </c>
      <c r="AB329" s="132">
        <v>521</v>
      </c>
      <c r="AC329" s="132"/>
      <c r="AD329" s="132"/>
      <c r="AE329" s="290"/>
      <c r="AF329" s="141">
        <f t="shared" si="6"/>
        <v>2509</v>
      </c>
      <c r="AG329" s="125"/>
      <c r="AH329" s="102">
        <v>1</v>
      </c>
      <c r="AI329" s="598">
        <f t="shared" si="5"/>
        <v>1</v>
      </c>
      <c r="AJ329" s="125"/>
      <c r="AK329" s="143"/>
      <c r="AL329" s="143"/>
      <c r="AM329" s="143"/>
      <c r="AN329" s="143"/>
      <c r="AO329" s="143"/>
      <c r="AP329" s="143"/>
      <c r="AQ329" s="143"/>
      <c r="AR329" s="143"/>
      <c r="AS329" s="143"/>
      <c r="AT329" s="143"/>
      <c r="AU329" s="143"/>
      <c r="AV329" s="144"/>
    </row>
    <row r="330" spans="1:48" ht="60" x14ac:dyDescent="0.25">
      <c r="A330" s="632"/>
      <c r="B330" s="663"/>
      <c r="C330" s="638"/>
      <c r="D330" s="626"/>
      <c r="E330" s="622"/>
      <c r="F330" s="622"/>
      <c r="G330" s="622"/>
      <c r="H330" s="630"/>
      <c r="I330" s="630"/>
      <c r="J330" s="625"/>
      <c r="K330" s="249" t="s">
        <v>729</v>
      </c>
      <c r="L330" s="249" t="s">
        <v>730</v>
      </c>
      <c r="M330" s="220">
        <v>1200</v>
      </c>
      <c r="N330" s="220">
        <v>1800</v>
      </c>
      <c r="O330" s="220"/>
      <c r="P330" s="125"/>
      <c r="Q330" s="132">
        <v>0</v>
      </c>
      <c r="R330" s="132">
        <v>75</v>
      </c>
      <c r="S330" s="284">
        <v>0</v>
      </c>
      <c r="T330" s="284">
        <v>279</v>
      </c>
      <c r="U330" s="284">
        <v>153</v>
      </c>
      <c r="V330" s="289">
        <v>25</v>
      </c>
      <c r="W330" s="307">
        <v>0</v>
      </c>
      <c r="X330" s="307">
        <v>45</v>
      </c>
      <c r="Y330" s="307">
        <v>328</v>
      </c>
      <c r="Z330" s="132">
        <v>520</v>
      </c>
      <c r="AA330" s="132">
        <v>0</v>
      </c>
      <c r="AB330" s="132">
        <v>0</v>
      </c>
      <c r="AC330" s="132"/>
      <c r="AD330" s="132"/>
      <c r="AE330" s="290"/>
      <c r="AF330" s="141">
        <f>+O330+P330+Q330+R330+S330+T330+U330+V330+W330+X330+Y330+Z330+AA330+AB330+AC330+AD330</f>
        <v>1425</v>
      </c>
      <c r="AG330" s="125"/>
      <c r="AH330" s="102">
        <v>1</v>
      </c>
      <c r="AI330" s="598">
        <f t="shared" si="5"/>
        <v>1</v>
      </c>
      <c r="AJ330" s="125"/>
      <c r="AK330" s="143"/>
      <c r="AL330" s="143"/>
      <c r="AM330" s="143"/>
      <c r="AN330" s="143"/>
      <c r="AO330" s="143"/>
      <c r="AP330" s="143"/>
      <c r="AQ330" s="143"/>
      <c r="AR330" s="143"/>
      <c r="AS330" s="143"/>
      <c r="AT330" s="143"/>
      <c r="AU330" s="143"/>
      <c r="AV330" s="144"/>
    </row>
    <row r="331" spans="1:48" ht="75" x14ac:dyDescent="0.25">
      <c r="A331" s="632"/>
      <c r="B331" s="663"/>
      <c r="C331" s="638"/>
      <c r="D331" s="626"/>
      <c r="E331" s="622"/>
      <c r="F331" s="622"/>
      <c r="G331" s="622"/>
      <c r="H331" s="630"/>
      <c r="I331" s="630"/>
      <c r="J331" s="625"/>
      <c r="K331" s="249" t="s">
        <v>731</v>
      </c>
      <c r="L331" s="249" t="s">
        <v>732</v>
      </c>
      <c r="M331" s="220">
        <v>2824</v>
      </c>
      <c r="N331" s="220">
        <v>2176</v>
      </c>
      <c r="O331" s="220"/>
      <c r="P331" s="125"/>
      <c r="Q331" s="132">
        <v>823</v>
      </c>
      <c r="R331" s="132">
        <v>0</v>
      </c>
      <c r="S331" s="284">
        <v>31</v>
      </c>
      <c r="T331" s="284">
        <v>1628</v>
      </c>
      <c r="U331" s="284">
        <v>31</v>
      </c>
      <c r="V331" s="289">
        <v>206</v>
      </c>
      <c r="W331" s="307">
        <v>67</v>
      </c>
      <c r="X331" s="307">
        <v>471</v>
      </c>
      <c r="Y331" s="307">
        <v>1015</v>
      </c>
      <c r="Z331" s="132">
        <v>88</v>
      </c>
      <c r="AA331" s="575">
        <v>0</v>
      </c>
      <c r="AB331" s="575">
        <v>758</v>
      </c>
      <c r="AC331" s="132"/>
      <c r="AD331" s="132"/>
      <c r="AE331" s="290"/>
      <c r="AF331" s="141">
        <f>+O331+P331+Q331+R331+S331+T331+U331+V331+W331+X331+Y331+Z331+AA331+AB331+AC331+AD331</f>
        <v>5118</v>
      </c>
      <c r="AG331" s="125"/>
      <c r="AH331" s="102">
        <v>1</v>
      </c>
      <c r="AI331" s="598">
        <f t="shared" si="5"/>
        <v>1</v>
      </c>
      <c r="AJ331" s="125"/>
      <c r="AK331" s="143"/>
      <c r="AL331" s="143"/>
      <c r="AM331" s="143"/>
      <c r="AN331" s="143"/>
      <c r="AO331" s="143"/>
      <c r="AP331" s="143"/>
      <c r="AQ331" s="143"/>
      <c r="AR331" s="143"/>
      <c r="AS331" s="143"/>
      <c r="AT331" s="143"/>
      <c r="AU331" s="143"/>
      <c r="AV331" s="144"/>
    </row>
    <row r="332" spans="1:48" ht="45" x14ac:dyDescent="0.25">
      <c r="A332" s="632"/>
      <c r="B332" s="663"/>
      <c r="C332" s="638"/>
      <c r="D332" s="626"/>
      <c r="E332" s="622"/>
      <c r="F332" s="622"/>
      <c r="G332" s="622"/>
      <c r="H332" s="630"/>
      <c r="I332" s="630"/>
      <c r="J332" s="625"/>
      <c r="K332" s="249" t="s">
        <v>733</v>
      </c>
      <c r="L332" s="249" t="s">
        <v>734</v>
      </c>
      <c r="M332" s="220">
        <v>740</v>
      </c>
      <c r="N332" s="220">
        <v>260</v>
      </c>
      <c r="O332" s="220"/>
      <c r="P332" s="125"/>
      <c r="Q332" s="132">
        <v>368</v>
      </c>
      <c r="R332" s="132">
        <v>6</v>
      </c>
      <c r="S332" s="284">
        <v>0</v>
      </c>
      <c r="T332" s="284">
        <v>0</v>
      </c>
      <c r="U332" s="284">
        <v>133</v>
      </c>
      <c r="V332" s="289">
        <v>0</v>
      </c>
      <c r="W332" s="307">
        <v>0</v>
      </c>
      <c r="X332" s="307">
        <v>92</v>
      </c>
      <c r="Y332" s="307">
        <v>0</v>
      </c>
      <c r="Z332" s="132">
        <v>128</v>
      </c>
      <c r="AA332" s="132">
        <v>42</v>
      </c>
      <c r="AB332" s="132">
        <v>0</v>
      </c>
      <c r="AC332" s="132"/>
      <c r="AD332" s="132"/>
      <c r="AE332" s="290"/>
      <c r="AF332" s="141">
        <f t="shared" si="6"/>
        <v>769</v>
      </c>
      <c r="AG332" s="125"/>
      <c r="AH332" s="102">
        <v>1</v>
      </c>
      <c r="AI332" s="598">
        <f t="shared" si="5"/>
        <v>1</v>
      </c>
      <c r="AJ332" s="125"/>
      <c r="AK332" s="143"/>
      <c r="AL332" s="143"/>
      <c r="AM332" s="143"/>
      <c r="AN332" s="143"/>
      <c r="AO332" s="143"/>
      <c r="AP332" s="143"/>
      <c r="AQ332" s="143"/>
      <c r="AR332" s="143"/>
      <c r="AS332" s="143"/>
      <c r="AT332" s="143"/>
      <c r="AU332" s="143"/>
      <c r="AV332" s="144"/>
    </row>
    <row r="333" spans="1:48" ht="45" x14ac:dyDescent="0.25">
      <c r="A333" s="632"/>
      <c r="B333" s="663"/>
      <c r="C333" s="638"/>
      <c r="D333" s="626"/>
      <c r="E333" s="622"/>
      <c r="F333" s="622"/>
      <c r="G333" s="622"/>
      <c r="H333" s="630"/>
      <c r="I333" s="630"/>
      <c r="J333" s="625"/>
      <c r="K333" s="249" t="s">
        <v>735</v>
      </c>
      <c r="L333" s="249" t="s">
        <v>736</v>
      </c>
      <c r="M333" s="220">
        <v>1620</v>
      </c>
      <c r="N333" s="220">
        <v>380</v>
      </c>
      <c r="O333" s="220"/>
      <c r="P333" s="125"/>
      <c r="Q333" s="132">
        <v>110</v>
      </c>
      <c r="R333" s="132">
        <v>0</v>
      </c>
      <c r="S333" s="284">
        <v>0</v>
      </c>
      <c r="T333" s="284">
        <v>0</v>
      </c>
      <c r="U333" s="284">
        <v>415</v>
      </c>
      <c r="V333" s="289">
        <v>200</v>
      </c>
      <c r="W333" s="307">
        <v>0</v>
      </c>
      <c r="X333" s="307">
        <v>92</v>
      </c>
      <c r="Y333" s="307">
        <v>150</v>
      </c>
      <c r="Z333" s="132">
        <v>225</v>
      </c>
      <c r="AA333" s="132">
        <v>0</v>
      </c>
      <c r="AB333" s="132">
        <v>241</v>
      </c>
      <c r="AC333" s="132"/>
      <c r="AD333" s="132"/>
      <c r="AE333" s="290"/>
      <c r="AF333" s="141">
        <f t="shared" si="6"/>
        <v>1433</v>
      </c>
      <c r="AG333" s="125"/>
      <c r="AH333" s="102">
        <f>+(AF333/M333)</f>
        <v>0.88456790123456785</v>
      </c>
      <c r="AI333" s="598">
        <f t="shared" si="5"/>
        <v>0.88456790123456785</v>
      </c>
      <c r="AJ333" s="125"/>
      <c r="AK333" s="143"/>
      <c r="AL333" s="143"/>
      <c r="AM333" s="143"/>
      <c r="AN333" s="143"/>
      <c r="AO333" s="143"/>
      <c r="AP333" s="143"/>
      <c r="AQ333" s="143"/>
      <c r="AR333" s="143"/>
      <c r="AS333" s="143"/>
      <c r="AT333" s="143"/>
      <c r="AU333" s="143"/>
      <c r="AV333" s="144"/>
    </row>
    <row r="334" spans="1:48" ht="60" x14ac:dyDescent="0.25">
      <c r="A334" s="632"/>
      <c r="B334" s="663"/>
      <c r="C334" s="638"/>
      <c r="D334" s="626"/>
      <c r="E334" s="622"/>
      <c r="F334" s="622"/>
      <c r="G334" s="622"/>
      <c r="H334" s="630"/>
      <c r="I334" s="630"/>
      <c r="J334" s="625"/>
      <c r="K334" s="249" t="s">
        <v>737</v>
      </c>
      <c r="L334" s="249" t="s">
        <v>738</v>
      </c>
      <c r="M334" s="220">
        <v>6217</v>
      </c>
      <c r="N334" s="220">
        <v>5870</v>
      </c>
      <c r="O334" s="220"/>
      <c r="P334" s="125"/>
      <c r="Q334" s="132">
        <v>113</v>
      </c>
      <c r="R334" s="132">
        <v>467</v>
      </c>
      <c r="S334" s="284">
        <v>0</v>
      </c>
      <c r="T334" s="284">
        <v>479</v>
      </c>
      <c r="U334" s="284">
        <v>2454</v>
      </c>
      <c r="V334" s="289">
        <v>804</v>
      </c>
      <c r="W334" s="307">
        <v>22</v>
      </c>
      <c r="X334" s="307">
        <v>436</v>
      </c>
      <c r="Y334" s="307">
        <v>1172</v>
      </c>
      <c r="Z334" s="132">
        <v>660</v>
      </c>
      <c r="AA334" s="132">
        <v>1184</v>
      </c>
      <c r="AB334" s="132">
        <v>5288</v>
      </c>
      <c r="AC334" s="132"/>
      <c r="AD334" s="132"/>
      <c r="AE334" s="290"/>
      <c r="AF334" s="141">
        <f t="shared" si="6"/>
        <v>13079</v>
      </c>
      <c r="AG334" s="125"/>
      <c r="AH334" s="102">
        <v>1</v>
      </c>
      <c r="AI334" s="598">
        <f t="shared" si="5"/>
        <v>1</v>
      </c>
      <c r="AJ334" s="125"/>
      <c r="AK334" s="143"/>
      <c r="AL334" s="143"/>
      <c r="AM334" s="143"/>
      <c r="AN334" s="143"/>
      <c r="AO334" s="143"/>
      <c r="AP334" s="143"/>
      <c r="AQ334" s="143"/>
      <c r="AR334" s="143"/>
      <c r="AS334" s="143"/>
      <c r="AT334" s="143"/>
      <c r="AU334" s="143"/>
      <c r="AV334" s="144"/>
    </row>
    <row r="335" spans="1:48" ht="30" x14ac:dyDescent="0.25">
      <c r="A335" s="632"/>
      <c r="B335" s="663"/>
      <c r="C335" s="638"/>
      <c r="D335" s="626"/>
      <c r="E335" s="622"/>
      <c r="F335" s="622"/>
      <c r="G335" s="622"/>
      <c r="H335" s="630"/>
      <c r="I335" s="630"/>
      <c r="J335" s="625"/>
      <c r="K335" s="249" t="s">
        <v>739</v>
      </c>
      <c r="L335" s="249" t="s">
        <v>740</v>
      </c>
      <c r="M335" s="220">
        <v>518</v>
      </c>
      <c r="N335" s="220">
        <v>3482</v>
      </c>
      <c r="O335" s="220"/>
      <c r="P335" s="125"/>
      <c r="Q335" s="132">
        <v>742</v>
      </c>
      <c r="R335" s="132">
        <v>167</v>
      </c>
      <c r="S335" s="284">
        <v>350</v>
      </c>
      <c r="T335" s="284">
        <v>744</v>
      </c>
      <c r="U335" s="284">
        <v>123</v>
      </c>
      <c r="V335" s="289">
        <v>0</v>
      </c>
      <c r="W335" s="307">
        <v>174</v>
      </c>
      <c r="X335" s="307">
        <v>409</v>
      </c>
      <c r="Y335" s="307">
        <v>217</v>
      </c>
      <c r="Z335" s="132">
        <v>0</v>
      </c>
      <c r="AA335" s="132">
        <v>37</v>
      </c>
      <c r="AB335" s="132">
        <v>961</v>
      </c>
      <c r="AC335" s="132"/>
      <c r="AD335" s="132"/>
      <c r="AE335" s="290"/>
      <c r="AF335" s="141">
        <f>+O335+P335+Q335+R335+S335+T335+U335+V335+W335+X335+Y335+Z335+AA335+AB335+AC335+AD335</f>
        <v>3924</v>
      </c>
      <c r="AG335" s="125"/>
      <c r="AH335" s="102">
        <v>1</v>
      </c>
      <c r="AI335" s="598">
        <f t="shared" si="5"/>
        <v>1</v>
      </c>
      <c r="AJ335" s="125"/>
      <c r="AK335" s="143"/>
      <c r="AL335" s="143"/>
      <c r="AM335" s="143"/>
      <c r="AN335" s="143"/>
      <c r="AO335" s="143"/>
      <c r="AP335" s="143"/>
      <c r="AQ335" s="143"/>
      <c r="AR335" s="143"/>
      <c r="AS335" s="143"/>
      <c r="AT335" s="143"/>
      <c r="AU335" s="143"/>
      <c r="AV335" s="144"/>
    </row>
    <row r="336" spans="1:48" ht="47.25" customHeight="1" x14ac:dyDescent="0.25">
      <c r="A336" s="632"/>
      <c r="B336" s="663"/>
      <c r="C336" s="638"/>
      <c r="D336" s="626"/>
      <c r="E336" s="622"/>
      <c r="F336" s="622"/>
      <c r="G336" s="622"/>
      <c r="H336" s="630"/>
      <c r="I336" s="630"/>
      <c r="J336" s="625"/>
      <c r="K336" s="125"/>
      <c r="L336" s="125"/>
      <c r="M336" s="220"/>
      <c r="N336" s="220"/>
      <c r="O336" s="220"/>
      <c r="P336" s="125"/>
      <c r="Q336" s="132"/>
      <c r="R336" s="132"/>
      <c r="S336" s="133"/>
      <c r="T336" s="132"/>
      <c r="U336" s="274"/>
      <c r="V336" s="290"/>
      <c r="W336" s="132"/>
      <c r="X336" s="132"/>
      <c r="Y336" s="132"/>
      <c r="Z336" s="132"/>
      <c r="AA336" s="132"/>
      <c r="AB336" s="132"/>
      <c r="AC336" s="132"/>
      <c r="AD336" s="132"/>
      <c r="AE336" s="290"/>
      <c r="AF336" s="141"/>
      <c r="AG336" s="125"/>
      <c r="AH336" s="150">
        <f>AVERAGE(AH328:AH335)</f>
        <v>0.98557098765432094</v>
      </c>
      <c r="AI336" s="598">
        <f t="shared" si="5"/>
        <v>0.98557098765432094</v>
      </c>
      <c r="AJ336" s="125"/>
      <c r="AK336" s="143"/>
      <c r="AL336" s="143"/>
      <c r="AM336" s="143"/>
      <c r="AN336" s="143"/>
      <c r="AO336" s="143"/>
      <c r="AP336" s="143"/>
      <c r="AQ336" s="143"/>
      <c r="AR336" s="143"/>
      <c r="AS336" s="143"/>
      <c r="AT336" s="143"/>
      <c r="AU336" s="143"/>
      <c r="AV336" s="144"/>
    </row>
    <row r="337" spans="1:48" ht="42.75" customHeight="1" x14ac:dyDescent="0.25">
      <c r="A337" s="632"/>
      <c r="B337" s="663"/>
      <c r="C337" s="638"/>
      <c r="D337" s="626"/>
      <c r="E337" s="622"/>
      <c r="F337" s="622"/>
      <c r="G337" s="622"/>
      <c r="H337" s="630"/>
      <c r="I337" s="630"/>
      <c r="J337" s="132"/>
      <c r="K337" s="125"/>
      <c r="L337" s="125"/>
      <c r="M337" s="220"/>
      <c r="N337" s="220"/>
      <c r="O337" s="220"/>
      <c r="P337" s="125"/>
      <c r="Q337" s="132"/>
      <c r="R337" s="132"/>
      <c r="S337" s="133"/>
      <c r="T337" s="132"/>
      <c r="U337" s="274"/>
      <c r="V337" s="290"/>
      <c r="W337" s="132"/>
      <c r="X337" s="132"/>
      <c r="Y337" s="132"/>
      <c r="Z337" s="132"/>
      <c r="AA337" s="132"/>
      <c r="AB337" s="132"/>
      <c r="AC337" s="132"/>
      <c r="AD337" s="132"/>
      <c r="AE337" s="290"/>
      <c r="AF337" s="141"/>
      <c r="AG337" s="125"/>
      <c r="AH337" s="160">
        <f>+AH336</f>
        <v>0.98557098765432094</v>
      </c>
      <c r="AI337" s="598">
        <f t="shared" si="5"/>
        <v>0.98557098765432094</v>
      </c>
      <c r="AJ337" s="125"/>
      <c r="AK337" s="143"/>
      <c r="AL337" s="143"/>
      <c r="AM337" s="143"/>
      <c r="AN337" s="143"/>
      <c r="AO337" s="143"/>
      <c r="AP337" s="143"/>
      <c r="AQ337" s="143"/>
      <c r="AR337" s="143"/>
      <c r="AS337" s="143"/>
      <c r="AT337" s="143"/>
      <c r="AU337" s="143"/>
      <c r="AV337" s="144"/>
    </row>
    <row r="338" spans="1:48" ht="47.25" customHeight="1" x14ac:dyDescent="0.25">
      <c r="A338" s="632"/>
      <c r="B338" s="663"/>
      <c r="C338" s="638"/>
      <c r="D338" s="626"/>
      <c r="E338" s="132"/>
      <c r="F338" s="132"/>
      <c r="G338" s="132"/>
      <c r="H338" s="107"/>
      <c r="I338" s="107"/>
      <c r="J338" s="132"/>
      <c r="K338" s="125"/>
      <c r="L338" s="125"/>
      <c r="M338" s="220"/>
      <c r="N338" s="220"/>
      <c r="O338" s="220"/>
      <c r="P338" s="125"/>
      <c r="Q338" s="132"/>
      <c r="R338" s="132"/>
      <c r="S338" s="133"/>
      <c r="T338" s="132"/>
      <c r="U338" s="274"/>
      <c r="V338" s="290"/>
      <c r="W338" s="132"/>
      <c r="X338" s="132"/>
      <c r="Y338" s="132"/>
      <c r="Z338" s="132"/>
      <c r="AA338" s="132"/>
      <c r="AB338" s="132"/>
      <c r="AC338" s="132"/>
      <c r="AD338" s="132"/>
      <c r="AE338" s="290"/>
      <c r="AF338" s="141"/>
      <c r="AG338" s="125"/>
      <c r="AH338" s="223">
        <f>+AH337</f>
        <v>0.98557098765432094</v>
      </c>
      <c r="AI338" s="598">
        <f t="shared" si="5"/>
        <v>0.98557098765432094</v>
      </c>
      <c r="AJ338" s="125"/>
      <c r="AK338" s="143"/>
      <c r="AL338" s="143"/>
      <c r="AM338" s="143"/>
      <c r="AN338" s="143"/>
      <c r="AO338" s="143"/>
      <c r="AP338" s="143"/>
      <c r="AQ338" s="143"/>
      <c r="AR338" s="143"/>
      <c r="AS338" s="143"/>
      <c r="AT338" s="143"/>
      <c r="AU338" s="143"/>
      <c r="AV338" s="144"/>
    </row>
    <row r="339" spans="1:48" ht="90" customHeight="1" x14ac:dyDescent="0.25">
      <c r="A339" s="632"/>
      <c r="B339" s="663"/>
      <c r="C339" s="638"/>
      <c r="D339" s="629" t="s">
        <v>741</v>
      </c>
      <c r="E339" s="632" t="s">
        <v>745</v>
      </c>
      <c r="F339" s="622" t="s">
        <v>752</v>
      </c>
      <c r="G339" s="622" t="s">
        <v>742</v>
      </c>
      <c r="H339" s="631">
        <v>0.5</v>
      </c>
      <c r="I339" s="631">
        <v>0.75</v>
      </c>
      <c r="J339" s="625" t="s">
        <v>751</v>
      </c>
      <c r="K339" s="249" t="s">
        <v>746</v>
      </c>
      <c r="L339" s="125" t="s">
        <v>747</v>
      </c>
      <c r="M339" s="220">
        <v>2</v>
      </c>
      <c r="N339" s="220">
        <v>0</v>
      </c>
      <c r="O339" s="220"/>
      <c r="P339" s="125"/>
      <c r="Q339" s="132">
        <v>1</v>
      </c>
      <c r="R339" s="132">
        <v>1</v>
      </c>
      <c r="S339" s="224">
        <v>0</v>
      </c>
      <c r="T339" s="132">
        <v>1</v>
      </c>
      <c r="U339" s="274">
        <v>0</v>
      </c>
      <c r="V339" s="289">
        <v>0</v>
      </c>
      <c r="W339" s="307">
        <v>0</v>
      </c>
      <c r="X339" s="307">
        <v>3</v>
      </c>
      <c r="Y339" s="307">
        <v>0</v>
      </c>
      <c r="Z339" s="132">
        <v>0</v>
      </c>
      <c r="AA339" s="132">
        <v>0</v>
      </c>
      <c r="AB339" s="132">
        <v>0</v>
      </c>
      <c r="AC339" s="132"/>
      <c r="AD339" s="132"/>
      <c r="AE339" s="290"/>
      <c r="AF339" s="141">
        <f>+O339+P339+Q339+R339+S339+T339+U339+V339+W339+X339+Y339+Z339+AA339+AB339+AC339+AD339</f>
        <v>6</v>
      </c>
      <c r="AG339" s="125"/>
      <c r="AH339" s="102">
        <v>1</v>
      </c>
      <c r="AI339" s="598">
        <f t="shared" si="5"/>
        <v>1</v>
      </c>
      <c r="AJ339" s="125"/>
      <c r="AK339" s="203">
        <v>200000000</v>
      </c>
      <c r="AL339" s="203"/>
      <c r="AM339" s="203"/>
      <c r="AN339" s="203"/>
      <c r="AO339" s="203"/>
      <c r="AP339" s="203"/>
      <c r="AQ339" s="203"/>
      <c r="AR339" s="203"/>
      <c r="AS339" s="203"/>
      <c r="AT339" s="203">
        <v>122061333</v>
      </c>
      <c r="AU339" s="212">
        <f>+AT339/AK339</f>
        <v>0.61030666499999997</v>
      </c>
      <c r="AV339" s="144"/>
    </row>
    <row r="340" spans="1:48" ht="30" x14ac:dyDescent="0.25">
      <c r="A340" s="632"/>
      <c r="B340" s="663"/>
      <c r="C340" s="638"/>
      <c r="D340" s="629"/>
      <c r="E340" s="632"/>
      <c r="F340" s="622"/>
      <c r="G340" s="622"/>
      <c r="H340" s="631"/>
      <c r="I340" s="631"/>
      <c r="J340" s="665"/>
      <c r="K340" s="249" t="s">
        <v>754</v>
      </c>
      <c r="L340" s="125" t="s">
        <v>748</v>
      </c>
      <c r="M340" s="220">
        <v>8</v>
      </c>
      <c r="N340" s="220">
        <v>0</v>
      </c>
      <c r="O340" s="220"/>
      <c r="P340" s="125"/>
      <c r="Q340" s="132">
        <v>2</v>
      </c>
      <c r="R340" s="132">
        <v>0</v>
      </c>
      <c r="S340" s="224">
        <v>0</v>
      </c>
      <c r="T340" s="132">
        <v>2</v>
      </c>
      <c r="U340" s="274">
        <v>0</v>
      </c>
      <c r="V340" s="289">
        <v>0</v>
      </c>
      <c r="W340" s="307">
        <v>0</v>
      </c>
      <c r="X340" s="307">
        <v>3</v>
      </c>
      <c r="Y340" s="307">
        <v>0</v>
      </c>
      <c r="Z340" s="132">
        <v>0</v>
      </c>
      <c r="AA340" s="132">
        <v>0</v>
      </c>
      <c r="AB340" s="132">
        <v>1</v>
      </c>
      <c r="AC340" s="132"/>
      <c r="AD340" s="132"/>
      <c r="AE340" s="290"/>
      <c r="AF340" s="141">
        <f>+O340+P340+Q340+R340+S340+T340+U340+V340+W340+X340+Y340+Z340+AA340+AB340+AC340+AD340</f>
        <v>8</v>
      </c>
      <c r="AG340" s="125"/>
      <c r="AH340" s="102">
        <f>+(AF340/M340)</f>
        <v>1</v>
      </c>
      <c r="AI340" s="598">
        <f t="shared" si="5"/>
        <v>1</v>
      </c>
      <c r="AJ340" s="125"/>
      <c r="AK340" s="143"/>
      <c r="AL340" s="143"/>
      <c r="AM340" s="143"/>
      <c r="AN340" s="143"/>
      <c r="AO340" s="143"/>
      <c r="AP340" s="143"/>
      <c r="AQ340" s="143"/>
      <c r="AR340" s="143"/>
      <c r="AS340" s="143"/>
      <c r="AT340" s="143"/>
      <c r="AU340" s="143"/>
      <c r="AV340" s="144"/>
    </row>
    <row r="341" spans="1:48" ht="30" x14ac:dyDescent="0.25">
      <c r="A341" s="632"/>
      <c r="B341" s="663"/>
      <c r="C341" s="638"/>
      <c r="D341" s="629"/>
      <c r="E341" s="632"/>
      <c r="F341" s="622"/>
      <c r="G341" s="622"/>
      <c r="H341" s="631"/>
      <c r="I341" s="631"/>
      <c r="J341" s="665"/>
      <c r="K341" s="249" t="s">
        <v>749</v>
      </c>
      <c r="L341" s="125" t="s">
        <v>750</v>
      </c>
      <c r="M341" s="220">
        <v>465</v>
      </c>
      <c r="N341" s="220">
        <v>310</v>
      </c>
      <c r="O341" s="220"/>
      <c r="P341" s="125"/>
      <c r="Q341" s="132">
        <v>176</v>
      </c>
      <c r="R341" s="132">
        <v>226</v>
      </c>
      <c r="S341" s="224">
        <v>31</v>
      </c>
      <c r="T341" s="132">
        <v>8</v>
      </c>
      <c r="U341" s="274">
        <v>15</v>
      </c>
      <c r="V341" s="289">
        <v>46</v>
      </c>
      <c r="W341" s="307">
        <v>5</v>
      </c>
      <c r="X341" s="307">
        <v>151</v>
      </c>
      <c r="Y341" s="307">
        <v>0</v>
      </c>
      <c r="Z341" s="132">
        <v>0</v>
      </c>
      <c r="AA341" s="132">
        <v>90</v>
      </c>
      <c r="AB341" s="132">
        <v>92</v>
      </c>
      <c r="AC341" s="132"/>
      <c r="AD341" s="132"/>
      <c r="AE341" s="290"/>
      <c r="AF341" s="141">
        <f>+O341+P341+Q341+R341+S341+T341+U341+V341+W341+X341+Y341+Z341+AA341+AB341+AC341+AD341</f>
        <v>840</v>
      </c>
      <c r="AG341" s="125"/>
      <c r="AH341" s="102">
        <v>1</v>
      </c>
      <c r="AI341" s="598">
        <f t="shared" si="5"/>
        <v>1</v>
      </c>
      <c r="AJ341" s="125"/>
      <c r="AK341" s="143"/>
      <c r="AL341" s="143"/>
      <c r="AM341" s="143"/>
      <c r="AN341" s="143"/>
      <c r="AO341" s="143"/>
      <c r="AP341" s="143"/>
      <c r="AQ341" s="143"/>
      <c r="AR341" s="143"/>
      <c r="AS341" s="143"/>
      <c r="AT341" s="143"/>
      <c r="AU341" s="143"/>
      <c r="AV341" s="144"/>
    </row>
    <row r="342" spans="1:48" ht="60" customHeight="1" x14ac:dyDescent="0.25">
      <c r="A342" s="632"/>
      <c r="B342" s="663"/>
      <c r="C342" s="638"/>
      <c r="D342" s="629"/>
      <c r="E342" s="632"/>
      <c r="F342" s="622"/>
      <c r="G342" s="622"/>
      <c r="H342" s="631"/>
      <c r="I342" s="631"/>
      <c r="J342" s="665"/>
      <c r="K342" s="249"/>
      <c r="L342" s="125"/>
      <c r="M342" s="220"/>
      <c r="N342" s="220"/>
      <c r="O342" s="220"/>
      <c r="P342" s="125"/>
      <c r="Q342" s="132"/>
      <c r="R342" s="132"/>
      <c r="S342" s="133"/>
      <c r="T342" s="132"/>
      <c r="U342" s="274"/>
      <c r="V342" s="290"/>
      <c r="W342" s="132"/>
      <c r="X342" s="132"/>
      <c r="Y342" s="132"/>
      <c r="Z342" s="132"/>
      <c r="AA342" s="132"/>
      <c r="AB342" s="132"/>
      <c r="AC342" s="132"/>
      <c r="AD342" s="132"/>
      <c r="AE342" s="290"/>
      <c r="AF342" s="141"/>
      <c r="AG342" s="125"/>
      <c r="AH342" s="150">
        <f>AVERAGE(AH339:AH341)</f>
        <v>1</v>
      </c>
      <c r="AI342" s="598">
        <f t="shared" si="5"/>
        <v>1</v>
      </c>
      <c r="AJ342" s="125"/>
      <c r="AK342" s="143"/>
      <c r="AL342" s="143"/>
      <c r="AM342" s="143"/>
      <c r="AN342" s="143"/>
      <c r="AO342" s="143"/>
      <c r="AP342" s="143"/>
      <c r="AQ342" s="143"/>
      <c r="AR342" s="143"/>
      <c r="AS342" s="143"/>
      <c r="AT342" s="143"/>
      <c r="AU342" s="143"/>
      <c r="AV342" s="144"/>
    </row>
    <row r="343" spans="1:48" ht="105" customHeight="1" x14ac:dyDescent="0.25">
      <c r="A343" s="632"/>
      <c r="B343" s="663"/>
      <c r="C343" s="638"/>
      <c r="D343" s="629"/>
      <c r="E343" s="632"/>
      <c r="F343" s="622" t="s">
        <v>753</v>
      </c>
      <c r="G343" s="622" t="s">
        <v>743</v>
      </c>
      <c r="H343" s="623">
        <v>0.53</v>
      </c>
      <c r="I343" s="623">
        <v>0.24</v>
      </c>
      <c r="J343" s="625" t="s">
        <v>2141</v>
      </c>
      <c r="K343" s="250" t="s">
        <v>756</v>
      </c>
      <c r="L343" s="132" t="s">
        <v>757</v>
      </c>
      <c r="M343" s="220">
        <v>60</v>
      </c>
      <c r="N343" s="220">
        <v>21</v>
      </c>
      <c r="O343" s="220"/>
      <c r="P343" s="125"/>
      <c r="Q343" s="132">
        <v>5</v>
      </c>
      <c r="R343" s="132">
        <v>20</v>
      </c>
      <c r="S343" s="133">
        <v>0</v>
      </c>
      <c r="T343" s="132">
        <v>0</v>
      </c>
      <c r="U343" s="274">
        <v>0</v>
      </c>
      <c r="V343" s="289">
        <v>80</v>
      </c>
      <c r="W343" s="307">
        <v>0</v>
      </c>
      <c r="X343" s="307">
        <v>101</v>
      </c>
      <c r="Y343" s="307">
        <v>0</v>
      </c>
      <c r="Z343" s="132">
        <v>0</v>
      </c>
      <c r="AA343" s="132">
        <v>0</v>
      </c>
      <c r="AB343" s="132">
        <v>0</v>
      </c>
      <c r="AC343" s="132"/>
      <c r="AD343" s="132"/>
      <c r="AE343" s="290"/>
      <c r="AF343" s="141">
        <f>+O343+P343+Q343+R343+S343+T343+U343+V343+W343+X343+Y343+Z343+AA343+AB343+AC343+AD343</f>
        <v>206</v>
      </c>
      <c r="AG343" s="125"/>
      <c r="AH343" s="102">
        <v>1</v>
      </c>
      <c r="AI343" s="598">
        <f t="shared" si="5"/>
        <v>1</v>
      </c>
      <c r="AJ343" s="125"/>
      <c r="AK343" s="143"/>
      <c r="AL343" s="143"/>
      <c r="AM343" s="143"/>
      <c r="AN343" s="143"/>
      <c r="AO343" s="143"/>
      <c r="AP343" s="143"/>
      <c r="AQ343" s="143"/>
      <c r="AR343" s="143"/>
      <c r="AS343" s="143"/>
      <c r="AT343" s="143"/>
      <c r="AU343" s="143"/>
      <c r="AV343" s="144"/>
    </row>
    <row r="344" spans="1:48" ht="37.5" customHeight="1" x14ac:dyDescent="0.25">
      <c r="A344" s="632"/>
      <c r="B344" s="663"/>
      <c r="C344" s="638"/>
      <c r="D344" s="629"/>
      <c r="E344" s="632"/>
      <c r="F344" s="622"/>
      <c r="G344" s="622"/>
      <c r="H344" s="623"/>
      <c r="I344" s="623"/>
      <c r="J344" s="625"/>
      <c r="K344" s="250" t="s">
        <v>758</v>
      </c>
      <c r="L344" s="132" t="s">
        <v>759</v>
      </c>
      <c r="M344" s="220">
        <v>4</v>
      </c>
      <c r="N344" s="220">
        <v>0</v>
      </c>
      <c r="O344" s="220"/>
      <c r="P344" s="125"/>
      <c r="Q344" s="132">
        <v>0</v>
      </c>
      <c r="R344" s="132">
        <v>0</v>
      </c>
      <c r="S344" s="133">
        <v>0</v>
      </c>
      <c r="T344" s="132">
        <v>0</v>
      </c>
      <c r="U344" s="274">
        <v>0</v>
      </c>
      <c r="V344" s="289">
        <v>0</v>
      </c>
      <c r="W344" s="307">
        <v>0</v>
      </c>
      <c r="X344" s="307">
        <v>1</v>
      </c>
      <c r="Y344" s="307">
        <v>0</v>
      </c>
      <c r="Z344" s="132">
        <v>1</v>
      </c>
      <c r="AA344" s="132">
        <v>0</v>
      </c>
      <c r="AB344" s="132">
        <v>0</v>
      </c>
      <c r="AC344" s="132"/>
      <c r="AD344" s="132"/>
      <c r="AE344" s="290"/>
      <c r="AF344" s="141">
        <f>+O344+P344+Q344+R344+S344+T344+U344+V344+W344+X344+Y344+Z344+AA344+AB344+AC344+AD344</f>
        <v>2</v>
      </c>
      <c r="AG344" s="125"/>
      <c r="AH344" s="102">
        <f>+(AF344/M344)</f>
        <v>0.5</v>
      </c>
      <c r="AI344" s="598">
        <f t="shared" si="5"/>
        <v>0.5</v>
      </c>
      <c r="AJ344" s="125"/>
      <c r="AK344" s="143"/>
      <c r="AL344" s="143"/>
      <c r="AM344" s="143"/>
      <c r="AN344" s="143"/>
      <c r="AO344" s="143"/>
      <c r="AP344" s="143"/>
      <c r="AQ344" s="143"/>
      <c r="AR344" s="143"/>
      <c r="AS344" s="143"/>
      <c r="AT344" s="143"/>
      <c r="AU344" s="143"/>
      <c r="AV344" s="144"/>
    </row>
    <row r="345" spans="1:48" ht="45" x14ac:dyDescent="0.25">
      <c r="A345" s="632"/>
      <c r="B345" s="663"/>
      <c r="C345" s="638"/>
      <c r="D345" s="629"/>
      <c r="E345" s="632"/>
      <c r="F345" s="622"/>
      <c r="G345" s="622"/>
      <c r="H345" s="623"/>
      <c r="I345" s="623"/>
      <c r="J345" s="625"/>
      <c r="K345" s="250" t="s">
        <v>766</v>
      </c>
      <c r="L345" s="132" t="s">
        <v>760</v>
      </c>
      <c r="M345" s="220">
        <v>400</v>
      </c>
      <c r="N345" s="220">
        <v>200</v>
      </c>
      <c r="O345" s="220"/>
      <c r="P345" s="125"/>
      <c r="Q345" s="132">
        <v>25</v>
      </c>
      <c r="R345" s="132">
        <v>15</v>
      </c>
      <c r="S345" s="284">
        <v>15</v>
      </c>
      <c r="T345" s="284">
        <v>25</v>
      </c>
      <c r="U345" s="284">
        <v>2500</v>
      </c>
      <c r="V345" s="289">
        <v>0</v>
      </c>
      <c r="W345" s="307">
        <v>252</v>
      </c>
      <c r="X345" s="307">
        <v>200</v>
      </c>
      <c r="Y345" s="307">
        <v>0</v>
      </c>
      <c r="Z345" s="132">
        <v>0</v>
      </c>
      <c r="AA345" s="132">
        <v>0</v>
      </c>
      <c r="AB345" s="132">
        <v>0</v>
      </c>
      <c r="AC345" s="132"/>
      <c r="AD345" s="132"/>
      <c r="AE345" s="290"/>
      <c r="AF345" s="141">
        <f>+O345+P345+Q345+R345+S345+T345+U345+V345+W345+X345+Y345+Z345+AA345+AB345+AC345+AD345</f>
        <v>3032</v>
      </c>
      <c r="AG345" s="125"/>
      <c r="AH345" s="102">
        <v>1</v>
      </c>
      <c r="AI345" s="598">
        <f t="shared" si="5"/>
        <v>1</v>
      </c>
      <c r="AJ345" s="125"/>
      <c r="AK345" s="143"/>
      <c r="AL345" s="143"/>
      <c r="AM345" s="143"/>
      <c r="AN345" s="143"/>
      <c r="AO345" s="143"/>
      <c r="AP345" s="143"/>
      <c r="AQ345" s="143"/>
      <c r="AR345" s="143"/>
      <c r="AS345" s="143"/>
      <c r="AT345" s="143"/>
      <c r="AU345" s="143"/>
      <c r="AV345" s="144"/>
    </row>
    <row r="346" spans="1:48" ht="37.5" customHeight="1" x14ac:dyDescent="0.25">
      <c r="A346" s="632"/>
      <c r="B346" s="663"/>
      <c r="C346" s="638"/>
      <c r="D346" s="629"/>
      <c r="E346" s="632"/>
      <c r="F346" s="622"/>
      <c r="G346" s="622"/>
      <c r="H346" s="623"/>
      <c r="I346" s="623"/>
      <c r="J346" s="625"/>
      <c r="K346" s="250"/>
      <c r="L346" s="132"/>
      <c r="M346" s="220"/>
      <c r="N346" s="220"/>
      <c r="O346" s="220"/>
      <c r="P346" s="125"/>
      <c r="Q346" s="132"/>
      <c r="R346" s="132"/>
      <c r="S346" s="133"/>
      <c r="T346" s="132"/>
      <c r="U346" s="274"/>
      <c r="V346" s="290"/>
      <c r="W346" s="132"/>
      <c r="X346" s="132"/>
      <c r="Y346" s="132"/>
      <c r="Z346" s="132"/>
      <c r="AA346" s="132"/>
      <c r="AB346" s="132"/>
      <c r="AC346" s="132"/>
      <c r="AD346" s="132"/>
      <c r="AE346" s="290"/>
      <c r="AF346" s="141"/>
      <c r="AG346" s="125"/>
      <c r="AH346" s="150">
        <f>AVERAGE(AH343:AH345)</f>
        <v>0.83333333333333337</v>
      </c>
      <c r="AI346" s="598">
        <f t="shared" si="5"/>
        <v>0.83333333333333337</v>
      </c>
      <c r="AJ346" s="125"/>
      <c r="AK346" s="143"/>
      <c r="AL346" s="143"/>
      <c r="AM346" s="143"/>
      <c r="AN346" s="143"/>
      <c r="AO346" s="143"/>
      <c r="AP346" s="143"/>
      <c r="AQ346" s="143"/>
      <c r="AR346" s="143"/>
      <c r="AS346" s="143"/>
      <c r="AT346" s="143"/>
      <c r="AU346" s="143"/>
      <c r="AV346" s="144"/>
    </row>
    <row r="347" spans="1:48" ht="45" customHeight="1" x14ac:dyDescent="0.25">
      <c r="A347" s="632"/>
      <c r="B347" s="663"/>
      <c r="C347" s="638"/>
      <c r="D347" s="629"/>
      <c r="E347" s="632"/>
      <c r="F347" s="622" t="s">
        <v>755</v>
      </c>
      <c r="G347" s="622" t="s">
        <v>744</v>
      </c>
      <c r="H347" s="628">
        <v>1</v>
      </c>
      <c r="I347" s="628">
        <v>0.4</v>
      </c>
      <c r="J347" s="625" t="s">
        <v>768</v>
      </c>
      <c r="K347" s="250" t="s">
        <v>761</v>
      </c>
      <c r="L347" s="132" t="s">
        <v>762</v>
      </c>
      <c r="M347" s="220">
        <v>1</v>
      </c>
      <c r="N347" s="220">
        <v>0</v>
      </c>
      <c r="O347" s="220"/>
      <c r="P347" s="125"/>
      <c r="Q347" s="132">
        <v>0</v>
      </c>
      <c r="R347" s="132">
        <v>0</v>
      </c>
      <c r="S347" s="133">
        <v>0</v>
      </c>
      <c r="T347" s="132">
        <v>0</v>
      </c>
      <c r="U347" s="274">
        <v>0</v>
      </c>
      <c r="V347" s="289">
        <v>0</v>
      </c>
      <c r="W347" s="307">
        <v>0</v>
      </c>
      <c r="X347" s="307">
        <v>0</v>
      </c>
      <c r="Y347" s="307">
        <v>0</v>
      </c>
      <c r="Z347" s="132">
        <v>0</v>
      </c>
      <c r="AA347" s="132">
        <v>0</v>
      </c>
      <c r="AB347" s="132">
        <v>0</v>
      </c>
      <c r="AC347" s="132"/>
      <c r="AD347" s="132"/>
      <c r="AE347" s="290"/>
      <c r="AF347" s="141">
        <f>+O347+P347+Q347+R347+S347+T347+U347+V347+W347+X347+Y347+Z347+AA347+AB347+AC347+AD347</f>
        <v>0</v>
      </c>
      <c r="AG347" s="125"/>
      <c r="AH347" s="102">
        <f>+(AF347/M347)</f>
        <v>0</v>
      </c>
      <c r="AI347" s="598">
        <f t="shared" si="5"/>
        <v>0</v>
      </c>
      <c r="AJ347" s="125"/>
      <c r="AK347" s="143"/>
      <c r="AL347" s="143"/>
      <c r="AM347" s="143"/>
      <c r="AN347" s="143"/>
      <c r="AO347" s="143"/>
      <c r="AP347" s="143"/>
      <c r="AQ347" s="143"/>
      <c r="AR347" s="143"/>
      <c r="AS347" s="143"/>
      <c r="AT347" s="143"/>
      <c r="AU347" s="143"/>
      <c r="AV347" s="144"/>
    </row>
    <row r="348" spans="1:48" ht="45" x14ac:dyDescent="0.25">
      <c r="A348" s="632"/>
      <c r="B348" s="663"/>
      <c r="C348" s="638"/>
      <c r="D348" s="629"/>
      <c r="E348" s="632"/>
      <c r="F348" s="622"/>
      <c r="G348" s="622"/>
      <c r="H348" s="628"/>
      <c r="I348" s="628"/>
      <c r="J348" s="625"/>
      <c r="K348" s="250" t="s">
        <v>763</v>
      </c>
      <c r="L348" s="132" t="s">
        <v>764</v>
      </c>
      <c r="M348" s="220">
        <v>5</v>
      </c>
      <c r="N348" s="220">
        <v>0</v>
      </c>
      <c r="O348" s="220"/>
      <c r="P348" s="125"/>
      <c r="Q348" s="132">
        <v>0</v>
      </c>
      <c r="R348" s="132">
        <v>0</v>
      </c>
      <c r="S348" s="133">
        <v>2</v>
      </c>
      <c r="T348" s="132">
        <v>0</v>
      </c>
      <c r="U348" s="274">
        <v>0</v>
      </c>
      <c r="V348" s="289">
        <v>0</v>
      </c>
      <c r="W348" s="307">
        <v>0</v>
      </c>
      <c r="X348" s="307">
        <v>2</v>
      </c>
      <c r="Y348" s="307">
        <v>0</v>
      </c>
      <c r="Z348" s="132">
        <v>0</v>
      </c>
      <c r="AA348" s="132">
        <v>0</v>
      </c>
      <c r="AB348" s="132">
        <v>0</v>
      </c>
      <c r="AC348" s="132"/>
      <c r="AD348" s="132"/>
      <c r="AE348" s="290"/>
      <c r="AF348" s="141">
        <f>+O348+P348+Q348+R348+S348+T348+U348+V348+W348+X348+Y348+Z348+AA348+AB348+AC348+AD348</f>
        <v>4</v>
      </c>
      <c r="AG348" s="125"/>
      <c r="AH348" s="102">
        <f>+(AF348/M348)</f>
        <v>0.8</v>
      </c>
      <c r="AI348" s="598">
        <f t="shared" si="5"/>
        <v>0.8</v>
      </c>
      <c r="AJ348" s="125"/>
      <c r="AK348" s="143"/>
      <c r="AL348" s="143"/>
      <c r="AM348" s="143"/>
      <c r="AN348" s="143"/>
      <c r="AO348" s="143"/>
      <c r="AP348" s="143"/>
      <c r="AQ348" s="143"/>
      <c r="AR348" s="143"/>
      <c r="AS348" s="143"/>
      <c r="AT348" s="143"/>
      <c r="AU348" s="143"/>
      <c r="AV348" s="144"/>
    </row>
    <row r="349" spans="1:48" ht="75" x14ac:dyDescent="0.25">
      <c r="A349" s="632"/>
      <c r="B349" s="663"/>
      <c r="C349" s="638"/>
      <c r="D349" s="629"/>
      <c r="E349" s="632"/>
      <c r="F349" s="622"/>
      <c r="G349" s="622"/>
      <c r="H349" s="628"/>
      <c r="I349" s="628"/>
      <c r="J349" s="625"/>
      <c r="K349" s="250" t="s">
        <v>767</v>
      </c>
      <c r="L349" s="132" t="s">
        <v>765</v>
      </c>
      <c r="M349" s="220">
        <v>10</v>
      </c>
      <c r="N349" s="220">
        <v>3</v>
      </c>
      <c r="O349" s="220"/>
      <c r="P349" s="125"/>
      <c r="Q349" s="132">
        <v>1</v>
      </c>
      <c r="R349" s="132">
        <v>1</v>
      </c>
      <c r="S349" s="133">
        <v>2</v>
      </c>
      <c r="T349" s="132">
        <v>0</v>
      </c>
      <c r="U349" s="274">
        <v>0</v>
      </c>
      <c r="V349" s="289">
        <v>0</v>
      </c>
      <c r="W349" s="307">
        <v>0</v>
      </c>
      <c r="X349" s="307">
        <v>2</v>
      </c>
      <c r="Y349" s="307">
        <v>0</v>
      </c>
      <c r="Z349" s="132">
        <v>4</v>
      </c>
      <c r="AA349" s="132">
        <v>0</v>
      </c>
      <c r="AB349" s="132">
        <v>0</v>
      </c>
      <c r="AC349" s="132"/>
      <c r="AD349" s="132"/>
      <c r="AE349" s="290"/>
      <c r="AF349" s="141">
        <f>+O349+P349+Q349+R349+S349+T349+U349+V349+W349+X349+Y349+Z349+AA349+AB349+AC349+AD349</f>
        <v>10</v>
      </c>
      <c r="AG349" s="125"/>
      <c r="AH349" s="102">
        <f>+(AF349/M349)</f>
        <v>1</v>
      </c>
      <c r="AI349" s="598">
        <f t="shared" si="5"/>
        <v>1</v>
      </c>
      <c r="AJ349" s="125"/>
      <c r="AK349" s="143"/>
      <c r="AL349" s="143"/>
      <c r="AM349" s="143"/>
      <c r="AN349" s="143"/>
      <c r="AO349" s="143"/>
      <c r="AP349" s="143"/>
      <c r="AQ349" s="143"/>
      <c r="AR349" s="143"/>
      <c r="AS349" s="143"/>
      <c r="AT349" s="143"/>
      <c r="AU349" s="143"/>
      <c r="AV349" s="144"/>
    </row>
    <row r="350" spans="1:48" ht="35.25" customHeight="1" x14ac:dyDescent="0.25">
      <c r="A350" s="632"/>
      <c r="B350" s="663"/>
      <c r="C350" s="638"/>
      <c r="D350" s="629"/>
      <c r="E350" s="632"/>
      <c r="F350" s="622"/>
      <c r="G350" s="622"/>
      <c r="H350" s="628"/>
      <c r="I350" s="628"/>
      <c r="J350" s="625"/>
      <c r="K350" s="250"/>
      <c r="L350" s="132"/>
      <c r="M350" s="220"/>
      <c r="N350" s="220"/>
      <c r="O350" s="220"/>
      <c r="P350" s="125"/>
      <c r="Q350" s="132"/>
      <c r="R350" s="132"/>
      <c r="S350" s="133"/>
      <c r="T350" s="132"/>
      <c r="U350" s="274"/>
      <c r="V350" s="290"/>
      <c r="W350" s="132"/>
      <c r="X350" s="132"/>
      <c r="Y350" s="132"/>
      <c r="Z350" s="132"/>
      <c r="AA350" s="132"/>
      <c r="AB350" s="132"/>
      <c r="AC350" s="132"/>
      <c r="AD350" s="132"/>
      <c r="AE350" s="290"/>
      <c r="AF350" s="141"/>
      <c r="AG350" s="125"/>
      <c r="AH350" s="150">
        <f>AVERAGE(AH347:AH349)</f>
        <v>0.6</v>
      </c>
      <c r="AI350" s="598">
        <f t="shared" si="5"/>
        <v>0.6</v>
      </c>
      <c r="AJ350" s="125"/>
      <c r="AK350" s="143"/>
      <c r="AL350" s="143"/>
      <c r="AM350" s="143"/>
      <c r="AN350" s="143"/>
      <c r="AO350" s="143"/>
      <c r="AP350" s="143"/>
      <c r="AQ350" s="143"/>
      <c r="AR350" s="143"/>
      <c r="AS350" s="143"/>
      <c r="AT350" s="143"/>
      <c r="AU350" s="143"/>
      <c r="AV350" s="144"/>
    </row>
    <row r="351" spans="1:48" ht="57.75" customHeight="1" x14ac:dyDescent="0.25">
      <c r="A351" s="632"/>
      <c r="B351" s="663"/>
      <c r="C351" s="638"/>
      <c r="D351" s="629"/>
      <c r="E351" s="632"/>
      <c r="F351" s="132"/>
      <c r="G351" s="132"/>
      <c r="H351" s="105"/>
      <c r="I351" s="105"/>
      <c r="J351" s="132"/>
      <c r="K351" s="132"/>
      <c r="L351" s="132"/>
      <c r="M351" s="220"/>
      <c r="N351" s="220"/>
      <c r="O351" s="220"/>
      <c r="P351" s="125"/>
      <c r="Q351" s="132"/>
      <c r="R351" s="132"/>
      <c r="S351" s="133"/>
      <c r="T351" s="132"/>
      <c r="U351" s="274"/>
      <c r="V351" s="290"/>
      <c r="W351" s="132"/>
      <c r="X351" s="132"/>
      <c r="Y351" s="132"/>
      <c r="Z351" s="132"/>
      <c r="AA351" s="132"/>
      <c r="AB351" s="132"/>
      <c r="AC351" s="132"/>
      <c r="AD351" s="132"/>
      <c r="AE351" s="290"/>
      <c r="AF351" s="141"/>
      <c r="AG351" s="125"/>
      <c r="AH351" s="171">
        <f>+(AH342+AH346+AH350)/3</f>
        <v>0.81111111111111123</v>
      </c>
      <c r="AI351" s="598">
        <f t="shared" si="5"/>
        <v>0.81111111111111123</v>
      </c>
      <c r="AJ351" s="125"/>
      <c r="AK351" s="143"/>
      <c r="AL351" s="143"/>
      <c r="AM351" s="143"/>
      <c r="AN351" s="143"/>
      <c r="AO351" s="143"/>
      <c r="AP351" s="143"/>
      <c r="AQ351" s="143"/>
      <c r="AR351" s="143"/>
      <c r="AS351" s="143"/>
      <c r="AT351" s="143"/>
      <c r="AU351" s="143"/>
      <c r="AV351" s="144"/>
    </row>
    <row r="352" spans="1:48" ht="45" customHeight="1" x14ac:dyDescent="0.25">
      <c r="A352" s="632"/>
      <c r="B352" s="663"/>
      <c r="C352" s="638"/>
      <c r="D352" s="629"/>
      <c r="E352" s="622" t="s">
        <v>769</v>
      </c>
      <c r="F352" s="622" t="s">
        <v>778</v>
      </c>
      <c r="G352" s="622" t="s">
        <v>777</v>
      </c>
      <c r="H352" s="623">
        <v>0.1</v>
      </c>
      <c r="I352" s="623">
        <v>3.8800000000000001E-2</v>
      </c>
      <c r="J352" s="625" t="s">
        <v>770</v>
      </c>
      <c r="K352" s="250" t="s">
        <v>771</v>
      </c>
      <c r="L352" s="132" t="s">
        <v>772</v>
      </c>
      <c r="M352" s="220">
        <v>6272</v>
      </c>
      <c r="N352" s="220">
        <v>3689</v>
      </c>
      <c r="O352" s="220"/>
      <c r="P352" s="125"/>
      <c r="Q352" s="132">
        <v>643</v>
      </c>
      <c r="R352" s="132">
        <v>386</v>
      </c>
      <c r="S352" s="133">
        <v>921</v>
      </c>
      <c r="T352" s="132">
        <v>0</v>
      </c>
      <c r="U352" s="274">
        <v>450</v>
      </c>
      <c r="V352" s="289">
        <v>0</v>
      </c>
      <c r="W352" s="307">
        <v>879</v>
      </c>
      <c r="X352" s="307">
        <v>677</v>
      </c>
      <c r="Y352" s="307">
        <v>0</v>
      </c>
      <c r="Z352" s="132">
        <v>20</v>
      </c>
      <c r="AA352" s="132">
        <v>0</v>
      </c>
      <c r="AB352" s="132">
        <v>0</v>
      </c>
      <c r="AC352" s="132"/>
      <c r="AD352" s="132"/>
      <c r="AE352" s="290"/>
      <c r="AF352" s="141">
        <f>+O352+P352+Q352+R352+S352+T352+U352+V352+W352+X352+Y352+Z352+AA352+AB352+AC352+AD352</f>
        <v>3976</v>
      </c>
      <c r="AG352" s="125"/>
      <c r="AH352" s="102">
        <f>+(AF352/M352)</f>
        <v>0.6339285714285714</v>
      </c>
      <c r="AI352" s="598">
        <f t="shared" si="5"/>
        <v>0.6339285714285714</v>
      </c>
      <c r="AJ352" s="125"/>
      <c r="AK352" s="203">
        <v>7267816372</v>
      </c>
      <c r="AL352" s="203"/>
      <c r="AM352" s="203"/>
      <c r="AN352" s="203"/>
      <c r="AO352" s="203"/>
      <c r="AP352" s="203"/>
      <c r="AQ352" s="203"/>
      <c r="AR352" s="203"/>
      <c r="AS352" s="203"/>
      <c r="AT352" s="203">
        <v>6998412590</v>
      </c>
      <c r="AU352" s="212">
        <f>+AT352/AK352</f>
        <v>0.96293194981674202</v>
      </c>
      <c r="AV352" s="144"/>
    </row>
    <row r="353" spans="1:48" ht="45" x14ac:dyDescent="0.25">
      <c r="A353" s="632"/>
      <c r="B353" s="663"/>
      <c r="C353" s="638"/>
      <c r="D353" s="629"/>
      <c r="E353" s="622"/>
      <c r="F353" s="622"/>
      <c r="G353" s="622"/>
      <c r="H353" s="623"/>
      <c r="I353" s="623"/>
      <c r="J353" s="625"/>
      <c r="K353" s="250" t="s">
        <v>773</v>
      </c>
      <c r="L353" s="132" t="s">
        <v>774</v>
      </c>
      <c r="M353" s="220">
        <v>2583</v>
      </c>
      <c r="N353" s="220">
        <v>3689</v>
      </c>
      <c r="O353" s="220"/>
      <c r="P353" s="125"/>
      <c r="Q353" s="132">
        <v>155</v>
      </c>
      <c r="R353" s="132">
        <v>139</v>
      </c>
      <c r="S353" s="133">
        <v>253</v>
      </c>
      <c r="T353" s="132">
        <v>0</v>
      </c>
      <c r="U353" s="274">
        <v>410</v>
      </c>
      <c r="V353" s="289">
        <v>0</v>
      </c>
      <c r="W353" s="307">
        <v>0</v>
      </c>
      <c r="X353" s="307">
        <v>886</v>
      </c>
      <c r="Y353" s="307">
        <v>0</v>
      </c>
      <c r="Z353" s="132">
        <v>0</v>
      </c>
      <c r="AA353" s="132">
        <v>0</v>
      </c>
      <c r="AB353" s="132">
        <v>0</v>
      </c>
      <c r="AC353" s="132"/>
      <c r="AD353" s="132"/>
      <c r="AE353" s="290"/>
      <c r="AF353" s="141">
        <f>+O353+P353+Q353+R353+S353+T353+U353+V353+W353+X353+Y353+Z353+AA353+AB353+AC353+AD353</f>
        <v>1843</v>
      </c>
      <c r="AG353" s="125"/>
      <c r="AH353" s="102">
        <f>+(AF353/M353)</f>
        <v>0.71351142082849395</v>
      </c>
      <c r="AI353" s="598">
        <f t="shared" si="5"/>
        <v>0.71351142082849395</v>
      </c>
      <c r="AJ353" s="125"/>
      <c r="AK353" s="143"/>
      <c r="AL353" s="143"/>
      <c r="AM353" s="143"/>
      <c r="AN353" s="143"/>
      <c r="AO353" s="143"/>
      <c r="AP353" s="143"/>
      <c r="AQ353" s="143"/>
      <c r="AR353" s="143"/>
      <c r="AS353" s="143"/>
      <c r="AT353" s="143"/>
      <c r="AU353" s="143"/>
      <c r="AV353" s="144"/>
    </row>
    <row r="354" spans="1:48" ht="75" x14ac:dyDescent="0.25">
      <c r="A354" s="632"/>
      <c r="B354" s="663"/>
      <c r="C354" s="638"/>
      <c r="D354" s="629"/>
      <c r="E354" s="622"/>
      <c r="F354" s="622"/>
      <c r="G354" s="622"/>
      <c r="H354" s="623"/>
      <c r="I354" s="623"/>
      <c r="J354" s="625"/>
      <c r="K354" s="250" t="s">
        <v>775</v>
      </c>
      <c r="L354" s="132" t="s">
        <v>776</v>
      </c>
      <c r="M354" s="220">
        <v>40</v>
      </c>
      <c r="N354" s="220">
        <v>0</v>
      </c>
      <c r="O354" s="220"/>
      <c r="P354" s="125"/>
      <c r="Q354" s="132">
        <v>3</v>
      </c>
      <c r="R354" s="132">
        <v>4</v>
      </c>
      <c r="S354" s="133">
        <v>3</v>
      </c>
      <c r="T354" s="132">
        <v>10</v>
      </c>
      <c r="U354" s="274">
        <v>3</v>
      </c>
      <c r="V354" s="289">
        <v>0</v>
      </c>
      <c r="W354" s="307">
        <v>0</v>
      </c>
      <c r="X354" s="307">
        <v>15</v>
      </c>
      <c r="Y354" s="307">
        <v>0</v>
      </c>
      <c r="Z354" s="132">
        <v>2</v>
      </c>
      <c r="AA354" s="132">
        <v>0</v>
      </c>
      <c r="AB354" s="132">
        <v>2</v>
      </c>
      <c r="AC354" s="132"/>
      <c r="AD354" s="132"/>
      <c r="AE354" s="290"/>
      <c r="AF354" s="141">
        <f>+O354+P354+Q354+R354+S354+T354+U354+V354+W354+X354+Y354+Z354+AA354+AB354+AC354+AD354</f>
        <v>42</v>
      </c>
      <c r="AG354" s="125"/>
      <c r="AH354" s="102">
        <v>1</v>
      </c>
      <c r="AI354" s="598">
        <f t="shared" si="5"/>
        <v>1</v>
      </c>
      <c r="AJ354" s="125"/>
      <c r="AK354" s="143"/>
      <c r="AL354" s="143"/>
      <c r="AM354" s="143"/>
      <c r="AN354" s="143"/>
      <c r="AO354" s="143"/>
      <c r="AP354" s="143"/>
      <c r="AQ354" s="143"/>
      <c r="AR354" s="143"/>
      <c r="AS354" s="143"/>
      <c r="AT354" s="143"/>
      <c r="AU354" s="143"/>
      <c r="AV354" s="144"/>
    </row>
    <row r="355" spans="1:48" ht="50.25" customHeight="1" x14ac:dyDescent="0.25">
      <c r="A355" s="632"/>
      <c r="B355" s="663"/>
      <c r="C355" s="638"/>
      <c r="D355" s="629"/>
      <c r="E355" s="622"/>
      <c r="F355" s="622"/>
      <c r="G355" s="622"/>
      <c r="H355" s="623"/>
      <c r="I355" s="623"/>
      <c r="J355" s="625"/>
      <c r="K355" s="250"/>
      <c r="L355" s="132"/>
      <c r="M355" s="220"/>
      <c r="N355" s="220"/>
      <c r="O355" s="220"/>
      <c r="P355" s="125"/>
      <c r="Q355" s="132"/>
      <c r="R355" s="132"/>
      <c r="S355" s="133"/>
      <c r="T355" s="132"/>
      <c r="U355" s="274"/>
      <c r="V355" s="290"/>
      <c r="W355" s="132"/>
      <c r="X355" s="132"/>
      <c r="Y355" s="132"/>
      <c r="Z355" s="132"/>
      <c r="AA355" s="132"/>
      <c r="AB355" s="132"/>
      <c r="AC355" s="132"/>
      <c r="AD355" s="132"/>
      <c r="AE355" s="290"/>
      <c r="AF355" s="141"/>
      <c r="AG355" s="125"/>
      <c r="AH355" s="150">
        <f>AVERAGE(AH352:AH354)</f>
        <v>0.78247999741902186</v>
      </c>
      <c r="AI355" s="598">
        <f t="shared" si="5"/>
        <v>0.78247999741902186</v>
      </c>
      <c r="AJ355" s="125"/>
      <c r="AK355" s="143"/>
      <c r="AL355" s="143"/>
      <c r="AM355" s="143"/>
      <c r="AN355" s="143"/>
      <c r="AO355" s="143"/>
      <c r="AP355" s="143"/>
      <c r="AQ355" s="143"/>
      <c r="AR355" s="143"/>
      <c r="AS355" s="143"/>
      <c r="AT355" s="143"/>
      <c r="AU355" s="143"/>
      <c r="AV355" s="144"/>
    </row>
    <row r="356" spans="1:48" ht="42" customHeight="1" x14ac:dyDescent="0.25">
      <c r="A356" s="632"/>
      <c r="B356" s="663"/>
      <c r="C356" s="638"/>
      <c r="D356" s="629"/>
      <c r="E356" s="622"/>
      <c r="F356" s="622"/>
      <c r="G356" s="622"/>
      <c r="H356" s="623"/>
      <c r="I356" s="623"/>
      <c r="J356" s="625" t="s">
        <v>779</v>
      </c>
      <c r="K356" s="250" t="s">
        <v>780</v>
      </c>
      <c r="L356" s="132" t="s">
        <v>781</v>
      </c>
      <c r="M356" s="220">
        <v>20</v>
      </c>
      <c r="N356" s="220">
        <v>16</v>
      </c>
      <c r="O356" s="220"/>
      <c r="P356" s="125"/>
      <c r="Q356" s="132">
        <v>1</v>
      </c>
      <c r="R356" s="132">
        <v>3</v>
      </c>
      <c r="S356" s="225">
        <v>3</v>
      </c>
      <c r="T356" s="132">
        <v>5</v>
      </c>
      <c r="U356" s="274">
        <v>1</v>
      </c>
      <c r="V356" s="289">
        <v>0</v>
      </c>
      <c r="W356" s="307">
        <v>0</v>
      </c>
      <c r="X356" s="307">
        <v>11</v>
      </c>
      <c r="Y356" s="307">
        <v>0</v>
      </c>
      <c r="Z356" s="132">
        <v>0</v>
      </c>
      <c r="AA356" s="132">
        <v>0</v>
      </c>
      <c r="AB356" s="132">
        <v>2</v>
      </c>
      <c r="AC356" s="132"/>
      <c r="AD356" s="132"/>
      <c r="AE356" s="290"/>
      <c r="AF356" s="141">
        <f>+O356+P356+Q356+R356+S356+T356+U356+V356+W356+X356+Y356+Z356+AA356+AB356+AC356+AD356</f>
        <v>26</v>
      </c>
      <c r="AG356" s="125"/>
      <c r="AH356" s="102">
        <v>1</v>
      </c>
      <c r="AI356" s="598">
        <f t="shared" si="5"/>
        <v>1</v>
      </c>
      <c r="AJ356" s="125"/>
      <c r="AK356" s="143"/>
      <c r="AL356" s="143"/>
      <c r="AM356" s="143"/>
      <c r="AN356" s="143"/>
      <c r="AO356" s="143"/>
      <c r="AP356" s="143"/>
      <c r="AQ356" s="143"/>
      <c r="AR356" s="143"/>
      <c r="AS356" s="143"/>
      <c r="AT356" s="143"/>
      <c r="AU356" s="143"/>
      <c r="AV356" s="144"/>
    </row>
    <row r="357" spans="1:48" ht="42" customHeight="1" x14ac:dyDescent="0.25">
      <c r="A357" s="632"/>
      <c r="B357" s="663"/>
      <c r="C357" s="638"/>
      <c r="D357" s="629"/>
      <c r="E357" s="622"/>
      <c r="F357" s="622"/>
      <c r="G357" s="622"/>
      <c r="H357" s="623"/>
      <c r="I357" s="623"/>
      <c r="J357" s="625"/>
      <c r="K357" s="250" t="s">
        <v>782</v>
      </c>
      <c r="L357" s="132" t="s">
        <v>783</v>
      </c>
      <c r="M357" s="220">
        <v>3</v>
      </c>
      <c r="N357" s="220">
        <v>16</v>
      </c>
      <c r="O357" s="220"/>
      <c r="P357" s="125"/>
      <c r="Q357" s="132">
        <v>0</v>
      </c>
      <c r="R357" s="132">
        <v>0</v>
      </c>
      <c r="S357" s="225">
        <v>3</v>
      </c>
      <c r="T357" s="132">
        <v>1</v>
      </c>
      <c r="U357" s="274">
        <v>0</v>
      </c>
      <c r="V357" s="289">
        <v>0</v>
      </c>
      <c r="W357" s="307">
        <v>0</v>
      </c>
      <c r="X357" s="307">
        <v>3</v>
      </c>
      <c r="Y357" s="307">
        <v>0</v>
      </c>
      <c r="Z357" s="132">
        <v>0</v>
      </c>
      <c r="AA357" s="132">
        <v>0</v>
      </c>
      <c r="AB357" s="132">
        <v>0</v>
      </c>
      <c r="AC357" s="132"/>
      <c r="AD357" s="132"/>
      <c r="AE357" s="290"/>
      <c r="AF357" s="141">
        <f>+O357+P357+Q357+R357+S357+T357+U357+V357+W357+X357+Y357+Z357+AA357+AB357+AC357+AD357</f>
        <v>7</v>
      </c>
      <c r="AG357" s="125"/>
      <c r="AH357" s="102">
        <v>1</v>
      </c>
      <c r="AI357" s="598">
        <f t="shared" si="5"/>
        <v>1</v>
      </c>
      <c r="AJ357" s="125"/>
      <c r="AK357" s="143"/>
      <c r="AL357" s="143"/>
      <c r="AM357" s="143"/>
      <c r="AN357" s="143"/>
      <c r="AO357" s="143"/>
      <c r="AP357" s="143"/>
      <c r="AQ357" s="143"/>
      <c r="AR357" s="143"/>
      <c r="AS357" s="143"/>
      <c r="AT357" s="143"/>
      <c r="AU357" s="143"/>
      <c r="AV357" s="144"/>
    </row>
    <row r="358" spans="1:48" ht="60" x14ac:dyDescent="0.25">
      <c r="A358" s="632"/>
      <c r="B358" s="663"/>
      <c r="C358" s="638"/>
      <c r="D358" s="629"/>
      <c r="E358" s="622"/>
      <c r="F358" s="622"/>
      <c r="G358" s="622"/>
      <c r="H358" s="623"/>
      <c r="I358" s="623"/>
      <c r="J358" s="625"/>
      <c r="K358" s="250" t="s">
        <v>784</v>
      </c>
      <c r="L358" s="132" t="s">
        <v>785</v>
      </c>
      <c r="M358" s="220">
        <v>100</v>
      </c>
      <c r="N358" s="220">
        <v>50</v>
      </c>
      <c r="O358" s="220"/>
      <c r="P358" s="125"/>
      <c r="Q358" s="132">
        <v>0</v>
      </c>
      <c r="R358" s="132">
        <v>15</v>
      </c>
      <c r="S358" s="225">
        <v>40</v>
      </c>
      <c r="T358" s="132">
        <v>45</v>
      </c>
      <c r="U358" s="274">
        <v>50</v>
      </c>
      <c r="V358" s="289">
        <v>0</v>
      </c>
      <c r="W358" s="307">
        <v>25</v>
      </c>
      <c r="X358" s="307">
        <v>80</v>
      </c>
      <c r="Y358" s="307">
        <v>0</v>
      </c>
      <c r="Z358" s="132">
        <v>0</v>
      </c>
      <c r="AA358" s="132">
        <v>0</v>
      </c>
      <c r="AB358" s="132">
        <v>0</v>
      </c>
      <c r="AC358" s="132"/>
      <c r="AD358" s="132"/>
      <c r="AE358" s="290"/>
      <c r="AF358" s="141">
        <f>+O358+P358+Q358+R358+S358+T358+U358+V358+W358+X358+Y358+Z358+AA358+AB358+AC358+AD358</f>
        <v>255</v>
      </c>
      <c r="AG358" s="125"/>
      <c r="AH358" s="102">
        <v>1</v>
      </c>
      <c r="AI358" s="598">
        <f t="shared" si="5"/>
        <v>1</v>
      </c>
      <c r="AJ358" s="125"/>
      <c r="AK358" s="143"/>
      <c r="AL358" s="143"/>
      <c r="AM358" s="143"/>
      <c r="AN358" s="143"/>
      <c r="AO358" s="143"/>
      <c r="AP358" s="143"/>
      <c r="AQ358" s="143"/>
      <c r="AR358" s="143"/>
      <c r="AS358" s="143"/>
      <c r="AT358" s="143"/>
      <c r="AU358" s="143"/>
      <c r="AV358" s="144"/>
    </row>
    <row r="359" spans="1:48" ht="30" x14ac:dyDescent="0.25">
      <c r="A359" s="632"/>
      <c r="B359" s="663"/>
      <c r="C359" s="638"/>
      <c r="D359" s="629"/>
      <c r="E359" s="622"/>
      <c r="F359" s="622"/>
      <c r="G359" s="622"/>
      <c r="H359" s="623"/>
      <c r="I359" s="623"/>
      <c r="J359" s="625"/>
      <c r="K359" s="250" t="s">
        <v>782</v>
      </c>
      <c r="L359" s="132" t="s">
        <v>783</v>
      </c>
      <c r="M359" s="220">
        <v>3</v>
      </c>
      <c r="N359" s="220">
        <v>16</v>
      </c>
      <c r="O359" s="220"/>
      <c r="P359" s="125"/>
      <c r="Q359" s="132">
        <v>0</v>
      </c>
      <c r="R359" s="132">
        <v>1</v>
      </c>
      <c r="S359" s="225">
        <v>2</v>
      </c>
      <c r="T359" s="132">
        <v>0</v>
      </c>
      <c r="U359" s="274">
        <v>0</v>
      </c>
      <c r="V359" s="289">
        <v>0</v>
      </c>
      <c r="W359" s="307">
        <v>0</v>
      </c>
      <c r="X359" s="307">
        <v>3</v>
      </c>
      <c r="Y359" s="307">
        <v>0</v>
      </c>
      <c r="Z359" s="132">
        <v>0</v>
      </c>
      <c r="AA359" s="132">
        <v>0</v>
      </c>
      <c r="AB359" s="132">
        <v>0</v>
      </c>
      <c r="AC359" s="132"/>
      <c r="AD359" s="132"/>
      <c r="AE359" s="290"/>
      <c r="AF359" s="141">
        <f>+O359+P359+Q359+R359+S359+T359+U359+V359+W359+X359+Y359+Z359+AA359+AB359+AC359+AD359</f>
        <v>6</v>
      </c>
      <c r="AG359" s="125"/>
      <c r="AH359" s="102">
        <v>1</v>
      </c>
      <c r="AI359" s="598">
        <f t="shared" si="5"/>
        <v>1</v>
      </c>
      <c r="AJ359" s="125"/>
      <c r="AK359" s="143"/>
      <c r="AL359" s="143"/>
      <c r="AM359" s="143"/>
      <c r="AN359" s="143"/>
      <c r="AO359" s="143"/>
      <c r="AP359" s="143"/>
      <c r="AQ359" s="143"/>
      <c r="AR359" s="143"/>
      <c r="AS359" s="143"/>
      <c r="AT359" s="143"/>
      <c r="AU359" s="143"/>
      <c r="AV359" s="144"/>
    </row>
    <row r="360" spans="1:48" ht="52.5" customHeight="1" x14ac:dyDescent="0.25">
      <c r="A360" s="632"/>
      <c r="B360" s="663"/>
      <c r="C360" s="638"/>
      <c r="D360" s="629"/>
      <c r="E360" s="622"/>
      <c r="F360" s="622"/>
      <c r="G360" s="622"/>
      <c r="H360" s="623"/>
      <c r="I360" s="623"/>
      <c r="J360" s="625"/>
      <c r="K360" s="250"/>
      <c r="L360" s="132"/>
      <c r="M360" s="220"/>
      <c r="N360" s="220"/>
      <c r="O360" s="220"/>
      <c r="P360" s="125"/>
      <c r="Q360" s="132"/>
      <c r="R360" s="132"/>
      <c r="S360" s="133"/>
      <c r="T360" s="132"/>
      <c r="U360" s="274"/>
      <c r="V360" s="290"/>
      <c r="W360" s="132"/>
      <c r="X360" s="132"/>
      <c r="Y360" s="132"/>
      <c r="Z360" s="132"/>
      <c r="AA360" s="132"/>
      <c r="AB360" s="132"/>
      <c r="AC360" s="132"/>
      <c r="AD360" s="132"/>
      <c r="AE360" s="290"/>
      <c r="AF360" s="141"/>
      <c r="AG360" s="125"/>
      <c r="AH360" s="150">
        <f>AVERAGE(AH356:AH359)</f>
        <v>1</v>
      </c>
      <c r="AI360" s="598">
        <f t="shared" si="5"/>
        <v>1</v>
      </c>
      <c r="AJ360" s="125"/>
      <c r="AK360" s="143"/>
      <c r="AL360" s="143"/>
      <c r="AM360" s="143"/>
      <c r="AN360" s="143"/>
      <c r="AO360" s="143"/>
      <c r="AP360" s="143"/>
      <c r="AQ360" s="143"/>
      <c r="AR360" s="143"/>
      <c r="AS360" s="143"/>
      <c r="AT360" s="143"/>
      <c r="AU360" s="143"/>
      <c r="AV360" s="144"/>
    </row>
    <row r="361" spans="1:48" ht="105" x14ac:dyDescent="0.25">
      <c r="A361" s="632"/>
      <c r="B361" s="663"/>
      <c r="C361" s="638"/>
      <c r="D361" s="629"/>
      <c r="E361" s="622"/>
      <c r="F361" s="622"/>
      <c r="G361" s="622"/>
      <c r="H361" s="623"/>
      <c r="I361" s="623"/>
      <c r="J361" s="625" t="s">
        <v>786</v>
      </c>
      <c r="K361" s="250" t="s">
        <v>787</v>
      </c>
      <c r="L361" s="125" t="s">
        <v>788</v>
      </c>
      <c r="M361" s="176">
        <v>9227</v>
      </c>
      <c r="N361" s="132">
        <v>8.3879999999999999</v>
      </c>
      <c r="O361" s="132"/>
      <c r="P361" s="125"/>
      <c r="Q361" s="132">
        <v>0</v>
      </c>
      <c r="R361" s="132">
        <v>8863</v>
      </c>
      <c r="S361" s="224">
        <v>364</v>
      </c>
      <c r="T361" s="132">
        <v>25</v>
      </c>
      <c r="U361" s="274">
        <v>0</v>
      </c>
      <c r="V361" s="289">
        <v>8908</v>
      </c>
      <c r="W361" s="132"/>
      <c r="X361" s="132"/>
      <c r="Y361" s="132"/>
      <c r="Z361" s="132">
        <v>8388</v>
      </c>
      <c r="AA361" s="132"/>
      <c r="AB361" s="132">
        <v>5719</v>
      </c>
      <c r="AC361" s="132"/>
      <c r="AD361" s="132"/>
      <c r="AE361" s="290"/>
      <c r="AF361" s="141">
        <f>+O361+P361+Q361+R361+S361+T361+U361+V361+W361+X361+Y361+Z361+AA361+AB361+AC361+AD361</f>
        <v>32267</v>
      </c>
      <c r="AG361" s="125"/>
      <c r="AH361" s="102">
        <f>+AF361/(M361*4)</f>
        <v>0.87425490408583506</v>
      </c>
      <c r="AI361" s="598">
        <f t="shared" si="5"/>
        <v>0.87425490408583506</v>
      </c>
      <c r="AJ361" s="125"/>
      <c r="AK361" s="143"/>
      <c r="AL361" s="143"/>
      <c r="AM361" s="143"/>
      <c r="AN361" s="143"/>
      <c r="AO361" s="143"/>
      <c r="AP361" s="143"/>
      <c r="AQ361" s="143"/>
      <c r="AR361" s="143"/>
      <c r="AS361" s="143"/>
      <c r="AT361" s="143"/>
      <c r="AU361" s="143"/>
      <c r="AV361" s="144"/>
    </row>
    <row r="362" spans="1:48" ht="30" customHeight="1" x14ac:dyDescent="0.25">
      <c r="A362" s="632"/>
      <c r="B362" s="663"/>
      <c r="C362" s="638"/>
      <c r="D362" s="629"/>
      <c r="E362" s="622"/>
      <c r="F362" s="622"/>
      <c r="G362" s="622"/>
      <c r="H362" s="623"/>
      <c r="I362" s="623"/>
      <c r="J362" s="625"/>
      <c r="K362" s="250"/>
      <c r="L362" s="125"/>
      <c r="M362" s="176"/>
      <c r="N362" s="132"/>
      <c r="O362" s="132"/>
      <c r="P362" s="125"/>
      <c r="Q362" s="132"/>
      <c r="R362" s="132"/>
      <c r="S362" s="133"/>
      <c r="T362" s="132"/>
      <c r="U362" s="274"/>
      <c r="V362" s="290"/>
      <c r="W362" s="132"/>
      <c r="X362" s="132"/>
      <c r="Y362" s="132"/>
      <c r="Z362" s="132"/>
      <c r="AA362" s="132"/>
      <c r="AB362" s="132"/>
      <c r="AC362" s="132"/>
      <c r="AD362" s="132"/>
      <c r="AE362" s="290"/>
      <c r="AF362" s="141"/>
      <c r="AG362" s="125"/>
      <c r="AH362" s="102"/>
      <c r="AI362" s="598">
        <f t="shared" si="5"/>
        <v>0</v>
      </c>
      <c r="AJ362" s="125"/>
      <c r="AK362" s="143"/>
      <c r="AL362" s="143"/>
      <c r="AM362" s="143"/>
      <c r="AN362" s="143"/>
      <c r="AO362" s="143"/>
      <c r="AP362" s="143"/>
      <c r="AQ362" s="143"/>
      <c r="AR362" s="143"/>
      <c r="AS362" s="143"/>
      <c r="AT362" s="143"/>
      <c r="AU362" s="143"/>
      <c r="AV362" s="144"/>
    </row>
    <row r="363" spans="1:48" ht="45" customHeight="1" x14ac:dyDescent="0.25">
      <c r="A363" s="632"/>
      <c r="B363" s="663"/>
      <c r="C363" s="638"/>
      <c r="D363" s="629"/>
      <c r="E363" s="622"/>
      <c r="F363" s="622"/>
      <c r="G363" s="622"/>
      <c r="H363" s="623"/>
      <c r="I363" s="623"/>
      <c r="J363" s="625"/>
      <c r="K363" s="250"/>
      <c r="L363" s="125"/>
      <c r="M363" s="176"/>
      <c r="N363" s="132"/>
      <c r="O363" s="132"/>
      <c r="P363" s="125"/>
      <c r="Q363" s="132"/>
      <c r="R363" s="132"/>
      <c r="S363" s="133"/>
      <c r="T363" s="132"/>
      <c r="U363" s="274"/>
      <c r="V363" s="290"/>
      <c r="W363" s="132"/>
      <c r="X363" s="132"/>
      <c r="Y363" s="132"/>
      <c r="Z363" s="132"/>
      <c r="AA363" s="132"/>
      <c r="AB363" s="132"/>
      <c r="AC363" s="132"/>
      <c r="AD363" s="132"/>
      <c r="AE363" s="290"/>
      <c r="AF363" s="141"/>
      <c r="AG363" s="125"/>
      <c r="AH363" s="150">
        <f>+AH361</f>
        <v>0.87425490408583506</v>
      </c>
      <c r="AI363" s="598">
        <f t="shared" si="5"/>
        <v>0.87425490408583506</v>
      </c>
      <c r="AJ363" s="125"/>
      <c r="AK363" s="143"/>
      <c r="AL363" s="143"/>
      <c r="AM363" s="143"/>
      <c r="AN363" s="143"/>
      <c r="AO363" s="143"/>
      <c r="AP363" s="143"/>
      <c r="AQ363" s="143"/>
      <c r="AR363" s="143"/>
      <c r="AS363" s="143"/>
      <c r="AT363" s="143"/>
      <c r="AU363" s="143"/>
      <c r="AV363" s="144"/>
    </row>
    <row r="364" spans="1:48" ht="45" customHeight="1" x14ac:dyDescent="0.25">
      <c r="A364" s="632"/>
      <c r="B364" s="663"/>
      <c r="C364" s="638"/>
      <c r="D364" s="629"/>
      <c r="E364" s="622"/>
      <c r="F364" s="132"/>
      <c r="G364" s="132"/>
      <c r="H364" s="206"/>
      <c r="I364" s="206"/>
      <c r="J364" s="132"/>
      <c r="K364" s="132"/>
      <c r="L364" s="125"/>
      <c r="M364" s="176"/>
      <c r="N364" s="132"/>
      <c r="O364" s="132"/>
      <c r="P364" s="125"/>
      <c r="Q364" s="132"/>
      <c r="R364" s="132"/>
      <c r="S364" s="133"/>
      <c r="T364" s="132"/>
      <c r="U364" s="274"/>
      <c r="V364" s="290"/>
      <c r="W364" s="132"/>
      <c r="X364" s="132"/>
      <c r="Y364" s="132"/>
      <c r="Z364" s="132"/>
      <c r="AA364" s="132"/>
      <c r="AB364" s="132"/>
      <c r="AC364" s="132"/>
      <c r="AD364" s="132"/>
      <c r="AE364" s="290"/>
      <c r="AF364" s="141"/>
      <c r="AG364" s="125"/>
      <c r="AH364" s="171">
        <f>+(AH355+AH360+AH363)/3</f>
        <v>0.88557830050161901</v>
      </c>
      <c r="AI364" s="598">
        <f t="shared" si="5"/>
        <v>0.88557830050161901</v>
      </c>
      <c r="AJ364" s="125"/>
      <c r="AK364" s="143"/>
      <c r="AL364" s="143"/>
      <c r="AM364" s="143"/>
      <c r="AN364" s="143"/>
      <c r="AO364" s="143"/>
      <c r="AP364" s="143"/>
      <c r="AQ364" s="143"/>
      <c r="AR364" s="143"/>
      <c r="AS364" s="143"/>
      <c r="AT364" s="143"/>
      <c r="AU364" s="143"/>
      <c r="AV364" s="144"/>
    </row>
    <row r="365" spans="1:48" ht="45" customHeight="1" x14ac:dyDescent="0.25">
      <c r="A365" s="632"/>
      <c r="B365" s="663"/>
      <c r="C365" s="638"/>
      <c r="D365" s="629"/>
      <c r="E365" s="132"/>
      <c r="F365" s="132"/>
      <c r="G365" s="132"/>
      <c r="H365" s="206"/>
      <c r="I365" s="206"/>
      <c r="J365" s="132"/>
      <c r="K365" s="132"/>
      <c r="L365" s="125"/>
      <c r="M365" s="176"/>
      <c r="N365" s="132"/>
      <c r="O365" s="132"/>
      <c r="P365" s="125"/>
      <c r="Q365" s="132"/>
      <c r="R365" s="132"/>
      <c r="S365" s="133"/>
      <c r="T365" s="132"/>
      <c r="U365" s="274"/>
      <c r="V365" s="290"/>
      <c r="W365" s="132"/>
      <c r="X365" s="132"/>
      <c r="Y365" s="132"/>
      <c r="Z365" s="132"/>
      <c r="AA365" s="132"/>
      <c r="AB365" s="132"/>
      <c r="AC365" s="132"/>
      <c r="AD365" s="132"/>
      <c r="AE365" s="290"/>
      <c r="AF365" s="141"/>
      <c r="AG365" s="125"/>
      <c r="AH365" s="111">
        <f>+(AH351+AH364)/2</f>
        <v>0.84834470580636512</v>
      </c>
      <c r="AI365" s="598">
        <f t="shared" si="5"/>
        <v>0.84834470580636512</v>
      </c>
      <c r="AJ365" s="125"/>
      <c r="AK365" s="143"/>
      <c r="AL365" s="143"/>
      <c r="AM365" s="143"/>
      <c r="AN365" s="143"/>
      <c r="AO365" s="143"/>
      <c r="AP365" s="143"/>
      <c r="AQ365" s="143"/>
      <c r="AR365" s="143"/>
      <c r="AS365" s="143"/>
      <c r="AT365" s="143"/>
      <c r="AU365" s="143"/>
      <c r="AV365" s="144"/>
    </row>
    <row r="366" spans="1:48" ht="60" customHeight="1" x14ac:dyDescent="0.25">
      <c r="A366" s="632"/>
      <c r="B366" s="663"/>
      <c r="C366" s="638"/>
      <c r="D366" s="627" t="s">
        <v>789</v>
      </c>
      <c r="E366" s="622" t="s">
        <v>790</v>
      </c>
      <c r="F366" s="622" t="s">
        <v>792</v>
      </c>
      <c r="G366" s="622" t="s">
        <v>791</v>
      </c>
      <c r="H366" s="623">
        <v>0.25</v>
      </c>
      <c r="I366" s="623">
        <v>0.1</v>
      </c>
      <c r="J366" s="625" t="s">
        <v>793</v>
      </c>
      <c r="K366" s="247" t="s">
        <v>794</v>
      </c>
      <c r="L366" s="135" t="s">
        <v>795</v>
      </c>
      <c r="M366" s="220">
        <v>90</v>
      </c>
      <c r="N366" s="220">
        <v>90</v>
      </c>
      <c r="O366" s="220"/>
      <c r="P366" s="125"/>
      <c r="Q366" s="132">
        <v>0</v>
      </c>
      <c r="R366" s="132">
        <v>0</v>
      </c>
      <c r="S366" s="224">
        <v>3</v>
      </c>
      <c r="T366" s="132">
        <v>2</v>
      </c>
      <c r="U366" s="274">
        <v>5</v>
      </c>
      <c r="V366" s="289">
        <v>8</v>
      </c>
      <c r="W366" s="307">
        <v>10</v>
      </c>
      <c r="X366" s="307">
        <v>4</v>
      </c>
      <c r="Y366" s="307"/>
      <c r="Z366" s="307">
        <v>8</v>
      </c>
      <c r="AA366" s="307">
        <v>13</v>
      </c>
      <c r="AB366" s="307">
        <v>16</v>
      </c>
      <c r="AC366" s="307"/>
      <c r="AD366" s="307"/>
      <c r="AE366" s="307"/>
      <c r="AF366" s="319">
        <f>+O366+P366+Q366+R366+S366+T366+U366+V366+W366+X366+Y366+Z366+AA366+AB366+AC366+AD366+3</f>
        <v>72</v>
      </c>
      <c r="AG366" s="125"/>
      <c r="AH366" s="102">
        <f>+(AF366/180)</f>
        <v>0.4</v>
      </c>
      <c r="AI366" s="598">
        <f t="shared" si="5"/>
        <v>0.4</v>
      </c>
      <c r="AJ366" s="125"/>
      <c r="AK366" s="203">
        <v>241800000</v>
      </c>
      <c r="AL366" s="203"/>
      <c r="AM366" s="203"/>
      <c r="AN366" s="203"/>
      <c r="AO366" s="203"/>
      <c r="AP366" s="203"/>
      <c r="AQ366" s="203"/>
      <c r="AR366" s="203"/>
      <c r="AS366" s="203"/>
      <c r="AT366" s="203">
        <v>181500000</v>
      </c>
      <c r="AU366" s="212">
        <f>+AT366/AK366</f>
        <v>0.75062034739454098</v>
      </c>
      <c r="AV366" s="144"/>
    </row>
    <row r="367" spans="1:48" ht="75" x14ac:dyDescent="0.25">
      <c r="A367" s="632"/>
      <c r="B367" s="663"/>
      <c r="C367" s="638"/>
      <c r="D367" s="627"/>
      <c r="E367" s="622"/>
      <c r="F367" s="622"/>
      <c r="G367" s="622"/>
      <c r="H367" s="623"/>
      <c r="I367" s="623"/>
      <c r="J367" s="625"/>
      <c r="K367" s="247" t="s">
        <v>796</v>
      </c>
      <c r="L367" s="135" t="s">
        <v>797</v>
      </c>
      <c r="M367" s="220">
        <v>40</v>
      </c>
      <c r="N367" s="220">
        <v>10</v>
      </c>
      <c r="O367" s="220"/>
      <c r="P367" s="125"/>
      <c r="Q367" s="132">
        <v>0</v>
      </c>
      <c r="R367" s="132">
        <v>5</v>
      </c>
      <c r="S367" s="224">
        <v>5</v>
      </c>
      <c r="T367" s="132">
        <v>1</v>
      </c>
      <c r="U367" s="274">
        <v>1</v>
      </c>
      <c r="V367" s="289">
        <v>4</v>
      </c>
      <c r="W367" s="307">
        <v>6</v>
      </c>
      <c r="X367" s="307">
        <v>2</v>
      </c>
      <c r="Y367" s="307">
        <v>2</v>
      </c>
      <c r="Z367" s="307">
        <v>3</v>
      </c>
      <c r="AA367" s="307">
        <v>4</v>
      </c>
      <c r="AB367" s="307">
        <v>0</v>
      </c>
      <c r="AC367" s="307"/>
      <c r="AD367" s="307"/>
      <c r="AE367" s="307"/>
      <c r="AF367" s="319">
        <f>+O367+P367+Q367+R367+S367+T367+U367+V367+W367+X367+Y367+Z367+AA367+AB367+AC367+AD367</f>
        <v>33</v>
      </c>
      <c r="AG367" s="125"/>
      <c r="AH367" s="102">
        <f>+AF367/M367</f>
        <v>0.82499999999999996</v>
      </c>
      <c r="AI367" s="598">
        <f t="shared" si="5"/>
        <v>0.82499999999999996</v>
      </c>
      <c r="AJ367" s="125"/>
      <c r="AK367" s="143"/>
      <c r="AL367" s="143"/>
      <c r="AM367" s="143"/>
      <c r="AN367" s="143"/>
      <c r="AO367" s="143"/>
      <c r="AP367" s="143"/>
      <c r="AQ367" s="143"/>
      <c r="AR367" s="143"/>
      <c r="AS367" s="143"/>
      <c r="AT367" s="143"/>
      <c r="AU367" s="143"/>
      <c r="AV367" s="144"/>
    </row>
    <row r="368" spans="1:48" ht="75" x14ac:dyDescent="0.25">
      <c r="A368" s="632"/>
      <c r="B368" s="663"/>
      <c r="C368" s="638"/>
      <c r="D368" s="627"/>
      <c r="E368" s="622"/>
      <c r="F368" s="622"/>
      <c r="G368" s="622"/>
      <c r="H368" s="623"/>
      <c r="I368" s="623"/>
      <c r="J368" s="625"/>
      <c r="K368" s="247" t="s">
        <v>798</v>
      </c>
      <c r="L368" s="135" t="s">
        <v>799</v>
      </c>
      <c r="M368" s="220">
        <v>130</v>
      </c>
      <c r="N368" s="220">
        <v>70</v>
      </c>
      <c r="O368" s="220"/>
      <c r="P368" s="125"/>
      <c r="Q368" s="132">
        <v>12</v>
      </c>
      <c r="R368" s="132">
        <v>16</v>
      </c>
      <c r="S368" s="224">
        <v>18</v>
      </c>
      <c r="T368" s="132">
        <v>26</v>
      </c>
      <c r="U368" s="274">
        <v>33</v>
      </c>
      <c r="V368" s="289">
        <v>42</v>
      </c>
      <c r="W368" s="307">
        <v>0</v>
      </c>
      <c r="X368" s="307">
        <v>9</v>
      </c>
      <c r="Y368" s="307">
        <v>13</v>
      </c>
      <c r="Z368" s="307">
        <v>102</v>
      </c>
      <c r="AA368" s="307">
        <v>0</v>
      </c>
      <c r="AB368" s="307">
        <v>12</v>
      </c>
      <c r="AC368" s="307"/>
      <c r="AD368" s="307"/>
      <c r="AE368" s="307"/>
      <c r="AF368" s="319">
        <f>+O368+P368+Q368+R368+S368+T368+U368+V368+W368+X368+Y368+Z368+AA368+AB368+AC368+AD368+N368</f>
        <v>353</v>
      </c>
      <c r="AG368" s="125"/>
      <c r="AH368" s="102">
        <v>1</v>
      </c>
      <c r="AI368" s="598">
        <f t="shared" si="5"/>
        <v>1</v>
      </c>
      <c r="AJ368" s="125"/>
      <c r="AK368" s="143"/>
      <c r="AL368" s="143"/>
      <c r="AM368" s="143"/>
      <c r="AN368" s="143"/>
      <c r="AO368" s="143"/>
      <c r="AP368" s="143"/>
      <c r="AQ368" s="143"/>
      <c r="AR368" s="143"/>
      <c r="AS368" s="143"/>
      <c r="AT368" s="143"/>
      <c r="AU368" s="143"/>
      <c r="AV368" s="144"/>
    </row>
    <row r="369" spans="1:48" ht="60" x14ac:dyDescent="0.25">
      <c r="A369" s="632"/>
      <c r="B369" s="663"/>
      <c r="C369" s="638"/>
      <c r="D369" s="627"/>
      <c r="E369" s="622"/>
      <c r="F369" s="622"/>
      <c r="G369" s="622"/>
      <c r="H369" s="623"/>
      <c r="I369" s="623"/>
      <c r="J369" s="625"/>
      <c r="K369" s="247" t="s">
        <v>800</v>
      </c>
      <c r="L369" s="135" t="s">
        <v>801</v>
      </c>
      <c r="M369" s="220">
        <v>520</v>
      </c>
      <c r="N369" s="220">
        <v>260</v>
      </c>
      <c r="O369" s="220"/>
      <c r="P369" s="125"/>
      <c r="Q369" s="132">
        <v>0</v>
      </c>
      <c r="R369" s="132">
        <v>0</v>
      </c>
      <c r="S369" s="224">
        <v>65</v>
      </c>
      <c r="T369" s="132">
        <v>89</v>
      </c>
      <c r="U369" s="274">
        <v>48</v>
      </c>
      <c r="V369" s="289">
        <v>0</v>
      </c>
      <c r="W369" s="307">
        <v>0</v>
      </c>
      <c r="X369" s="307">
        <v>48</v>
      </c>
      <c r="Y369" s="307">
        <v>32</v>
      </c>
      <c r="Z369" s="307">
        <v>55</v>
      </c>
      <c r="AA369" s="307">
        <v>337</v>
      </c>
      <c r="AB369" s="307">
        <v>31</v>
      </c>
      <c r="AC369" s="307"/>
      <c r="AD369" s="307"/>
      <c r="AE369" s="307"/>
      <c r="AF369" s="319">
        <f>+O369+P369+Q369+R369+S369+T369+U369+V369+W369+X369+Y369+Z369+AA369+AB369+AC369+AD369</f>
        <v>705</v>
      </c>
      <c r="AG369" s="125"/>
      <c r="AH369" s="102">
        <v>1</v>
      </c>
      <c r="AI369" s="598">
        <f t="shared" si="5"/>
        <v>1</v>
      </c>
      <c r="AJ369" s="125"/>
      <c r="AK369" s="143"/>
      <c r="AL369" s="143"/>
      <c r="AM369" s="143"/>
      <c r="AN369" s="143"/>
      <c r="AO369" s="143"/>
      <c r="AP369" s="143"/>
      <c r="AQ369" s="143"/>
      <c r="AR369" s="143"/>
      <c r="AS369" s="143"/>
      <c r="AT369" s="143"/>
      <c r="AU369" s="143"/>
      <c r="AV369" s="144"/>
    </row>
    <row r="370" spans="1:48" ht="67.5" customHeight="1" x14ac:dyDescent="0.25">
      <c r="A370" s="632"/>
      <c r="B370" s="663"/>
      <c r="C370" s="638"/>
      <c r="D370" s="627"/>
      <c r="E370" s="622"/>
      <c r="F370" s="622"/>
      <c r="G370" s="622"/>
      <c r="H370" s="623"/>
      <c r="I370" s="623"/>
      <c r="J370" s="625"/>
      <c r="K370" s="247" t="s">
        <v>802</v>
      </c>
      <c r="L370" s="135" t="s">
        <v>803</v>
      </c>
      <c r="M370" s="220">
        <v>250</v>
      </c>
      <c r="N370" s="220">
        <v>78</v>
      </c>
      <c r="O370" s="220"/>
      <c r="P370" s="125"/>
      <c r="Q370" s="132">
        <v>0</v>
      </c>
      <c r="R370" s="132">
        <v>10</v>
      </c>
      <c r="S370" s="224">
        <v>0</v>
      </c>
      <c r="T370" s="132">
        <v>0</v>
      </c>
      <c r="U370" s="274">
        <v>0</v>
      </c>
      <c r="V370" s="289">
        <v>0</v>
      </c>
      <c r="W370" s="307">
        <v>6</v>
      </c>
      <c r="X370" s="307">
        <v>49</v>
      </c>
      <c r="Y370" s="307">
        <v>5</v>
      </c>
      <c r="Z370" s="307">
        <v>5</v>
      </c>
      <c r="AA370" s="307">
        <v>3</v>
      </c>
      <c r="AB370" s="307">
        <v>12</v>
      </c>
      <c r="AC370" s="307"/>
      <c r="AD370" s="307"/>
      <c r="AE370" s="307"/>
      <c r="AF370" s="319">
        <f>+O370+P370+Q370+R370+S370+T370+U370+V370+W370+X370+Y370+Z370+AA370+AB370+AC370+AD370</f>
        <v>90</v>
      </c>
      <c r="AG370" s="125"/>
      <c r="AH370" s="102">
        <f>+AF370/M370</f>
        <v>0.36</v>
      </c>
      <c r="AI370" s="598">
        <f t="shared" si="5"/>
        <v>0.36</v>
      </c>
      <c r="AJ370" s="125"/>
      <c r="AK370" s="143"/>
      <c r="AL370" s="143"/>
      <c r="AM370" s="143"/>
      <c r="AN370" s="143"/>
      <c r="AO370" s="143"/>
      <c r="AP370" s="143"/>
      <c r="AQ370" s="143"/>
      <c r="AR370" s="143"/>
      <c r="AS370" s="143"/>
      <c r="AT370" s="143"/>
      <c r="AU370" s="143"/>
      <c r="AV370" s="144"/>
    </row>
    <row r="371" spans="1:48" ht="87.75" customHeight="1" x14ac:dyDescent="0.25">
      <c r="A371" s="632"/>
      <c r="B371" s="663"/>
      <c r="C371" s="638"/>
      <c r="D371" s="627"/>
      <c r="E371" s="622"/>
      <c r="F371" s="622"/>
      <c r="G371" s="622"/>
      <c r="H371" s="623"/>
      <c r="I371" s="623"/>
      <c r="J371" s="625"/>
      <c r="K371" s="247" t="s">
        <v>804</v>
      </c>
      <c r="L371" s="135" t="s">
        <v>805</v>
      </c>
      <c r="M371" s="220">
        <v>60</v>
      </c>
      <c r="N371" s="220">
        <v>16</v>
      </c>
      <c r="O371" s="220"/>
      <c r="P371" s="125"/>
      <c r="Q371" s="132">
        <v>0</v>
      </c>
      <c r="R371" s="132">
        <v>3</v>
      </c>
      <c r="S371" s="224">
        <v>0</v>
      </c>
      <c r="T371" s="132">
        <v>7</v>
      </c>
      <c r="U371" s="274">
        <v>10</v>
      </c>
      <c r="V371" s="289">
        <v>0</v>
      </c>
      <c r="W371" s="307">
        <v>5</v>
      </c>
      <c r="X371" s="307">
        <v>3</v>
      </c>
      <c r="Y371" s="307">
        <v>2</v>
      </c>
      <c r="Z371" s="307">
        <v>5</v>
      </c>
      <c r="AA371" s="307">
        <v>0</v>
      </c>
      <c r="AB371" s="307">
        <v>0</v>
      </c>
      <c r="AC371" s="307"/>
      <c r="AD371" s="307"/>
      <c r="AE371" s="307"/>
      <c r="AF371" s="319">
        <f>+O371+P371+Q371+R371+S371+T371+U371+V371+W371+X371+Y371+Z371+AA371+AB371+AC371+AD371</f>
        <v>35</v>
      </c>
      <c r="AG371" s="125"/>
      <c r="AH371" s="102">
        <f>+AF371/M371</f>
        <v>0.58333333333333337</v>
      </c>
      <c r="AI371" s="598">
        <f t="shared" si="5"/>
        <v>0.58333333333333337</v>
      </c>
      <c r="AJ371" s="125"/>
      <c r="AK371" s="143"/>
      <c r="AL371" s="143"/>
      <c r="AM371" s="143"/>
      <c r="AN371" s="143"/>
      <c r="AO371" s="143"/>
      <c r="AP371" s="143"/>
      <c r="AQ371" s="143"/>
      <c r="AR371" s="143"/>
      <c r="AS371" s="143"/>
      <c r="AT371" s="143"/>
      <c r="AU371" s="143"/>
      <c r="AV371" s="144"/>
    </row>
    <row r="372" spans="1:48" ht="50.25" customHeight="1" x14ac:dyDescent="0.25">
      <c r="A372" s="632"/>
      <c r="B372" s="663"/>
      <c r="C372" s="638"/>
      <c r="D372" s="627"/>
      <c r="E372" s="622"/>
      <c r="F372" s="622"/>
      <c r="G372" s="622"/>
      <c r="H372" s="623"/>
      <c r="I372" s="623"/>
      <c r="J372" s="625"/>
      <c r="K372" s="247" t="s">
        <v>806</v>
      </c>
      <c r="L372" s="135" t="s">
        <v>807</v>
      </c>
      <c r="M372" s="220">
        <v>14</v>
      </c>
      <c r="N372" s="220">
        <v>7</v>
      </c>
      <c r="O372" s="220"/>
      <c r="P372" s="125"/>
      <c r="Q372" s="132">
        <v>0</v>
      </c>
      <c r="R372" s="132">
        <v>3</v>
      </c>
      <c r="S372" s="224">
        <v>3</v>
      </c>
      <c r="T372" s="132">
        <v>3</v>
      </c>
      <c r="U372" s="274">
        <v>0</v>
      </c>
      <c r="V372" s="289">
        <v>0</v>
      </c>
      <c r="W372" s="307">
        <v>5</v>
      </c>
      <c r="X372" s="307">
        <v>0</v>
      </c>
      <c r="Y372" s="307">
        <v>0</v>
      </c>
      <c r="Z372" s="307">
        <v>0</v>
      </c>
      <c r="AA372" s="307">
        <v>0</v>
      </c>
      <c r="AB372" s="307">
        <v>0</v>
      </c>
      <c r="AC372" s="307"/>
      <c r="AD372" s="307"/>
      <c r="AE372" s="307"/>
      <c r="AF372" s="319">
        <f>+T372+W372</f>
        <v>8</v>
      </c>
      <c r="AG372" s="125"/>
      <c r="AH372" s="102">
        <f>+AF372/M372</f>
        <v>0.5714285714285714</v>
      </c>
      <c r="AI372" s="598">
        <f t="shared" si="5"/>
        <v>0.5714285714285714</v>
      </c>
      <c r="AJ372" s="125"/>
      <c r="AK372" s="143"/>
      <c r="AL372" s="143"/>
      <c r="AM372" s="143"/>
      <c r="AN372" s="143"/>
      <c r="AO372" s="143"/>
      <c r="AP372" s="143"/>
      <c r="AQ372" s="143"/>
      <c r="AR372" s="143"/>
      <c r="AS372" s="143"/>
      <c r="AT372" s="143"/>
      <c r="AU372" s="143"/>
      <c r="AV372" s="144"/>
    </row>
    <row r="373" spans="1:48" ht="42.75" customHeight="1" x14ac:dyDescent="0.25">
      <c r="A373" s="632"/>
      <c r="B373" s="663"/>
      <c r="C373" s="638"/>
      <c r="D373" s="627"/>
      <c r="E373" s="622"/>
      <c r="F373" s="622"/>
      <c r="G373" s="622"/>
      <c r="H373" s="623"/>
      <c r="I373" s="623"/>
      <c r="J373" s="625"/>
      <c r="K373" s="247"/>
      <c r="L373" s="135"/>
      <c r="M373" s="220"/>
      <c r="N373" s="220"/>
      <c r="O373" s="220"/>
      <c r="P373" s="125"/>
      <c r="Q373" s="132"/>
      <c r="R373" s="132"/>
      <c r="S373" s="133"/>
      <c r="T373" s="132"/>
      <c r="U373" s="274"/>
      <c r="V373" s="290"/>
      <c r="W373" s="132"/>
      <c r="X373" s="132"/>
      <c r="Y373" s="132"/>
      <c r="Z373" s="132"/>
      <c r="AA373" s="132"/>
      <c r="AB373" s="132"/>
      <c r="AC373" s="132"/>
      <c r="AD373" s="132"/>
      <c r="AE373" s="290"/>
      <c r="AF373" s="141"/>
      <c r="AG373" s="125"/>
      <c r="AH373" s="150">
        <f>AVERAGE(AH366:AH372)</f>
        <v>0.67710884353741485</v>
      </c>
      <c r="AI373" s="598">
        <f t="shared" si="5"/>
        <v>0.67710884353741485</v>
      </c>
      <c r="AJ373" s="125"/>
      <c r="AK373" s="143"/>
      <c r="AL373" s="143"/>
      <c r="AM373" s="143"/>
      <c r="AN373" s="143"/>
      <c r="AO373" s="143"/>
      <c r="AP373" s="143"/>
      <c r="AQ373" s="143"/>
      <c r="AR373" s="143"/>
      <c r="AS373" s="143"/>
      <c r="AT373" s="143"/>
      <c r="AU373" s="143"/>
      <c r="AV373" s="144"/>
    </row>
    <row r="374" spans="1:48" ht="42.75" customHeight="1" x14ac:dyDescent="0.25">
      <c r="A374" s="632"/>
      <c r="B374" s="663"/>
      <c r="C374" s="638"/>
      <c r="D374" s="627"/>
      <c r="E374" s="622"/>
      <c r="F374" s="622"/>
      <c r="G374" s="622"/>
      <c r="H374" s="623"/>
      <c r="I374" s="623"/>
      <c r="J374" s="132"/>
      <c r="K374" s="135"/>
      <c r="L374" s="135"/>
      <c r="M374" s="220"/>
      <c r="N374" s="220"/>
      <c r="O374" s="220"/>
      <c r="P374" s="125"/>
      <c r="Q374" s="132"/>
      <c r="R374" s="132"/>
      <c r="S374" s="133"/>
      <c r="T374" s="132"/>
      <c r="U374" s="274"/>
      <c r="V374" s="290"/>
      <c r="W374" s="132"/>
      <c r="X374" s="132"/>
      <c r="Y374" s="132"/>
      <c r="Z374" s="132"/>
      <c r="AA374" s="132"/>
      <c r="AB374" s="132"/>
      <c r="AC374" s="132"/>
      <c r="AD374" s="132"/>
      <c r="AE374" s="290"/>
      <c r="AF374" s="141"/>
      <c r="AG374" s="125"/>
      <c r="AH374" s="160">
        <f>+AH373</f>
        <v>0.67710884353741485</v>
      </c>
      <c r="AI374" s="598">
        <f t="shared" si="5"/>
        <v>0.67710884353741485</v>
      </c>
      <c r="AJ374" s="125"/>
      <c r="AK374" s="143"/>
      <c r="AL374" s="143"/>
      <c r="AM374" s="143"/>
      <c r="AN374" s="143"/>
      <c r="AO374" s="143"/>
      <c r="AP374" s="143"/>
      <c r="AQ374" s="143"/>
      <c r="AR374" s="143"/>
      <c r="AS374" s="143"/>
      <c r="AT374" s="143"/>
      <c r="AU374" s="143"/>
      <c r="AV374" s="144"/>
    </row>
    <row r="375" spans="1:48" ht="90.75" customHeight="1" x14ac:dyDescent="0.25">
      <c r="A375" s="632"/>
      <c r="B375" s="663"/>
      <c r="C375" s="638"/>
      <c r="D375" s="627"/>
      <c r="E375" s="622" t="s">
        <v>809</v>
      </c>
      <c r="F375" s="622" t="s">
        <v>811</v>
      </c>
      <c r="G375" s="622" t="s">
        <v>810</v>
      </c>
      <c r="H375" s="622">
        <v>1019</v>
      </c>
      <c r="I375" s="622">
        <v>728</v>
      </c>
      <c r="J375" s="625" t="s">
        <v>808</v>
      </c>
      <c r="K375" s="247" t="s">
        <v>812</v>
      </c>
      <c r="L375" s="135" t="s">
        <v>813</v>
      </c>
      <c r="M375" s="132">
        <v>1200</v>
      </c>
      <c r="N375" s="220">
        <v>436</v>
      </c>
      <c r="O375" s="220"/>
      <c r="P375" s="125"/>
      <c r="Q375" s="132">
        <v>0</v>
      </c>
      <c r="R375" s="132">
        <v>325</v>
      </c>
      <c r="S375" s="133">
        <v>0</v>
      </c>
      <c r="T375" s="132">
        <v>86</v>
      </c>
      <c r="U375" s="274">
        <v>200</v>
      </c>
      <c r="V375" s="289">
        <v>14</v>
      </c>
      <c r="W375" s="307">
        <v>95</v>
      </c>
      <c r="X375" s="307">
        <v>149</v>
      </c>
      <c r="Y375" s="307">
        <v>54</v>
      </c>
      <c r="Z375" s="132">
        <v>192</v>
      </c>
      <c r="AA375" s="132">
        <v>45</v>
      </c>
      <c r="AB375" s="132">
        <v>126</v>
      </c>
      <c r="AC375" s="132"/>
      <c r="AD375" s="132"/>
      <c r="AE375" s="290"/>
      <c r="AF375" s="141">
        <f>+O375+P375+Q375+R375+S375+T375+U375+V375+W375+X375+Y375+Z375+AA375+AB375+AC375+AD375</f>
        <v>1286</v>
      </c>
      <c r="AG375" s="125"/>
      <c r="AH375" s="102">
        <v>1</v>
      </c>
      <c r="AI375" s="598">
        <f t="shared" si="5"/>
        <v>1</v>
      </c>
      <c r="AJ375" s="125"/>
      <c r="AK375" s="203">
        <v>150000000</v>
      </c>
      <c r="AL375" s="203"/>
      <c r="AM375" s="203"/>
      <c r="AN375" s="203"/>
      <c r="AO375" s="203"/>
      <c r="AP375" s="203"/>
      <c r="AQ375" s="203"/>
      <c r="AR375" s="203"/>
      <c r="AS375" s="203"/>
      <c r="AT375" s="203">
        <v>126330000</v>
      </c>
      <c r="AU375" s="212">
        <f>+AT375/AK375</f>
        <v>0.84219999999999995</v>
      </c>
      <c r="AV375" s="144"/>
    </row>
    <row r="376" spans="1:48" x14ac:dyDescent="0.25">
      <c r="A376" s="632"/>
      <c r="B376" s="663"/>
      <c r="C376" s="638"/>
      <c r="D376" s="627"/>
      <c r="E376" s="622"/>
      <c r="F376" s="622"/>
      <c r="G376" s="622"/>
      <c r="H376" s="622"/>
      <c r="I376" s="622"/>
      <c r="J376" s="625"/>
      <c r="K376" s="247" t="s">
        <v>814</v>
      </c>
      <c r="L376" s="135" t="s">
        <v>815</v>
      </c>
      <c r="M376" s="135">
        <v>4</v>
      </c>
      <c r="N376" s="220">
        <v>2</v>
      </c>
      <c r="O376" s="220"/>
      <c r="P376" s="125"/>
      <c r="Q376" s="132">
        <v>0</v>
      </c>
      <c r="R376" s="132">
        <v>1</v>
      </c>
      <c r="S376" s="133">
        <v>0</v>
      </c>
      <c r="T376" s="132">
        <v>0</v>
      </c>
      <c r="U376" s="274">
        <v>0</v>
      </c>
      <c r="V376" s="289">
        <v>0</v>
      </c>
      <c r="W376" s="307">
        <v>0</v>
      </c>
      <c r="X376" s="307">
        <v>0</v>
      </c>
      <c r="Y376" s="307">
        <v>1</v>
      </c>
      <c r="Z376" s="132">
        <v>0</v>
      </c>
      <c r="AA376" s="132">
        <v>0</v>
      </c>
      <c r="AB376" s="132">
        <v>0</v>
      </c>
      <c r="AC376" s="132"/>
      <c r="AD376" s="132"/>
      <c r="AE376" s="290"/>
      <c r="AF376" s="141">
        <f>+O376+P376+Q376+R376+S376+T376+U376+V376+W376+X376+Y376+Z376+AA376+AB376+AC376+AD376</f>
        <v>2</v>
      </c>
      <c r="AG376" s="125"/>
      <c r="AH376" s="102">
        <f>+(AF376/M376)</f>
        <v>0.5</v>
      </c>
      <c r="AI376" s="598">
        <f t="shared" si="5"/>
        <v>0.5</v>
      </c>
      <c r="AJ376" s="125"/>
      <c r="AK376" s="143"/>
      <c r="AL376" s="143"/>
      <c r="AM376" s="143"/>
      <c r="AN376" s="143"/>
      <c r="AO376" s="143"/>
      <c r="AP376" s="143"/>
      <c r="AQ376" s="143"/>
      <c r="AR376" s="143"/>
      <c r="AS376" s="143"/>
      <c r="AT376" s="143"/>
      <c r="AU376" s="143"/>
      <c r="AV376" s="144"/>
    </row>
    <row r="377" spans="1:48" ht="60" x14ac:dyDescent="0.25">
      <c r="A377" s="632"/>
      <c r="B377" s="663"/>
      <c r="C377" s="638"/>
      <c r="D377" s="627"/>
      <c r="E377" s="622"/>
      <c r="F377" s="622"/>
      <c r="G377" s="622"/>
      <c r="H377" s="622"/>
      <c r="I377" s="622"/>
      <c r="J377" s="625"/>
      <c r="K377" s="247" t="s">
        <v>816</v>
      </c>
      <c r="L377" s="135" t="s">
        <v>817</v>
      </c>
      <c r="M377" s="220">
        <v>3</v>
      </c>
      <c r="N377" s="220">
        <v>0</v>
      </c>
      <c r="O377" s="220"/>
      <c r="P377" s="125"/>
      <c r="Q377" s="132">
        <v>0</v>
      </c>
      <c r="R377" s="132">
        <v>0</v>
      </c>
      <c r="S377" s="133">
        <v>0</v>
      </c>
      <c r="T377" s="132">
        <v>0</v>
      </c>
      <c r="U377" s="274">
        <v>0</v>
      </c>
      <c r="V377" s="289">
        <v>0</v>
      </c>
      <c r="W377" s="311"/>
      <c r="X377" s="311"/>
      <c r="Y377" s="311"/>
      <c r="Z377" s="132"/>
      <c r="AA377" s="132"/>
      <c r="AB377" s="132"/>
      <c r="AC377" s="132"/>
      <c r="AD377" s="132"/>
      <c r="AE377" s="290"/>
      <c r="AF377" s="141">
        <f>+O377+P377+Q377+R377+S377+T377+U377+V377+W377+X377+Y377+Z377+AA377+AB377+AC377+AD377</f>
        <v>0</v>
      </c>
      <c r="AG377" s="125"/>
      <c r="AH377" s="102">
        <f>+(AF377/M377)</f>
        <v>0</v>
      </c>
      <c r="AI377" s="598">
        <f t="shared" si="5"/>
        <v>0</v>
      </c>
      <c r="AJ377" s="125"/>
      <c r="AK377" s="143"/>
      <c r="AL377" s="143"/>
      <c r="AM377" s="143"/>
      <c r="AN377" s="143"/>
      <c r="AO377" s="143"/>
      <c r="AP377" s="143"/>
      <c r="AQ377" s="143"/>
      <c r="AR377" s="143"/>
      <c r="AS377" s="143"/>
      <c r="AT377" s="143"/>
      <c r="AU377" s="143"/>
      <c r="AV377" s="144"/>
    </row>
    <row r="378" spans="1:48" ht="50.25" customHeight="1" x14ac:dyDescent="0.25">
      <c r="A378" s="632"/>
      <c r="B378" s="663"/>
      <c r="C378" s="638"/>
      <c r="D378" s="627"/>
      <c r="E378" s="622"/>
      <c r="F378" s="622"/>
      <c r="G378" s="622"/>
      <c r="H378" s="622"/>
      <c r="I378" s="622"/>
      <c r="J378" s="625"/>
      <c r="K378" s="247"/>
      <c r="L378" s="135"/>
      <c r="M378" s="220"/>
      <c r="N378" s="220"/>
      <c r="O378" s="220"/>
      <c r="P378" s="125"/>
      <c r="Q378" s="132"/>
      <c r="R378" s="132"/>
      <c r="S378" s="133"/>
      <c r="T378" s="132"/>
      <c r="U378" s="274"/>
      <c r="V378" s="290"/>
      <c r="W378" s="132"/>
      <c r="X378" s="132"/>
      <c r="Y378" s="132"/>
      <c r="Z378" s="132"/>
      <c r="AA378" s="132"/>
      <c r="AB378" s="132"/>
      <c r="AC378" s="132"/>
      <c r="AD378" s="132"/>
      <c r="AE378" s="290"/>
      <c r="AF378" s="141"/>
      <c r="AG378" s="125"/>
      <c r="AH378" s="150">
        <f>AVERAGE(AH375:AH377)</f>
        <v>0.5</v>
      </c>
      <c r="AI378" s="598">
        <f t="shared" si="5"/>
        <v>0.5</v>
      </c>
      <c r="AJ378" s="125"/>
      <c r="AK378" s="143"/>
      <c r="AL378" s="143"/>
      <c r="AM378" s="143"/>
      <c r="AN378" s="143"/>
      <c r="AO378" s="143"/>
      <c r="AP378" s="143"/>
      <c r="AQ378" s="143"/>
      <c r="AR378" s="143"/>
      <c r="AS378" s="143"/>
      <c r="AT378" s="143"/>
      <c r="AU378" s="143"/>
      <c r="AV378" s="144"/>
    </row>
    <row r="379" spans="1:48" ht="50.25" customHeight="1" x14ac:dyDescent="0.25">
      <c r="A379" s="632"/>
      <c r="B379" s="663"/>
      <c r="C379" s="638"/>
      <c r="D379" s="627"/>
      <c r="E379" s="622"/>
      <c r="F379" s="622"/>
      <c r="G379" s="622"/>
      <c r="H379" s="622"/>
      <c r="I379" s="622"/>
      <c r="J379" s="132"/>
      <c r="K379" s="135"/>
      <c r="L379" s="135"/>
      <c r="M379" s="220"/>
      <c r="N379" s="220"/>
      <c r="O379" s="220"/>
      <c r="P379" s="125"/>
      <c r="Q379" s="132"/>
      <c r="R379" s="132"/>
      <c r="S379" s="133"/>
      <c r="T379" s="132"/>
      <c r="U379" s="274"/>
      <c r="V379" s="290"/>
      <c r="W379" s="132"/>
      <c r="X379" s="132"/>
      <c r="Y379" s="132"/>
      <c r="Z379" s="132"/>
      <c r="AA379" s="132"/>
      <c r="AB379" s="132"/>
      <c r="AC379" s="132"/>
      <c r="AD379" s="132"/>
      <c r="AE379" s="290"/>
      <c r="AF379" s="141"/>
      <c r="AG379" s="125"/>
      <c r="AH379" s="160">
        <f>+AH378</f>
        <v>0.5</v>
      </c>
      <c r="AI379" s="598">
        <f t="shared" si="5"/>
        <v>0.5</v>
      </c>
      <c r="AJ379" s="125"/>
      <c r="AK379" s="143"/>
      <c r="AL379" s="143"/>
      <c r="AM379" s="143"/>
      <c r="AN379" s="143"/>
      <c r="AO379" s="143"/>
      <c r="AP379" s="143"/>
      <c r="AQ379" s="143"/>
      <c r="AR379" s="143"/>
      <c r="AS379" s="143"/>
      <c r="AT379" s="143"/>
      <c r="AU379" s="143"/>
      <c r="AV379" s="144"/>
    </row>
    <row r="380" spans="1:48" ht="60" customHeight="1" x14ac:dyDescent="0.25">
      <c r="A380" s="632"/>
      <c r="B380" s="663"/>
      <c r="C380" s="638"/>
      <c r="D380" s="627"/>
      <c r="E380" s="622" t="s">
        <v>818</v>
      </c>
      <c r="F380" s="622" t="s">
        <v>821</v>
      </c>
      <c r="G380" s="622" t="s">
        <v>820</v>
      </c>
      <c r="H380" s="622">
        <v>548</v>
      </c>
      <c r="I380" s="622">
        <v>274</v>
      </c>
      <c r="J380" s="625" t="s">
        <v>819</v>
      </c>
      <c r="K380" s="247" t="s">
        <v>822</v>
      </c>
      <c r="L380" s="247" t="s">
        <v>823</v>
      </c>
      <c r="M380" s="220">
        <v>1</v>
      </c>
      <c r="N380" s="220">
        <v>0</v>
      </c>
      <c r="O380" s="220"/>
      <c r="P380" s="125"/>
      <c r="Q380" s="132">
        <v>0</v>
      </c>
      <c r="R380" s="132">
        <v>0</v>
      </c>
      <c r="S380" s="224">
        <v>1</v>
      </c>
      <c r="T380" s="132">
        <v>0</v>
      </c>
      <c r="U380" s="274">
        <v>0</v>
      </c>
      <c r="V380" s="289">
        <v>0</v>
      </c>
      <c r="W380" s="307">
        <v>1</v>
      </c>
      <c r="X380" s="307">
        <v>0</v>
      </c>
      <c r="Y380" s="307">
        <v>0</v>
      </c>
      <c r="Z380" s="132">
        <v>0</v>
      </c>
      <c r="AA380" s="132">
        <v>0</v>
      </c>
      <c r="AB380" s="132">
        <v>0</v>
      </c>
      <c r="AC380" s="132"/>
      <c r="AD380" s="132"/>
      <c r="AE380" s="290"/>
      <c r="AF380" s="141">
        <f>+O380+P380+Q380+R380+S380+T380+U380+V380+W380+X380+Y380+Z380+AA380+AB380+AC380+AD380</f>
        <v>2</v>
      </c>
      <c r="AG380" s="125"/>
      <c r="AH380" s="102">
        <v>1</v>
      </c>
      <c r="AI380" s="598">
        <f t="shared" si="5"/>
        <v>1</v>
      </c>
      <c r="AJ380" s="125"/>
      <c r="AK380" s="143"/>
      <c r="AL380" s="143"/>
      <c r="AM380" s="143"/>
      <c r="AN380" s="143"/>
      <c r="AO380" s="143"/>
      <c r="AP380" s="143"/>
      <c r="AQ380" s="143"/>
      <c r="AR380" s="143"/>
      <c r="AS380" s="143"/>
      <c r="AT380" s="143"/>
      <c r="AU380" s="143"/>
      <c r="AV380" s="144"/>
    </row>
    <row r="381" spans="1:48" ht="75" x14ac:dyDescent="0.25">
      <c r="A381" s="632"/>
      <c r="B381" s="663"/>
      <c r="C381" s="638"/>
      <c r="D381" s="627"/>
      <c r="E381" s="622"/>
      <c r="F381" s="622"/>
      <c r="G381" s="622"/>
      <c r="H381" s="622"/>
      <c r="I381" s="622"/>
      <c r="J381" s="625"/>
      <c r="K381" s="247" t="s">
        <v>824</v>
      </c>
      <c r="L381" s="247" t="s">
        <v>825</v>
      </c>
      <c r="M381" s="220">
        <v>12</v>
      </c>
      <c r="N381" s="220">
        <v>2</v>
      </c>
      <c r="O381" s="220"/>
      <c r="P381" s="125"/>
      <c r="Q381" s="132">
        <v>0</v>
      </c>
      <c r="R381" s="132">
        <v>0</v>
      </c>
      <c r="S381" s="224">
        <v>2</v>
      </c>
      <c r="T381" s="132">
        <v>0</v>
      </c>
      <c r="U381" s="274">
        <v>5</v>
      </c>
      <c r="V381" s="289">
        <v>0</v>
      </c>
      <c r="W381" s="307">
        <v>0</v>
      </c>
      <c r="X381" s="307">
        <v>3</v>
      </c>
      <c r="Y381" s="307">
        <v>1</v>
      </c>
      <c r="Z381" s="132">
        <v>1</v>
      </c>
      <c r="AA381" s="132">
        <v>0</v>
      </c>
      <c r="AB381" s="132">
        <v>0</v>
      </c>
      <c r="AC381" s="132"/>
      <c r="AD381" s="132"/>
      <c r="AE381" s="290"/>
      <c r="AF381" s="141">
        <f>+O381+P381+Q381+R381+S381+T381+U381+V381+W381+X381+Y381+Z381+AA381+AB381+AC381+AD381</f>
        <v>12</v>
      </c>
      <c r="AG381" s="125"/>
      <c r="AH381" s="102">
        <f>+AF381/M381</f>
        <v>1</v>
      </c>
      <c r="AI381" s="598">
        <f t="shared" si="5"/>
        <v>1</v>
      </c>
      <c r="AJ381" s="125"/>
      <c r="AK381" s="143"/>
      <c r="AL381" s="143"/>
      <c r="AM381" s="143"/>
      <c r="AN381" s="143"/>
      <c r="AO381" s="143"/>
      <c r="AP381" s="143"/>
      <c r="AQ381" s="143"/>
      <c r="AR381" s="143"/>
      <c r="AS381" s="143"/>
      <c r="AT381" s="143"/>
      <c r="AU381" s="143"/>
      <c r="AV381" s="144"/>
    </row>
    <row r="382" spans="1:48" ht="75" x14ac:dyDescent="0.25">
      <c r="A382" s="632"/>
      <c r="B382" s="663"/>
      <c r="C382" s="638"/>
      <c r="D382" s="627"/>
      <c r="E382" s="622"/>
      <c r="F382" s="622"/>
      <c r="G382" s="622"/>
      <c r="H382" s="622"/>
      <c r="I382" s="622"/>
      <c r="J382" s="625"/>
      <c r="K382" s="247" t="s">
        <v>826</v>
      </c>
      <c r="L382" s="247" t="s">
        <v>827</v>
      </c>
      <c r="M382" s="220">
        <v>4</v>
      </c>
      <c r="N382" s="220">
        <v>1</v>
      </c>
      <c r="O382" s="220"/>
      <c r="P382" s="125"/>
      <c r="Q382" s="132">
        <v>0</v>
      </c>
      <c r="R382" s="132">
        <v>0</v>
      </c>
      <c r="S382" s="224">
        <v>2</v>
      </c>
      <c r="T382" s="132">
        <v>1</v>
      </c>
      <c r="U382" s="274">
        <v>2</v>
      </c>
      <c r="V382" s="289">
        <v>0</v>
      </c>
      <c r="W382" s="307">
        <v>2</v>
      </c>
      <c r="X382" s="307">
        <v>3</v>
      </c>
      <c r="Y382" s="307">
        <v>0</v>
      </c>
      <c r="Z382" s="132">
        <v>0</v>
      </c>
      <c r="AA382" s="132">
        <v>0</v>
      </c>
      <c r="AB382" s="132">
        <v>0</v>
      </c>
      <c r="AC382" s="132"/>
      <c r="AD382" s="132"/>
      <c r="AE382" s="290"/>
      <c r="AF382" s="141">
        <f>+O382+P382+Q382+R382+S382+T382+U382+V382+W382+X382+Y382+Z382+AA382+AB382+AC382+AD382</f>
        <v>10</v>
      </c>
      <c r="AG382" s="125"/>
      <c r="AH382" s="102">
        <v>1</v>
      </c>
      <c r="AI382" s="598">
        <f t="shared" si="5"/>
        <v>1</v>
      </c>
      <c r="AJ382" s="125"/>
      <c r="AK382" s="143"/>
      <c r="AL382" s="143"/>
      <c r="AM382" s="143"/>
      <c r="AN382" s="143"/>
      <c r="AO382" s="143"/>
      <c r="AP382" s="143"/>
      <c r="AQ382" s="143"/>
      <c r="AR382" s="143"/>
      <c r="AS382" s="143"/>
      <c r="AT382" s="143"/>
      <c r="AU382" s="143"/>
      <c r="AV382" s="144"/>
    </row>
    <row r="383" spans="1:48" ht="30" x14ac:dyDescent="0.25">
      <c r="A383" s="632"/>
      <c r="B383" s="663"/>
      <c r="C383" s="638"/>
      <c r="D383" s="627"/>
      <c r="E383" s="622"/>
      <c r="F383" s="622"/>
      <c r="G383" s="622"/>
      <c r="H383" s="622"/>
      <c r="I383" s="622"/>
      <c r="J383" s="625"/>
      <c r="K383" s="247" t="s">
        <v>2185</v>
      </c>
      <c r="L383" s="247" t="s">
        <v>828</v>
      </c>
      <c r="M383" s="220">
        <v>8</v>
      </c>
      <c r="N383" s="220">
        <v>0</v>
      </c>
      <c r="O383" s="220"/>
      <c r="P383" s="125"/>
      <c r="Q383" s="132">
        <v>0</v>
      </c>
      <c r="R383" s="132">
        <v>0</v>
      </c>
      <c r="S383" s="224">
        <v>0</v>
      </c>
      <c r="T383" s="132">
        <v>0</v>
      </c>
      <c r="U383" s="274">
        <v>2</v>
      </c>
      <c r="V383" s="289">
        <v>0</v>
      </c>
      <c r="W383" s="307">
        <v>1</v>
      </c>
      <c r="X383" s="307">
        <v>0</v>
      </c>
      <c r="Y383" s="307">
        <v>0</v>
      </c>
      <c r="Z383" s="132">
        <v>1</v>
      </c>
      <c r="AA383" s="132">
        <v>0</v>
      </c>
      <c r="AB383" s="132">
        <v>0</v>
      </c>
      <c r="AC383" s="132"/>
      <c r="AD383" s="132"/>
      <c r="AE383" s="290"/>
      <c r="AF383" s="141">
        <f>+O383+P383+Q383+R383+S383+T383+U383+V383+W383+X383+Y383+Z383+AA383+AB383+AC383+AD383</f>
        <v>4</v>
      </c>
      <c r="AG383" s="125"/>
      <c r="AH383" s="102">
        <f>+(AF383/M383)</f>
        <v>0.5</v>
      </c>
      <c r="AI383" s="598">
        <f t="shared" si="5"/>
        <v>0.5</v>
      </c>
      <c r="AJ383" s="125"/>
      <c r="AK383" s="143"/>
      <c r="AL383" s="143"/>
      <c r="AM383" s="143"/>
      <c r="AN383" s="143"/>
      <c r="AO383" s="143"/>
      <c r="AP383" s="143"/>
      <c r="AQ383" s="143"/>
      <c r="AR383" s="143"/>
      <c r="AS383" s="143"/>
      <c r="AT383" s="143"/>
      <c r="AU383" s="143"/>
      <c r="AV383" s="144"/>
    </row>
    <row r="384" spans="1:48" ht="60" x14ac:dyDescent="0.25">
      <c r="A384" s="632"/>
      <c r="B384" s="663"/>
      <c r="C384" s="638"/>
      <c r="D384" s="627"/>
      <c r="E384" s="622"/>
      <c r="F384" s="622"/>
      <c r="G384" s="622"/>
      <c r="H384" s="622"/>
      <c r="I384" s="622"/>
      <c r="J384" s="625"/>
      <c r="K384" s="247" t="s">
        <v>829</v>
      </c>
      <c r="L384" s="247" t="s">
        <v>830</v>
      </c>
      <c r="M384" s="220">
        <v>600</v>
      </c>
      <c r="N384" s="220">
        <v>274</v>
      </c>
      <c r="O384" s="220"/>
      <c r="P384" s="125"/>
      <c r="Q384" s="132">
        <v>0</v>
      </c>
      <c r="R384" s="132">
        <v>0</v>
      </c>
      <c r="S384" s="224">
        <v>30</v>
      </c>
      <c r="T384" s="132">
        <v>45</v>
      </c>
      <c r="U384" s="274">
        <v>120</v>
      </c>
      <c r="V384" s="289">
        <v>0</v>
      </c>
      <c r="W384" s="307">
        <v>200</v>
      </c>
      <c r="X384" s="307">
        <v>42</v>
      </c>
      <c r="Y384" s="307">
        <v>25</v>
      </c>
      <c r="Z384" s="132">
        <v>0</v>
      </c>
      <c r="AA384" s="132">
        <v>0</v>
      </c>
      <c r="AB384" s="132">
        <v>20</v>
      </c>
      <c r="AC384" s="132"/>
      <c r="AD384" s="132"/>
      <c r="AE384" s="290"/>
      <c r="AF384" s="141">
        <f>+O384+P384+Q384+R384+S384+T384+U384+V384+W384+X384+Y384+Z384+AA384+AB384+AC384+AD384</f>
        <v>482</v>
      </c>
      <c r="AG384" s="125"/>
      <c r="AH384" s="102">
        <f>+AF384/M384</f>
        <v>0.80333333333333334</v>
      </c>
      <c r="AI384" s="598">
        <f t="shared" si="5"/>
        <v>0.80333333333333334</v>
      </c>
      <c r="AJ384" s="125"/>
      <c r="AK384" s="143"/>
      <c r="AL384" s="143"/>
      <c r="AM384" s="143"/>
      <c r="AN384" s="143"/>
      <c r="AO384" s="143"/>
      <c r="AP384" s="143"/>
      <c r="AQ384" s="143"/>
      <c r="AR384" s="143"/>
      <c r="AS384" s="143"/>
      <c r="AT384" s="143"/>
      <c r="AU384" s="143"/>
      <c r="AV384" s="144"/>
    </row>
    <row r="385" spans="1:48" ht="47.25" customHeight="1" x14ac:dyDescent="0.25">
      <c r="A385" s="632"/>
      <c r="B385" s="663"/>
      <c r="C385" s="638"/>
      <c r="D385" s="627"/>
      <c r="E385" s="622"/>
      <c r="F385" s="622"/>
      <c r="G385" s="622"/>
      <c r="H385" s="622"/>
      <c r="I385" s="622"/>
      <c r="J385" s="625"/>
      <c r="K385" s="247"/>
      <c r="L385" s="247"/>
      <c r="M385" s="220"/>
      <c r="N385" s="220"/>
      <c r="O385" s="220"/>
      <c r="P385" s="125"/>
      <c r="Q385" s="132"/>
      <c r="R385" s="132"/>
      <c r="S385" s="133"/>
      <c r="T385" s="132"/>
      <c r="U385" s="274"/>
      <c r="V385" s="290"/>
      <c r="W385" s="132"/>
      <c r="X385" s="132"/>
      <c r="Y385" s="132"/>
      <c r="Z385" s="132"/>
      <c r="AA385" s="132"/>
      <c r="AB385" s="132"/>
      <c r="AC385" s="132"/>
      <c r="AD385" s="132"/>
      <c r="AE385" s="290"/>
      <c r="AF385" s="141"/>
      <c r="AG385" s="125"/>
      <c r="AH385" s="150">
        <f>AVERAGE(AH380:AH384)</f>
        <v>0.86066666666666669</v>
      </c>
      <c r="AI385" s="598">
        <f t="shared" si="5"/>
        <v>0.86066666666666669</v>
      </c>
      <c r="AJ385" s="125"/>
      <c r="AK385" s="143"/>
      <c r="AL385" s="143"/>
      <c r="AM385" s="143"/>
      <c r="AN385" s="143"/>
      <c r="AO385" s="143"/>
      <c r="AP385" s="143"/>
      <c r="AQ385" s="143"/>
      <c r="AR385" s="143"/>
      <c r="AS385" s="143"/>
      <c r="AT385" s="143"/>
      <c r="AU385" s="143"/>
      <c r="AV385" s="144"/>
    </row>
    <row r="386" spans="1:48" ht="47.25" customHeight="1" x14ac:dyDescent="0.25">
      <c r="A386" s="632"/>
      <c r="B386" s="663"/>
      <c r="C386" s="638"/>
      <c r="D386" s="627"/>
      <c r="E386" s="622"/>
      <c r="F386" s="622"/>
      <c r="G386" s="622"/>
      <c r="H386" s="622"/>
      <c r="I386" s="622"/>
      <c r="J386" s="132"/>
      <c r="K386" s="135"/>
      <c r="L386" s="135"/>
      <c r="M386" s="220"/>
      <c r="N386" s="220"/>
      <c r="O386" s="220"/>
      <c r="P386" s="125"/>
      <c r="Q386" s="132"/>
      <c r="R386" s="132"/>
      <c r="S386" s="133"/>
      <c r="T386" s="132"/>
      <c r="U386" s="274"/>
      <c r="V386" s="290"/>
      <c r="W386" s="132"/>
      <c r="X386" s="132"/>
      <c r="Y386" s="132"/>
      <c r="Z386" s="132"/>
      <c r="AA386" s="132"/>
      <c r="AB386" s="132"/>
      <c r="AC386" s="132"/>
      <c r="AD386" s="132"/>
      <c r="AE386" s="290"/>
      <c r="AF386" s="141"/>
      <c r="AG386" s="125"/>
      <c r="AH386" s="160">
        <f>+AH385</f>
        <v>0.86066666666666669</v>
      </c>
      <c r="AI386" s="598">
        <f t="shared" si="5"/>
        <v>0.86066666666666669</v>
      </c>
      <c r="AJ386" s="125"/>
      <c r="AK386" s="143"/>
      <c r="AL386" s="143"/>
      <c r="AM386" s="143"/>
      <c r="AN386" s="143"/>
      <c r="AO386" s="143"/>
      <c r="AP386" s="143"/>
      <c r="AQ386" s="143"/>
      <c r="AR386" s="143"/>
      <c r="AS386" s="143"/>
      <c r="AT386" s="143"/>
      <c r="AU386" s="143"/>
      <c r="AV386" s="144"/>
    </row>
    <row r="387" spans="1:48" ht="47.25" customHeight="1" x14ac:dyDescent="0.25">
      <c r="A387" s="632"/>
      <c r="B387" s="663"/>
      <c r="C387" s="638"/>
      <c r="D387" s="627"/>
      <c r="E387" s="132"/>
      <c r="F387" s="132"/>
      <c r="G387" s="132"/>
      <c r="H387" s="132"/>
      <c r="I387" s="132"/>
      <c r="J387" s="132"/>
      <c r="K387" s="135"/>
      <c r="L387" s="135"/>
      <c r="M387" s="220"/>
      <c r="N387" s="220"/>
      <c r="O387" s="220"/>
      <c r="P387" s="125"/>
      <c r="Q387" s="132"/>
      <c r="R387" s="132"/>
      <c r="S387" s="133"/>
      <c r="T387" s="132"/>
      <c r="U387" s="274"/>
      <c r="V387" s="290"/>
      <c r="W387" s="132"/>
      <c r="X387" s="132"/>
      <c r="Y387" s="132"/>
      <c r="Z387" s="132"/>
      <c r="AA387" s="132"/>
      <c r="AB387" s="132"/>
      <c r="AC387" s="132"/>
      <c r="AD387" s="132"/>
      <c r="AE387" s="290"/>
      <c r="AF387" s="141"/>
      <c r="AG387" s="125"/>
      <c r="AH387" s="223">
        <f>+(AH374+AH379+AH386)/3</f>
        <v>0.67925850340136051</v>
      </c>
      <c r="AI387" s="598">
        <f t="shared" si="5"/>
        <v>0.67925850340136051</v>
      </c>
      <c r="AJ387" s="125"/>
      <c r="AK387" s="143"/>
      <c r="AL387" s="143"/>
      <c r="AM387" s="143"/>
      <c r="AN387" s="143"/>
      <c r="AO387" s="143"/>
      <c r="AP387" s="143"/>
      <c r="AQ387" s="143"/>
      <c r="AR387" s="143"/>
      <c r="AS387" s="143"/>
      <c r="AT387" s="143"/>
      <c r="AU387" s="143"/>
      <c r="AV387" s="144"/>
    </row>
    <row r="388" spans="1:48" ht="105" customHeight="1" x14ac:dyDescent="0.25">
      <c r="A388" s="632"/>
      <c r="B388" s="663"/>
      <c r="C388" s="638"/>
      <c r="D388" s="639" t="s">
        <v>831</v>
      </c>
      <c r="E388" s="622" t="s">
        <v>834</v>
      </c>
      <c r="F388" s="622" t="s">
        <v>833</v>
      </c>
      <c r="G388" s="622" t="s">
        <v>832</v>
      </c>
      <c r="H388" s="622">
        <v>1</v>
      </c>
      <c r="I388" s="622">
        <v>0</v>
      </c>
      <c r="J388" s="625" t="s">
        <v>835</v>
      </c>
      <c r="K388" s="250" t="s">
        <v>836</v>
      </c>
      <c r="L388" s="132" t="s">
        <v>837</v>
      </c>
      <c r="M388" s="220">
        <v>1</v>
      </c>
      <c r="N388" s="220">
        <v>0</v>
      </c>
      <c r="O388" s="220"/>
      <c r="P388" s="125"/>
      <c r="Q388" s="132">
        <v>0</v>
      </c>
      <c r="R388" s="132">
        <v>0</v>
      </c>
      <c r="S388" s="224">
        <v>1</v>
      </c>
      <c r="T388" s="132">
        <v>0</v>
      </c>
      <c r="U388" s="274">
        <v>0</v>
      </c>
      <c r="V388" s="289">
        <v>1</v>
      </c>
      <c r="W388" s="95"/>
      <c r="X388" s="95"/>
      <c r="Y388" s="95"/>
      <c r="Z388" s="132"/>
      <c r="AA388" s="132">
        <v>0</v>
      </c>
      <c r="AB388" s="132">
        <v>0</v>
      </c>
      <c r="AC388" s="132"/>
      <c r="AD388" s="132"/>
      <c r="AE388" s="290"/>
      <c r="AF388" s="141">
        <f>+O388+P388+Q388+R388+S388+T388+U388+V388+W389+X389+Y389+Z388+AA388+AB388+AC388+AD388</f>
        <v>5</v>
      </c>
      <c r="AG388" s="125"/>
      <c r="AH388" s="102">
        <v>1</v>
      </c>
      <c r="AI388" s="598">
        <f t="shared" ref="AI388:AI423" si="7">+AH388</f>
        <v>1</v>
      </c>
      <c r="AJ388" s="125"/>
      <c r="AK388" s="203">
        <v>50000000</v>
      </c>
      <c r="AL388" s="203"/>
      <c r="AM388" s="203"/>
      <c r="AN388" s="203"/>
      <c r="AO388" s="203"/>
      <c r="AP388" s="203"/>
      <c r="AQ388" s="203"/>
      <c r="AR388" s="203"/>
      <c r="AS388" s="203"/>
      <c r="AT388" s="203">
        <v>46316000</v>
      </c>
      <c r="AU388" s="212">
        <f>+AT388/AK388</f>
        <v>0.92632000000000003</v>
      </c>
      <c r="AV388" s="144"/>
    </row>
    <row r="389" spans="1:48" ht="30" x14ac:dyDescent="0.25">
      <c r="A389" s="632"/>
      <c r="B389" s="663"/>
      <c r="C389" s="638"/>
      <c r="D389" s="639"/>
      <c r="E389" s="622"/>
      <c r="F389" s="622"/>
      <c r="G389" s="622"/>
      <c r="H389" s="622"/>
      <c r="I389" s="622"/>
      <c r="J389" s="625"/>
      <c r="K389" s="250" t="s">
        <v>838</v>
      </c>
      <c r="L389" s="132" t="s">
        <v>839</v>
      </c>
      <c r="M389" s="220">
        <v>4</v>
      </c>
      <c r="N389" s="220">
        <v>1</v>
      </c>
      <c r="O389" s="220"/>
      <c r="P389" s="125"/>
      <c r="Q389" s="132">
        <v>1</v>
      </c>
      <c r="R389" s="132">
        <v>0</v>
      </c>
      <c r="S389" s="224">
        <v>0</v>
      </c>
      <c r="T389" s="132">
        <v>0</v>
      </c>
      <c r="U389" s="274">
        <v>2</v>
      </c>
      <c r="V389" s="289">
        <v>0</v>
      </c>
      <c r="W389" s="307">
        <v>1</v>
      </c>
      <c r="X389" s="307">
        <v>2</v>
      </c>
      <c r="Y389" s="307">
        <v>0</v>
      </c>
      <c r="Z389" s="132">
        <v>0</v>
      </c>
      <c r="AA389" s="132">
        <v>1</v>
      </c>
      <c r="AB389" s="132">
        <v>0</v>
      </c>
      <c r="AC389" s="132"/>
      <c r="AD389" s="132"/>
      <c r="AE389" s="290"/>
      <c r="AF389" s="141">
        <v>4</v>
      </c>
      <c r="AG389" s="125"/>
      <c r="AH389" s="102">
        <f>+AF389/M389</f>
        <v>1</v>
      </c>
      <c r="AI389" s="598">
        <f t="shared" si="7"/>
        <v>1</v>
      </c>
      <c r="AJ389" s="125"/>
      <c r="AK389" s="143"/>
      <c r="AL389" s="143"/>
      <c r="AM389" s="143"/>
      <c r="AN389" s="143"/>
      <c r="AO389" s="143"/>
      <c r="AP389" s="143"/>
      <c r="AQ389" s="143"/>
      <c r="AR389" s="143"/>
      <c r="AS389" s="143"/>
      <c r="AT389" s="143"/>
      <c r="AU389" s="143"/>
      <c r="AV389" s="144"/>
    </row>
    <row r="390" spans="1:48" ht="75" x14ac:dyDescent="0.25">
      <c r="A390" s="632"/>
      <c r="B390" s="663"/>
      <c r="C390" s="638"/>
      <c r="D390" s="639"/>
      <c r="E390" s="622"/>
      <c r="F390" s="622"/>
      <c r="G390" s="622"/>
      <c r="H390" s="622"/>
      <c r="I390" s="622"/>
      <c r="J390" s="625"/>
      <c r="K390" s="250" t="s">
        <v>840</v>
      </c>
      <c r="L390" s="132" t="s">
        <v>841</v>
      </c>
      <c r="M390" s="220">
        <v>500</v>
      </c>
      <c r="N390" s="220">
        <v>150</v>
      </c>
      <c r="O390" s="220"/>
      <c r="P390" s="125"/>
      <c r="Q390" s="132">
        <v>60</v>
      </c>
      <c r="R390" s="132">
        <v>0</v>
      </c>
      <c r="S390" s="224">
        <v>40</v>
      </c>
      <c r="T390" s="132">
        <v>0</v>
      </c>
      <c r="U390" s="274">
        <v>0</v>
      </c>
      <c r="V390" s="289">
        <v>0</v>
      </c>
      <c r="W390" s="307">
        <v>0</v>
      </c>
      <c r="X390" s="307">
        <v>112</v>
      </c>
      <c r="Y390" s="307">
        <v>0</v>
      </c>
      <c r="Z390" s="132">
        <v>30</v>
      </c>
      <c r="AA390" s="132">
        <v>35</v>
      </c>
      <c r="AB390" s="132">
        <v>41</v>
      </c>
      <c r="AC390" s="132"/>
      <c r="AD390" s="132"/>
      <c r="AE390" s="290"/>
      <c r="AF390" s="141">
        <f>+Q390+S390+X390+AA390+AB390+Z390</f>
        <v>318</v>
      </c>
      <c r="AG390" s="125"/>
      <c r="AH390" s="102">
        <f>+AF390/M390</f>
        <v>0.63600000000000001</v>
      </c>
      <c r="AI390" s="598">
        <f t="shared" si="7"/>
        <v>0.63600000000000001</v>
      </c>
      <c r="AJ390" s="125"/>
      <c r="AK390" s="143"/>
      <c r="AL390" s="143"/>
      <c r="AM390" s="143"/>
      <c r="AN390" s="143"/>
      <c r="AO390" s="143"/>
      <c r="AP390" s="143"/>
      <c r="AQ390" s="143"/>
      <c r="AR390" s="143"/>
      <c r="AS390" s="143"/>
      <c r="AT390" s="143"/>
      <c r="AU390" s="143"/>
      <c r="AV390" s="144"/>
    </row>
    <row r="391" spans="1:48" ht="42.75" customHeight="1" x14ac:dyDescent="0.25">
      <c r="A391" s="632"/>
      <c r="B391" s="663"/>
      <c r="C391" s="638"/>
      <c r="D391" s="639"/>
      <c r="E391" s="622"/>
      <c r="F391" s="622"/>
      <c r="G391" s="622"/>
      <c r="H391" s="622"/>
      <c r="I391" s="622"/>
      <c r="J391" s="132"/>
      <c r="K391" s="132"/>
      <c r="L391" s="132"/>
      <c r="M391" s="220"/>
      <c r="N391" s="220"/>
      <c r="O391" s="220"/>
      <c r="P391" s="125"/>
      <c r="Q391" s="132"/>
      <c r="R391" s="132"/>
      <c r="S391" s="133"/>
      <c r="T391" s="132"/>
      <c r="U391" s="274"/>
      <c r="V391" s="290"/>
      <c r="W391" s="132"/>
      <c r="X391" s="132"/>
      <c r="Y391" s="132"/>
      <c r="Z391" s="132"/>
      <c r="AA391" s="132"/>
      <c r="AB391" s="132"/>
      <c r="AC391" s="132"/>
      <c r="AD391" s="132"/>
      <c r="AE391" s="290"/>
      <c r="AF391" s="141"/>
      <c r="AG391" s="125"/>
      <c r="AH391" s="150">
        <f>AVERAGE(AH388:AH390)</f>
        <v>0.87866666666666671</v>
      </c>
      <c r="AI391" s="598">
        <f t="shared" si="7"/>
        <v>0.87866666666666671</v>
      </c>
      <c r="AJ391" s="125"/>
      <c r="AK391" s="143"/>
      <c r="AL391" s="143"/>
      <c r="AM391" s="143"/>
      <c r="AN391" s="143"/>
      <c r="AO391" s="143"/>
      <c r="AP391" s="143"/>
      <c r="AQ391" s="143"/>
      <c r="AR391" s="143"/>
      <c r="AS391" s="143"/>
      <c r="AT391" s="143"/>
      <c r="AU391" s="143"/>
      <c r="AV391" s="144"/>
    </row>
    <row r="392" spans="1:48" ht="42.75" customHeight="1" x14ac:dyDescent="0.25">
      <c r="A392" s="632"/>
      <c r="B392" s="663"/>
      <c r="C392" s="638"/>
      <c r="D392" s="639"/>
      <c r="E392" s="622"/>
      <c r="F392" s="622"/>
      <c r="G392" s="622"/>
      <c r="H392" s="622"/>
      <c r="I392" s="622"/>
      <c r="J392" s="132"/>
      <c r="K392" s="132"/>
      <c r="L392" s="132"/>
      <c r="M392" s="220"/>
      <c r="N392" s="220"/>
      <c r="O392" s="220"/>
      <c r="P392" s="125"/>
      <c r="Q392" s="132"/>
      <c r="R392" s="132"/>
      <c r="S392" s="133"/>
      <c r="T392" s="132"/>
      <c r="U392" s="274"/>
      <c r="V392" s="290"/>
      <c r="W392" s="132"/>
      <c r="X392" s="132"/>
      <c r="Y392" s="132"/>
      <c r="Z392" s="132"/>
      <c r="AA392" s="132"/>
      <c r="AB392" s="132"/>
      <c r="AC392" s="132"/>
      <c r="AD392" s="132"/>
      <c r="AE392" s="290"/>
      <c r="AF392" s="141"/>
      <c r="AG392" s="125"/>
      <c r="AH392" s="160">
        <f>+AH391</f>
        <v>0.87866666666666671</v>
      </c>
      <c r="AI392" s="598">
        <f t="shared" si="7"/>
        <v>0.87866666666666671</v>
      </c>
      <c r="AJ392" s="125"/>
      <c r="AK392" s="143"/>
      <c r="AL392" s="143"/>
      <c r="AM392" s="143"/>
      <c r="AN392" s="143"/>
      <c r="AO392" s="143"/>
      <c r="AP392" s="143"/>
      <c r="AQ392" s="143"/>
      <c r="AR392" s="143"/>
      <c r="AS392" s="143"/>
      <c r="AT392" s="143"/>
      <c r="AU392" s="143"/>
      <c r="AV392" s="144"/>
    </row>
    <row r="393" spans="1:48" ht="105" customHeight="1" x14ac:dyDescent="0.25">
      <c r="A393" s="632"/>
      <c r="B393" s="663"/>
      <c r="C393" s="638"/>
      <c r="D393" s="639"/>
      <c r="E393" s="622" t="s">
        <v>842</v>
      </c>
      <c r="F393" s="622" t="s">
        <v>844</v>
      </c>
      <c r="G393" s="622" t="s">
        <v>843</v>
      </c>
      <c r="H393" s="623">
        <v>0.30359999999999998</v>
      </c>
      <c r="I393" s="623">
        <v>0.30359999999999998</v>
      </c>
      <c r="J393" s="625" t="s">
        <v>845</v>
      </c>
      <c r="K393" s="250" t="s">
        <v>846</v>
      </c>
      <c r="L393" s="132" t="s">
        <v>847</v>
      </c>
      <c r="M393" s="220">
        <v>4</v>
      </c>
      <c r="N393" s="220">
        <v>0</v>
      </c>
      <c r="O393" s="220"/>
      <c r="P393" s="125"/>
      <c r="Q393" s="132">
        <v>1</v>
      </c>
      <c r="R393" s="132">
        <v>1</v>
      </c>
      <c r="S393" s="133">
        <v>0</v>
      </c>
      <c r="T393" s="132">
        <v>0</v>
      </c>
      <c r="U393" s="274">
        <v>1</v>
      </c>
      <c r="V393" s="289">
        <v>0</v>
      </c>
      <c r="W393" s="307">
        <v>1</v>
      </c>
      <c r="X393" s="307">
        <v>2</v>
      </c>
      <c r="Y393" s="307">
        <v>0</v>
      </c>
      <c r="Z393" s="132"/>
      <c r="AA393" s="132">
        <v>0</v>
      </c>
      <c r="AB393" s="132">
        <v>0</v>
      </c>
      <c r="AC393" s="132"/>
      <c r="AD393" s="132"/>
      <c r="AE393" s="290"/>
      <c r="AF393" s="141">
        <f>+O393+P393+Q393+R393+S393+T393+U393+V393+W393+X393+Y393+Z393+AA393+AB393+AC393+AD393</f>
        <v>6</v>
      </c>
      <c r="AG393" s="125"/>
      <c r="AH393" s="102">
        <v>1</v>
      </c>
      <c r="AI393" s="598">
        <f t="shared" si="7"/>
        <v>1</v>
      </c>
      <c r="AJ393" s="125"/>
      <c r="AK393" s="203">
        <v>492746090</v>
      </c>
      <c r="AL393" s="203"/>
      <c r="AM393" s="203"/>
      <c r="AN393" s="203"/>
      <c r="AO393" s="203"/>
      <c r="AP393" s="203"/>
      <c r="AQ393" s="203"/>
      <c r="AR393" s="203"/>
      <c r="AS393" s="203"/>
      <c r="AT393" s="203">
        <v>462585000</v>
      </c>
      <c r="AU393" s="212">
        <f>+AT393/AK393</f>
        <v>0.93878979333960821</v>
      </c>
      <c r="AV393" s="144"/>
    </row>
    <row r="394" spans="1:48" ht="45" customHeight="1" x14ac:dyDescent="0.25">
      <c r="A394" s="632"/>
      <c r="B394" s="663"/>
      <c r="C394" s="638"/>
      <c r="D394" s="639"/>
      <c r="E394" s="622"/>
      <c r="F394" s="622"/>
      <c r="G394" s="622"/>
      <c r="H394" s="623"/>
      <c r="I394" s="623"/>
      <c r="J394" s="625"/>
      <c r="K394" s="250"/>
      <c r="L394" s="132"/>
      <c r="M394" s="220"/>
      <c r="N394" s="220"/>
      <c r="O394" s="220"/>
      <c r="P394" s="125"/>
      <c r="Q394" s="132"/>
      <c r="R394" s="132"/>
      <c r="S394" s="133"/>
      <c r="T394" s="132"/>
      <c r="U394" s="274"/>
      <c r="V394" s="290"/>
      <c r="W394" s="132"/>
      <c r="X394" s="132"/>
      <c r="Y394" s="132"/>
      <c r="Z394" s="132"/>
      <c r="AA394" s="132"/>
      <c r="AB394" s="132"/>
      <c r="AC394" s="132"/>
      <c r="AD394" s="132"/>
      <c r="AE394" s="290"/>
      <c r="AF394" s="141"/>
      <c r="AG394" s="125"/>
      <c r="AH394" s="150">
        <f>+AH393</f>
        <v>1</v>
      </c>
      <c r="AI394" s="598">
        <f t="shared" si="7"/>
        <v>1</v>
      </c>
      <c r="AJ394" s="125"/>
      <c r="AK394" s="143"/>
      <c r="AL394" s="143"/>
      <c r="AM394" s="143"/>
      <c r="AN394" s="143"/>
      <c r="AO394" s="143"/>
      <c r="AP394" s="143"/>
      <c r="AQ394" s="143"/>
      <c r="AR394" s="143"/>
      <c r="AS394" s="143"/>
      <c r="AT394" s="143"/>
      <c r="AU394" s="143"/>
      <c r="AV394" s="144"/>
    </row>
    <row r="395" spans="1:48" ht="75" x14ac:dyDescent="0.25">
      <c r="A395" s="632"/>
      <c r="B395" s="663"/>
      <c r="C395" s="638"/>
      <c r="D395" s="639"/>
      <c r="E395" s="622"/>
      <c r="F395" s="622"/>
      <c r="G395" s="622"/>
      <c r="H395" s="623"/>
      <c r="I395" s="623"/>
      <c r="J395" s="625" t="s">
        <v>852</v>
      </c>
      <c r="K395" s="250" t="s">
        <v>848</v>
      </c>
      <c r="L395" s="132" t="s">
        <v>849</v>
      </c>
      <c r="M395" s="220">
        <v>1</v>
      </c>
      <c r="N395" s="220">
        <v>0</v>
      </c>
      <c r="O395" s="220"/>
      <c r="P395" s="125"/>
      <c r="Q395" s="132">
        <v>0</v>
      </c>
      <c r="R395" s="132">
        <v>0</v>
      </c>
      <c r="S395" s="221">
        <v>1</v>
      </c>
      <c r="T395" s="132">
        <v>0</v>
      </c>
      <c r="U395" s="274">
        <v>0</v>
      </c>
      <c r="V395" s="289">
        <v>0</v>
      </c>
      <c r="W395" s="132">
        <v>0</v>
      </c>
      <c r="X395" s="132">
        <v>0</v>
      </c>
      <c r="Y395" s="132">
        <v>0</v>
      </c>
      <c r="Z395" s="132">
        <v>0</v>
      </c>
      <c r="AA395" s="132">
        <v>0</v>
      </c>
      <c r="AB395" s="132">
        <v>0</v>
      </c>
      <c r="AC395" s="132"/>
      <c r="AD395" s="132"/>
      <c r="AE395" s="290"/>
      <c r="AF395" s="141">
        <f>+O395+P395+Q395+R395+S395+T395+U395+V395+W395+X395+Y395+Z395+AA395+AB395+AC395+AD395</f>
        <v>1</v>
      </c>
      <c r="AG395" s="125"/>
      <c r="AH395" s="102">
        <f>+(AF395/M395)</f>
        <v>1</v>
      </c>
      <c r="AI395" s="598">
        <f t="shared" si="7"/>
        <v>1</v>
      </c>
      <c r="AJ395" s="125"/>
      <c r="AK395" s="143"/>
      <c r="AL395" s="143"/>
      <c r="AM395" s="143"/>
      <c r="AN395" s="143"/>
      <c r="AO395" s="143"/>
      <c r="AP395" s="143"/>
      <c r="AQ395" s="143"/>
      <c r="AR395" s="143"/>
      <c r="AS395" s="143"/>
      <c r="AT395" s="143"/>
      <c r="AU395" s="143"/>
      <c r="AV395" s="144"/>
    </row>
    <row r="396" spans="1:48" ht="75" x14ac:dyDescent="0.25">
      <c r="A396" s="632"/>
      <c r="B396" s="663"/>
      <c r="C396" s="638"/>
      <c r="D396" s="639"/>
      <c r="E396" s="622"/>
      <c r="F396" s="622"/>
      <c r="G396" s="622"/>
      <c r="H396" s="623"/>
      <c r="I396" s="623"/>
      <c r="J396" s="625"/>
      <c r="K396" s="250" t="s">
        <v>850</v>
      </c>
      <c r="L396" s="132" t="s">
        <v>851</v>
      </c>
      <c r="M396" s="220">
        <v>4320</v>
      </c>
      <c r="N396" s="220">
        <v>1217</v>
      </c>
      <c r="O396" s="220"/>
      <c r="P396" s="125"/>
      <c r="Q396" s="132">
        <v>100</v>
      </c>
      <c r="R396" s="132">
        <v>0</v>
      </c>
      <c r="S396" s="221">
        <v>345</v>
      </c>
      <c r="T396" s="132">
        <v>108</v>
      </c>
      <c r="U396" s="274">
        <v>155</v>
      </c>
      <c r="V396" s="289">
        <v>329</v>
      </c>
      <c r="W396" s="307">
        <v>230</v>
      </c>
      <c r="X396" s="307">
        <v>300</v>
      </c>
      <c r="Y396" s="307">
        <v>453</v>
      </c>
      <c r="Z396" s="132">
        <v>25</v>
      </c>
      <c r="AA396" s="132">
        <v>7</v>
      </c>
      <c r="AB396" s="132">
        <v>92</v>
      </c>
      <c r="AC396" s="132"/>
      <c r="AD396" s="132"/>
      <c r="AE396" s="290"/>
      <c r="AF396" s="141">
        <f>+O396+P396+Q396+R396+S396+T396+U396+V396+W396+X396+Y396+Z396+AA396+AB396+AC396+AD396+200</f>
        <v>2344</v>
      </c>
      <c r="AG396" s="125"/>
      <c r="AH396" s="102">
        <f>+AF396/4320</f>
        <v>0.54259259259259263</v>
      </c>
      <c r="AI396" s="598">
        <f t="shared" si="7"/>
        <v>0.54259259259259263</v>
      </c>
      <c r="AJ396" s="125"/>
      <c r="AK396" s="143"/>
      <c r="AL396" s="143"/>
      <c r="AM396" s="143"/>
      <c r="AN396" s="143"/>
      <c r="AO396" s="143"/>
      <c r="AP396" s="143"/>
      <c r="AQ396" s="143"/>
      <c r="AR396" s="143"/>
      <c r="AS396" s="143"/>
      <c r="AT396" s="143"/>
      <c r="AU396" s="143"/>
      <c r="AV396" s="144"/>
    </row>
    <row r="397" spans="1:48" ht="62.25" customHeight="1" x14ac:dyDescent="0.25">
      <c r="A397" s="632"/>
      <c r="B397" s="663"/>
      <c r="C397" s="638"/>
      <c r="D397" s="639"/>
      <c r="E397" s="622"/>
      <c r="F397" s="622"/>
      <c r="G397" s="622"/>
      <c r="H397" s="623"/>
      <c r="I397" s="623"/>
      <c r="J397" s="625"/>
      <c r="K397" s="250"/>
      <c r="L397" s="132"/>
      <c r="M397" s="220"/>
      <c r="N397" s="220"/>
      <c r="O397" s="220"/>
      <c r="P397" s="125"/>
      <c r="Q397" s="132"/>
      <c r="R397" s="132"/>
      <c r="S397" s="133"/>
      <c r="T397" s="132"/>
      <c r="U397" s="274"/>
      <c r="V397" s="290"/>
      <c r="W397" s="132"/>
      <c r="X397" s="132"/>
      <c r="Y397" s="132"/>
      <c r="Z397" s="132"/>
      <c r="AA397" s="132"/>
      <c r="AB397" s="132"/>
      <c r="AC397" s="132"/>
      <c r="AD397" s="132"/>
      <c r="AE397" s="290"/>
      <c r="AF397" s="141"/>
      <c r="AG397" s="125"/>
      <c r="AH397" s="150">
        <f>AVERAGE(AH395:AH396)</f>
        <v>0.77129629629629637</v>
      </c>
      <c r="AI397" s="598">
        <f t="shared" si="7"/>
        <v>0.77129629629629637</v>
      </c>
      <c r="AJ397" s="125"/>
      <c r="AK397" s="143"/>
      <c r="AL397" s="143"/>
      <c r="AM397" s="143"/>
      <c r="AN397" s="143"/>
      <c r="AO397" s="143"/>
      <c r="AP397" s="143"/>
      <c r="AQ397" s="143"/>
      <c r="AR397" s="143"/>
      <c r="AS397" s="143"/>
      <c r="AT397" s="143"/>
      <c r="AU397" s="143"/>
      <c r="AV397" s="144"/>
    </row>
    <row r="398" spans="1:48" ht="150" x14ac:dyDescent="0.25">
      <c r="A398" s="632"/>
      <c r="B398" s="663"/>
      <c r="C398" s="638"/>
      <c r="D398" s="639"/>
      <c r="E398" s="622"/>
      <c r="F398" s="622"/>
      <c r="G398" s="622"/>
      <c r="H398" s="623"/>
      <c r="I398" s="623"/>
      <c r="J398" s="625" t="s">
        <v>853</v>
      </c>
      <c r="K398" s="250" t="s">
        <v>854</v>
      </c>
      <c r="L398" s="132" t="s">
        <v>855</v>
      </c>
      <c r="M398" s="220">
        <v>16</v>
      </c>
      <c r="N398" s="220">
        <v>0</v>
      </c>
      <c r="O398" s="220"/>
      <c r="P398" s="125"/>
      <c r="Q398" s="132">
        <v>0</v>
      </c>
      <c r="R398" s="132">
        <v>2</v>
      </c>
      <c r="S398" s="133">
        <v>2</v>
      </c>
      <c r="T398" s="132">
        <v>1</v>
      </c>
      <c r="U398" s="274">
        <v>1</v>
      </c>
      <c r="V398" s="290">
        <v>1</v>
      </c>
      <c r="W398" s="307">
        <v>0</v>
      </c>
      <c r="X398" s="307">
        <v>0</v>
      </c>
      <c r="Y398" s="307">
        <v>2</v>
      </c>
      <c r="Z398" s="132">
        <v>5</v>
      </c>
      <c r="AA398" s="132">
        <v>2</v>
      </c>
      <c r="AB398" s="132">
        <v>1</v>
      </c>
      <c r="AC398" s="132"/>
      <c r="AD398" s="132"/>
      <c r="AE398" s="290"/>
      <c r="AF398" s="141">
        <f>+O398+P398+Q398+R398+S398+T398+U398+V398+W398+X398+Y398+Z398+AA398+AB398+AC398+AD398</f>
        <v>17</v>
      </c>
      <c r="AG398" s="125"/>
      <c r="AH398" s="102">
        <v>1</v>
      </c>
      <c r="AI398" s="598">
        <f t="shared" si="7"/>
        <v>1</v>
      </c>
      <c r="AJ398" s="125"/>
      <c r="AK398" s="143"/>
      <c r="AL398" s="143"/>
      <c r="AM398" s="143"/>
      <c r="AN398" s="143"/>
      <c r="AO398" s="143"/>
      <c r="AP398" s="143"/>
      <c r="AQ398" s="143"/>
      <c r="AR398" s="143"/>
      <c r="AS398" s="143"/>
      <c r="AT398" s="143"/>
      <c r="AU398" s="143"/>
      <c r="AV398" s="144"/>
    </row>
    <row r="399" spans="1:48" ht="52.5" customHeight="1" x14ac:dyDescent="0.25">
      <c r="A399" s="632"/>
      <c r="B399" s="663"/>
      <c r="C399" s="638"/>
      <c r="D399" s="639"/>
      <c r="E399" s="622"/>
      <c r="F399" s="622"/>
      <c r="G399" s="622"/>
      <c r="H399" s="623"/>
      <c r="I399" s="623"/>
      <c r="J399" s="625"/>
      <c r="K399" s="250"/>
      <c r="L399" s="132"/>
      <c r="M399" s="220"/>
      <c r="N399" s="220"/>
      <c r="O399" s="220"/>
      <c r="P399" s="125"/>
      <c r="Q399" s="132"/>
      <c r="R399" s="132"/>
      <c r="S399" s="133"/>
      <c r="T399" s="132"/>
      <c r="U399" s="274"/>
      <c r="V399" s="290"/>
      <c r="W399" s="132"/>
      <c r="X399" s="132"/>
      <c r="Y399" s="132"/>
      <c r="Z399" s="132"/>
      <c r="AA399" s="132"/>
      <c r="AB399" s="132"/>
      <c r="AC399" s="132"/>
      <c r="AD399" s="132"/>
      <c r="AE399" s="290"/>
      <c r="AF399" s="141"/>
      <c r="AG399" s="125"/>
      <c r="AH399" s="150">
        <f>+AH398</f>
        <v>1</v>
      </c>
      <c r="AI399" s="598">
        <f t="shared" si="7"/>
        <v>1</v>
      </c>
      <c r="AJ399" s="125"/>
      <c r="AK399" s="143"/>
      <c r="AL399" s="143"/>
      <c r="AM399" s="143"/>
      <c r="AN399" s="143"/>
      <c r="AO399" s="143"/>
      <c r="AP399" s="143"/>
      <c r="AQ399" s="143"/>
      <c r="AR399" s="143"/>
      <c r="AS399" s="143"/>
      <c r="AT399" s="143"/>
      <c r="AU399" s="143"/>
      <c r="AV399" s="144"/>
    </row>
    <row r="400" spans="1:48" ht="150" x14ac:dyDescent="0.25">
      <c r="A400" s="632"/>
      <c r="B400" s="663"/>
      <c r="C400" s="638"/>
      <c r="D400" s="639"/>
      <c r="E400" s="622"/>
      <c r="F400" s="622"/>
      <c r="G400" s="622"/>
      <c r="H400" s="623"/>
      <c r="I400" s="623"/>
      <c r="J400" s="625" t="s">
        <v>858</v>
      </c>
      <c r="K400" s="249" t="s">
        <v>856</v>
      </c>
      <c r="L400" s="125" t="s">
        <v>857</v>
      </c>
      <c r="M400" s="220">
        <v>4</v>
      </c>
      <c r="N400" s="220">
        <v>2</v>
      </c>
      <c r="O400" s="220"/>
      <c r="P400" s="125"/>
      <c r="Q400" s="132">
        <v>1</v>
      </c>
      <c r="R400" s="132">
        <v>0</v>
      </c>
      <c r="S400" s="133">
        <v>0</v>
      </c>
      <c r="T400" s="132">
        <v>0</v>
      </c>
      <c r="U400" s="274">
        <v>0</v>
      </c>
      <c r="V400" s="289">
        <v>1</v>
      </c>
      <c r="W400" s="307">
        <v>2</v>
      </c>
      <c r="X400" s="307">
        <v>2</v>
      </c>
      <c r="Y400" s="307">
        <f>+X400</f>
        <v>2</v>
      </c>
      <c r="Z400" s="132">
        <v>3</v>
      </c>
      <c r="AA400" s="132">
        <v>0</v>
      </c>
      <c r="AB400" s="132">
        <v>0</v>
      </c>
      <c r="AC400" s="132"/>
      <c r="AD400" s="132"/>
      <c r="AE400" s="290"/>
      <c r="AF400" s="141">
        <f>+O400+P400+Q400+R400+S400+T400+U400+V400+W400+X400+Y400+Z400+AA400+AB400+AC400+AD400</f>
        <v>11</v>
      </c>
      <c r="AG400" s="125"/>
      <c r="AH400" s="102">
        <v>1</v>
      </c>
      <c r="AI400" s="598">
        <f t="shared" si="7"/>
        <v>1</v>
      </c>
      <c r="AJ400" s="125"/>
      <c r="AK400" s="143"/>
      <c r="AL400" s="143"/>
      <c r="AM400" s="143"/>
      <c r="AN400" s="143"/>
      <c r="AO400" s="143"/>
      <c r="AP400" s="143"/>
      <c r="AQ400" s="143"/>
      <c r="AR400" s="143"/>
      <c r="AS400" s="143"/>
      <c r="AT400" s="143"/>
      <c r="AU400" s="143"/>
      <c r="AV400" s="144"/>
    </row>
    <row r="401" spans="1:48" ht="37.5" customHeight="1" x14ac:dyDescent="0.25">
      <c r="A401" s="632"/>
      <c r="B401" s="663"/>
      <c r="C401" s="638"/>
      <c r="D401" s="639"/>
      <c r="E401" s="622"/>
      <c r="F401" s="622"/>
      <c r="G401" s="622"/>
      <c r="H401" s="623"/>
      <c r="I401" s="623"/>
      <c r="J401" s="625"/>
      <c r="K401" s="249"/>
      <c r="L401" s="125"/>
      <c r="M401" s="220"/>
      <c r="N401" s="220"/>
      <c r="O401" s="220"/>
      <c r="P401" s="125"/>
      <c r="Q401" s="132"/>
      <c r="R401" s="132"/>
      <c r="S401" s="133"/>
      <c r="T401" s="132"/>
      <c r="U401" s="274"/>
      <c r="V401" s="290"/>
      <c r="W401" s="132"/>
      <c r="X401" s="132"/>
      <c r="Y401" s="132"/>
      <c r="Z401" s="132"/>
      <c r="AA401" s="132"/>
      <c r="AB401" s="132"/>
      <c r="AC401" s="132"/>
      <c r="AD401" s="132"/>
      <c r="AE401" s="290"/>
      <c r="AF401" s="141"/>
      <c r="AG401" s="125"/>
      <c r="AH401" s="150">
        <f>+AH400</f>
        <v>1</v>
      </c>
      <c r="AI401" s="598">
        <f t="shared" si="7"/>
        <v>1</v>
      </c>
      <c r="AJ401" s="125"/>
      <c r="AK401" s="143"/>
      <c r="AL401" s="143"/>
      <c r="AM401" s="143"/>
      <c r="AN401" s="143"/>
      <c r="AO401" s="143"/>
      <c r="AP401" s="143"/>
      <c r="AQ401" s="143"/>
      <c r="AR401" s="143"/>
      <c r="AS401" s="143"/>
      <c r="AT401" s="143"/>
      <c r="AU401" s="143"/>
      <c r="AV401" s="144"/>
    </row>
    <row r="402" spans="1:48" ht="39.75" customHeight="1" x14ac:dyDescent="0.25">
      <c r="A402" s="632"/>
      <c r="B402" s="663"/>
      <c r="C402" s="638"/>
      <c r="D402" s="639"/>
      <c r="E402" s="622"/>
      <c r="F402" s="622"/>
      <c r="G402" s="622"/>
      <c r="H402" s="623"/>
      <c r="I402" s="623"/>
      <c r="J402" s="109"/>
      <c r="K402" s="125"/>
      <c r="L402" s="125"/>
      <c r="M402" s="220"/>
      <c r="N402" s="220"/>
      <c r="O402" s="220"/>
      <c r="P402" s="125"/>
      <c r="Q402" s="132"/>
      <c r="R402" s="132"/>
      <c r="S402" s="133"/>
      <c r="T402" s="132"/>
      <c r="U402" s="274"/>
      <c r="V402" s="290"/>
      <c r="W402" s="132"/>
      <c r="X402" s="132"/>
      <c r="Y402" s="132"/>
      <c r="Z402" s="132"/>
      <c r="AA402" s="132"/>
      <c r="AB402" s="132"/>
      <c r="AC402" s="132"/>
      <c r="AD402" s="132"/>
      <c r="AE402" s="290"/>
      <c r="AF402" s="141"/>
      <c r="AG402" s="125"/>
      <c r="AH402" s="160">
        <f>+(AH394+AH397+AH399+AH401)/4</f>
        <v>0.94282407407407409</v>
      </c>
      <c r="AI402" s="598">
        <f t="shared" si="7"/>
        <v>0.94282407407407409</v>
      </c>
      <c r="AJ402" s="125"/>
      <c r="AK402" s="143"/>
      <c r="AL402" s="143"/>
      <c r="AM402" s="143"/>
      <c r="AN402" s="143"/>
      <c r="AO402" s="143"/>
      <c r="AP402" s="143"/>
      <c r="AQ402" s="143"/>
      <c r="AR402" s="143"/>
      <c r="AS402" s="143"/>
      <c r="AT402" s="143"/>
      <c r="AU402" s="143"/>
      <c r="AV402" s="144"/>
    </row>
    <row r="403" spans="1:48" ht="45" x14ac:dyDescent="0.25">
      <c r="A403" s="632"/>
      <c r="B403" s="663"/>
      <c r="C403" s="638"/>
      <c r="D403" s="639"/>
      <c r="E403" s="622" t="s">
        <v>859</v>
      </c>
      <c r="F403" s="622" t="s">
        <v>861</v>
      </c>
      <c r="G403" s="622" t="s">
        <v>860</v>
      </c>
      <c r="H403" s="623">
        <v>0.8</v>
      </c>
      <c r="I403" s="623">
        <v>0.35</v>
      </c>
      <c r="J403" s="624" t="s">
        <v>863</v>
      </c>
      <c r="K403" s="249" t="s">
        <v>2169</v>
      </c>
      <c r="L403" s="125" t="s">
        <v>862</v>
      </c>
      <c r="M403" s="220">
        <v>448</v>
      </c>
      <c r="N403" s="220">
        <v>200</v>
      </c>
      <c r="O403" s="220"/>
      <c r="P403" s="125"/>
      <c r="Q403" s="132">
        <v>120</v>
      </c>
      <c r="R403" s="132">
        <v>0</v>
      </c>
      <c r="S403" s="284">
        <v>120</v>
      </c>
      <c r="T403" s="284">
        <v>323</v>
      </c>
      <c r="U403" s="284">
        <f>322+190</f>
        <v>512</v>
      </c>
      <c r="V403" s="289">
        <v>200</v>
      </c>
      <c r="W403" s="307">
        <v>104</v>
      </c>
      <c r="X403" s="307">
        <v>104</v>
      </c>
      <c r="Y403" s="307">
        <v>64</v>
      </c>
      <c r="Z403" s="132">
        <v>82</v>
      </c>
      <c r="AA403" s="132">
        <v>32</v>
      </c>
      <c r="AB403" s="132">
        <v>91</v>
      </c>
      <c r="AC403" s="132"/>
      <c r="AD403" s="132"/>
      <c r="AE403" s="290"/>
      <c r="AF403" s="141">
        <f>+O403+P403+Q403+R403+S403+T403+U403+V403+W403+X403+Y403+Z403+AA403+AB403+AC403+AD403</f>
        <v>1752</v>
      </c>
      <c r="AG403" s="125"/>
      <c r="AH403" s="102">
        <v>1</v>
      </c>
      <c r="AI403" s="598">
        <f t="shared" si="7"/>
        <v>1</v>
      </c>
      <c r="AJ403" s="125"/>
      <c r="AK403" s="203">
        <v>380000000</v>
      </c>
      <c r="AL403" s="203"/>
      <c r="AM403" s="203"/>
      <c r="AN403" s="203"/>
      <c r="AO403" s="203"/>
      <c r="AP403" s="203"/>
      <c r="AQ403" s="203"/>
      <c r="AR403" s="203"/>
      <c r="AS403" s="203"/>
      <c r="AT403" s="203">
        <v>379300000</v>
      </c>
      <c r="AU403" s="212">
        <f>+AT403/AK403</f>
        <v>0.99815789473684213</v>
      </c>
      <c r="AV403" s="144"/>
    </row>
    <row r="404" spans="1:48" ht="39.75" customHeight="1" x14ac:dyDescent="0.25">
      <c r="A404" s="632"/>
      <c r="B404" s="663"/>
      <c r="C404" s="638"/>
      <c r="D404" s="639"/>
      <c r="E404" s="622"/>
      <c r="F404" s="622"/>
      <c r="G404" s="622"/>
      <c r="H404" s="623"/>
      <c r="I404" s="623"/>
      <c r="J404" s="624"/>
      <c r="K404" s="249"/>
      <c r="L404" s="125"/>
      <c r="M404" s="220"/>
      <c r="N404" s="220"/>
      <c r="O404" s="220"/>
      <c r="P404" s="125"/>
      <c r="Q404" s="132"/>
      <c r="R404" s="132"/>
      <c r="S404" s="133"/>
      <c r="T404" s="132"/>
      <c r="U404" s="274"/>
      <c r="V404" s="290"/>
      <c r="W404" s="132"/>
      <c r="X404" s="132"/>
      <c r="Y404" s="132"/>
      <c r="Z404" s="132"/>
      <c r="AA404" s="132"/>
      <c r="AB404" s="132"/>
      <c r="AC404" s="132"/>
      <c r="AD404" s="132"/>
      <c r="AE404" s="290"/>
      <c r="AF404" s="141"/>
      <c r="AG404" s="125"/>
      <c r="AH404" s="150">
        <f>+AH403</f>
        <v>1</v>
      </c>
      <c r="AI404" s="598">
        <f t="shared" si="7"/>
        <v>1</v>
      </c>
      <c r="AJ404" s="125"/>
      <c r="AK404" s="143"/>
      <c r="AL404" s="143"/>
      <c r="AM404" s="143"/>
      <c r="AN404" s="143"/>
      <c r="AO404" s="143"/>
      <c r="AP404" s="143"/>
      <c r="AQ404" s="143"/>
      <c r="AR404" s="143"/>
      <c r="AS404" s="143"/>
      <c r="AT404" s="143"/>
      <c r="AU404" s="143"/>
      <c r="AV404" s="144"/>
    </row>
    <row r="405" spans="1:48" ht="39.75" customHeight="1" x14ac:dyDescent="0.25">
      <c r="A405" s="632"/>
      <c r="B405" s="663"/>
      <c r="C405" s="638"/>
      <c r="D405" s="639"/>
      <c r="E405" s="622"/>
      <c r="F405" s="622"/>
      <c r="G405" s="622"/>
      <c r="H405" s="623"/>
      <c r="I405" s="623"/>
      <c r="J405" s="131"/>
      <c r="K405" s="125"/>
      <c r="L405" s="125"/>
      <c r="M405" s="220"/>
      <c r="N405" s="220"/>
      <c r="O405" s="220"/>
      <c r="P405" s="125"/>
      <c r="Q405" s="132"/>
      <c r="R405" s="132"/>
      <c r="S405" s="133"/>
      <c r="T405" s="132"/>
      <c r="U405" s="274"/>
      <c r="V405" s="290"/>
      <c r="W405" s="132"/>
      <c r="X405" s="132"/>
      <c r="Y405" s="132"/>
      <c r="Z405" s="132"/>
      <c r="AA405" s="132"/>
      <c r="AB405" s="132"/>
      <c r="AC405" s="132"/>
      <c r="AD405" s="132"/>
      <c r="AE405" s="290"/>
      <c r="AF405" s="141"/>
      <c r="AG405" s="125"/>
      <c r="AH405" s="160">
        <f>+AH404</f>
        <v>1</v>
      </c>
      <c r="AI405" s="598">
        <f t="shared" si="7"/>
        <v>1</v>
      </c>
      <c r="AJ405" s="125"/>
      <c r="AK405" s="143"/>
      <c r="AL405" s="143"/>
      <c r="AM405" s="143"/>
      <c r="AN405" s="143"/>
      <c r="AO405" s="143"/>
      <c r="AP405" s="143"/>
      <c r="AQ405" s="143"/>
      <c r="AR405" s="143"/>
      <c r="AS405" s="143"/>
      <c r="AT405" s="143"/>
      <c r="AU405" s="143"/>
      <c r="AV405" s="144"/>
    </row>
    <row r="406" spans="1:48" ht="50.25" customHeight="1" x14ac:dyDescent="0.25">
      <c r="A406" s="632"/>
      <c r="B406" s="663"/>
      <c r="C406" s="638"/>
      <c r="D406" s="639"/>
      <c r="E406" s="125"/>
      <c r="F406" s="135"/>
      <c r="G406" s="132"/>
      <c r="H406" s="211"/>
      <c r="I406" s="211"/>
      <c r="J406" s="131"/>
      <c r="K406" s="125"/>
      <c r="L406" s="125"/>
      <c r="M406" s="220"/>
      <c r="N406" s="220"/>
      <c r="O406" s="220"/>
      <c r="P406" s="125"/>
      <c r="Q406" s="132"/>
      <c r="R406" s="132"/>
      <c r="S406" s="133"/>
      <c r="T406" s="132"/>
      <c r="U406" s="274"/>
      <c r="V406" s="290"/>
      <c r="W406" s="132"/>
      <c r="X406" s="132"/>
      <c r="Y406" s="132"/>
      <c r="Z406" s="132"/>
      <c r="AA406" s="132"/>
      <c r="AB406" s="132"/>
      <c r="AC406" s="132"/>
      <c r="AD406" s="132"/>
      <c r="AE406" s="290"/>
      <c r="AF406" s="141"/>
      <c r="AG406" s="125"/>
      <c r="AH406" s="226">
        <f>+(AH392+AH402+AH405)/3</f>
        <v>0.9404969135802469</v>
      </c>
      <c r="AI406" s="598">
        <f t="shared" si="7"/>
        <v>0.9404969135802469</v>
      </c>
      <c r="AJ406" s="125"/>
      <c r="AK406" s="143"/>
      <c r="AL406" s="143"/>
      <c r="AM406" s="143"/>
      <c r="AN406" s="143"/>
      <c r="AO406" s="143"/>
      <c r="AP406" s="143"/>
      <c r="AQ406" s="143"/>
      <c r="AR406" s="143"/>
      <c r="AS406" s="143"/>
      <c r="AT406" s="143"/>
      <c r="AU406" s="143"/>
      <c r="AV406" s="144"/>
    </row>
    <row r="407" spans="1:48" ht="105" x14ac:dyDescent="0.25">
      <c r="A407" s="632"/>
      <c r="B407" s="663"/>
      <c r="C407" s="638"/>
      <c r="D407" s="664" t="s">
        <v>864</v>
      </c>
      <c r="E407" s="622" t="s">
        <v>865</v>
      </c>
      <c r="F407" s="622" t="s">
        <v>867</v>
      </c>
      <c r="G407" s="622" t="s">
        <v>866</v>
      </c>
      <c r="H407" s="623">
        <v>1</v>
      </c>
      <c r="I407" s="623">
        <v>0.1</v>
      </c>
      <c r="J407" s="621" t="s">
        <v>879</v>
      </c>
      <c r="K407" s="255" t="s">
        <v>2170</v>
      </c>
      <c r="L407" s="255" t="s">
        <v>869</v>
      </c>
      <c r="M407" s="105">
        <v>4</v>
      </c>
      <c r="N407" s="105">
        <v>1</v>
      </c>
      <c r="O407" s="105"/>
      <c r="P407" s="125"/>
      <c r="Q407" s="132">
        <v>0</v>
      </c>
      <c r="R407" s="132">
        <v>0</v>
      </c>
      <c r="S407" s="227">
        <v>0</v>
      </c>
      <c r="T407" s="132">
        <v>0</v>
      </c>
      <c r="U407" s="274">
        <v>0</v>
      </c>
      <c r="V407" s="290">
        <v>2</v>
      </c>
      <c r="W407" s="307">
        <v>0</v>
      </c>
      <c r="X407" s="307">
        <v>0</v>
      </c>
      <c r="Y407" s="307">
        <v>0</v>
      </c>
      <c r="Z407" s="132">
        <v>0</v>
      </c>
      <c r="AA407" s="132">
        <v>0</v>
      </c>
      <c r="AB407" s="132">
        <v>0</v>
      </c>
      <c r="AC407" s="132"/>
      <c r="AD407" s="132"/>
      <c r="AE407" s="290"/>
      <c r="AF407" s="141">
        <f>+O407+P407+Q407+R407+S407+T407+U407+V407+W407+X407+Y407+Z407+AA407+AB407+AC407+AD407</f>
        <v>2</v>
      </c>
      <c r="AG407" s="125"/>
      <c r="AH407" s="102">
        <f>+(AF407/M407)</f>
        <v>0.5</v>
      </c>
      <c r="AI407" s="598">
        <f t="shared" si="7"/>
        <v>0.5</v>
      </c>
      <c r="AJ407" s="125"/>
      <c r="AK407" s="143"/>
      <c r="AL407" s="143"/>
      <c r="AM407" s="143"/>
      <c r="AN407" s="143"/>
      <c r="AO407" s="143"/>
      <c r="AP407" s="143"/>
      <c r="AQ407" s="143"/>
      <c r="AR407" s="143"/>
      <c r="AS407" s="143"/>
      <c r="AT407" s="143"/>
      <c r="AU407" s="143"/>
      <c r="AV407" s="144"/>
    </row>
    <row r="408" spans="1:48" ht="90" x14ac:dyDescent="0.25">
      <c r="A408" s="632"/>
      <c r="B408" s="663"/>
      <c r="C408" s="638"/>
      <c r="D408" s="664"/>
      <c r="E408" s="622"/>
      <c r="F408" s="622"/>
      <c r="G408" s="622"/>
      <c r="H408" s="623"/>
      <c r="I408" s="623"/>
      <c r="J408" s="621"/>
      <c r="K408" s="255" t="s">
        <v>868</v>
      </c>
      <c r="L408" s="255" t="s">
        <v>870</v>
      </c>
      <c r="M408" s="105">
        <v>3</v>
      </c>
      <c r="N408" s="105">
        <v>1</v>
      </c>
      <c r="O408" s="105"/>
      <c r="P408" s="125"/>
      <c r="Q408" s="132">
        <v>0</v>
      </c>
      <c r="R408" s="132">
        <v>0</v>
      </c>
      <c r="S408" s="227">
        <v>0</v>
      </c>
      <c r="T408" s="132">
        <v>0</v>
      </c>
      <c r="U408" s="274">
        <v>0</v>
      </c>
      <c r="V408" s="290">
        <v>1</v>
      </c>
      <c r="W408" s="288">
        <v>0</v>
      </c>
      <c r="X408" s="358">
        <v>0</v>
      </c>
      <c r="Y408" s="358">
        <v>0</v>
      </c>
      <c r="Z408" s="132">
        <v>0</v>
      </c>
      <c r="AA408" s="132">
        <v>0</v>
      </c>
      <c r="AB408" s="132">
        <v>0</v>
      </c>
      <c r="AC408" s="132"/>
      <c r="AD408" s="132"/>
      <c r="AE408" s="290"/>
      <c r="AF408" s="141">
        <f>+O408+P408+Q408+R408+S408+T408+U408+V408+W408+X408+Y408+Z408+AA408+AB408+AC408+AD408</f>
        <v>1</v>
      </c>
      <c r="AG408" s="125"/>
      <c r="AH408" s="102">
        <f>+(AF408/M408)</f>
        <v>0.33333333333333331</v>
      </c>
      <c r="AI408" s="598">
        <f t="shared" si="7"/>
        <v>0.33333333333333331</v>
      </c>
      <c r="AJ408" s="125"/>
      <c r="AK408" s="143"/>
      <c r="AL408" s="143"/>
      <c r="AM408" s="143"/>
      <c r="AN408" s="143"/>
      <c r="AO408" s="143"/>
      <c r="AP408" s="143"/>
      <c r="AQ408" s="143"/>
      <c r="AR408" s="143"/>
      <c r="AS408" s="143"/>
      <c r="AT408" s="143"/>
      <c r="AU408" s="143"/>
      <c r="AV408" s="144"/>
    </row>
    <row r="409" spans="1:48" ht="60" x14ac:dyDescent="0.25">
      <c r="A409" s="632"/>
      <c r="B409" s="663"/>
      <c r="C409" s="638"/>
      <c r="D409" s="664"/>
      <c r="E409" s="622"/>
      <c r="F409" s="622"/>
      <c r="G409" s="622"/>
      <c r="H409" s="623"/>
      <c r="I409" s="623"/>
      <c r="J409" s="621"/>
      <c r="K409" s="255" t="s">
        <v>871</v>
      </c>
      <c r="L409" s="255" t="s">
        <v>872</v>
      </c>
      <c r="M409" s="105">
        <v>4</v>
      </c>
      <c r="N409" s="105">
        <v>2</v>
      </c>
      <c r="O409" s="105"/>
      <c r="P409" s="125"/>
      <c r="Q409" s="132">
        <v>0</v>
      </c>
      <c r="R409" s="132">
        <v>4</v>
      </c>
      <c r="S409" s="227">
        <v>0</v>
      </c>
      <c r="T409" s="132">
        <v>0</v>
      </c>
      <c r="U409" s="274">
        <v>0</v>
      </c>
      <c r="V409" s="290">
        <v>0</v>
      </c>
      <c r="W409" s="288">
        <v>0</v>
      </c>
      <c r="X409" s="358">
        <v>0</v>
      </c>
      <c r="Y409" s="358">
        <v>0</v>
      </c>
      <c r="Z409" s="132">
        <v>0</v>
      </c>
      <c r="AA409" s="132">
        <v>0</v>
      </c>
      <c r="AB409" s="132">
        <v>2</v>
      </c>
      <c r="AC409" s="132"/>
      <c r="AD409" s="132"/>
      <c r="AE409" s="290"/>
      <c r="AF409" s="141">
        <f>+AB409+S409+Q409</f>
        <v>2</v>
      </c>
      <c r="AG409" s="125"/>
      <c r="AH409" s="102">
        <f>+AF409/M409</f>
        <v>0.5</v>
      </c>
      <c r="AI409" s="598">
        <f t="shared" si="7"/>
        <v>0.5</v>
      </c>
      <c r="AJ409" s="125"/>
      <c r="AK409" s="143"/>
      <c r="AL409" s="143"/>
      <c r="AM409" s="143"/>
      <c r="AN409" s="143"/>
      <c r="AO409" s="143"/>
      <c r="AP409" s="143"/>
      <c r="AQ409" s="143"/>
      <c r="AR409" s="143"/>
      <c r="AS409" s="143"/>
      <c r="AT409" s="143"/>
      <c r="AU409" s="143"/>
      <c r="AV409" s="144"/>
    </row>
    <row r="410" spans="1:48" ht="45" x14ac:dyDescent="0.25">
      <c r="A410" s="632"/>
      <c r="B410" s="663"/>
      <c r="C410" s="638"/>
      <c r="D410" s="664"/>
      <c r="E410" s="622"/>
      <c r="F410" s="622"/>
      <c r="G410" s="622"/>
      <c r="H410" s="623"/>
      <c r="I410" s="623"/>
      <c r="J410" s="621"/>
      <c r="K410" s="255" t="s">
        <v>873</v>
      </c>
      <c r="L410" s="255" t="s">
        <v>874</v>
      </c>
      <c r="M410" s="105">
        <v>25</v>
      </c>
      <c r="N410" s="105">
        <v>3</v>
      </c>
      <c r="O410" s="105"/>
      <c r="P410" s="125"/>
      <c r="Q410" s="132">
        <v>1</v>
      </c>
      <c r="R410" s="132">
        <v>2</v>
      </c>
      <c r="S410" s="227">
        <v>6</v>
      </c>
      <c r="T410" s="132">
        <v>4</v>
      </c>
      <c r="U410" s="274">
        <v>1</v>
      </c>
      <c r="V410" s="290">
        <v>0</v>
      </c>
      <c r="W410" s="288">
        <v>0</v>
      </c>
      <c r="X410" s="358">
        <v>0</v>
      </c>
      <c r="Y410" s="359">
        <v>0</v>
      </c>
      <c r="Z410" s="132">
        <v>0</v>
      </c>
      <c r="AA410" s="132">
        <v>0</v>
      </c>
      <c r="AB410" s="132">
        <v>0</v>
      </c>
      <c r="AC410" s="132"/>
      <c r="AD410" s="132"/>
      <c r="AE410" s="290"/>
      <c r="AF410" s="141">
        <f>+O410+P410+Q410+R410+S410+T410+U410+V410+W410+X410+Y410+Z410+AA410+AB410+AC410+AD410</f>
        <v>14</v>
      </c>
      <c r="AG410" s="125"/>
      <c r="AH410" s="102">
        <f>+(AF410/M410)</f>
        <v>0.56000000000000005</v>
      </c>
      <c r="AI410" s="598">
        <f t="shared" si="7"/>
        <v>0.56000000000000005</v>
      </c>
      <c r="AJ410" s="125"/>
      <c r="AK410" s="143"/>
      <c r="AL410" s="143"/>
      <c r="AM410" s="143"/>
      <c r="AN410" s="143"/>
      <c r="AO410" s="143"/>
      <c r="AP410" s="143"/>
      <c r="AQ410" s="143"/>
      <c r="AR410" s="143"/>
      <c r="AS410" s="143"/>
      <c r="AT410" s="143"/>
      <c r="AU410" s="143"/>
      <c r="AV410" s="144"/>
    </row>
    <row r="411" spans="1:48" ht="60" x14ac:dyDescent="0.25">
      <c r="A411" s="632"/>
      <c r="B411" s="663"/>
      <c r="C411" s="638"/>
      <c r="D411" s="664"/>
      <c r="E411" s="622"/>
      <c r="F411" s="622"/>
      <c r="G411" s="622"/>
      <c r="H411" s="623"/>
      <c r="I411" s="623"/>
      <c r="J411" s="621"/>
      <c r="K411" s="255" t="s">
        <v>875</v>
      </c>
      <c r="L411" s="255" t="s">
        <v>876</v>
      </c>
      <c r="M411" s="105">
        <v>26</v>
      </c>
      <c r="N411" s="105">
        <v>2</v>
      </c>
      <c r="O411" s="105"/>
      <c r="P411" s="125"/>
      <c r="Q411" s="132">
        <v>0</v>
      </c>
      <c r="R411" s="132">
        <v>0</v>
      </c>
      <c r="S411" s="227">
        <v>0</v>
      </c>
      <c r="T411" s="132">
        <v>9</v>
      </c>
      <c r="U411" s="274">
        <v>0</v>
      </c>
      <c r="V411" s="290">
        <v>0</v>
      </c>
      <c r="W411" s="288">
        <v>1</v>
      </c>
      <c r="X411" s="358">
        <v>0</v>
      </c>
      <c r="Y411" s="359">
        <v>0</v>
      </c>
      <c r="Z411" s="132">
        <v>0</v>
      </c>
      <c r="AA411" s="132">
        <v>0</v>
      </c>
      <c r="AB411" s="132">
        <v>0</v>
      </c>
      <c r="AC411" s="132"/>
      <c r="AD411" s="132"/>
      <c r="AE411" s="290"/>
      <c r="AF411" s="141">
        <f>+O411+P411+Q411+R411+S411+T411+U411+V411+W411+X411+Y411+Z411+AA411+AB411+AC411+AD411</f>
        <v>10</v>
      </c>
      <c r="AG411" s="125"/>
      <c r="AH411" s="102">
        <f>+AF411/(M411-N411)</f>
        <v>0.41666666666666669</v>
      </c>
      <c r="AI411" s="598">
        <f t="shared" si="7"/>
        <v>0.41666666666666669</v>
      </c>
      <c r="AJ411" s="125"/>
      <c r="AK411" s="143"/>
      <c r="AL411" s="143"/>
      <c r="AM411" s="143"/>
      <c r="AN411" s="143"/>
      <c r="AO411" s="143"/>
      <c r="AP411" s="143"/>
      <c r="AQ411" s="143"/>
      <c r="AR411" s="143"/>
      <c r="AS411" s="143"/>
      <c r="AT411" s="143"/>
      <c r="AU411" s="143"/>
      <c r="AV411" s="144"/>
    </row>
    <row r="412" spans="1:48" ht="60" x14ac:dyDescent="0.25">
      <c r="A412" s="632"/>
      <c r="B412" s="663"/>
      <c r="C412" s="638"/>
      <c r="D412" s="664"/>
      <c r="E412" s="622"/>
      <c r="F412" s="622"/>
      <c r="G412" s="622"/>
      <c r="H412" s="623"/>
      <c r="I412" s="623"/>
      <c r="J412" s="621"/>
      <c r="K412" s="255" t="s">
        <v>877</v>
      </c>
      <c r="L412" s="255" t="s">
        <v>878</v>
      </c>
      <c r="M412" s="105">
        <v>15</v>
      </c>
      <c r="N412" s="105">
        <v>0</v>
      </c>
      <c r="O412" s="105"/>
      <c r="P412" s="125"/>
      <c r="Q412" s="132">
        <v>0</v>
      </c>
      <c r="R412" s="132">
        <v>0</v>
      </c>
      <c r="S412" s="227">
        <v>0</v>
      </c>
      <c r="T412" s="132">
        <v>5</v>
      </c>
      <c r="U412" s="274">
        <v>0</v>
      </c>
      <c r="V412" s="290">
        <v>0</v>
      </c>
      <c r="W412" s="288">
        <v>0</v>
      </c>
      <c r="X412" s="358">
        <v>8</v>
      </c>
      <c r="Y412" s="358">
        <v>1</v>
      </c>
      <c r="Z412" s="132">
        <v>0</v>
      </c>
      <c r="AA412" s="132">
        <v>1</v>
      </c>
      <c r="AB412" s="132">
        <v>0</v>
      </c>
      <c r="AC412" s="132"/>
      <c r="AD412" s="132"/>
      <c r="AE412" s="290"/>
      <c r="AF412" s="141">
        <f>+O412+P412+Q412+R412+S412+T412+U412+V412+W412+X412+Y412+Z412+AA412+AB412+AC412+AD412</f>
        <v>15</v>
      </c>
      <c r="AG412" s="125"/>
      <c r="AH412" s="102">
        <f>+AF412/(M412-N412)</f>
        <v>1</v>
      </c>
      <c r="AI412" s="598">
        <f t="shared" si="7"/>
        <v>1</v>
      </c>
      <c r="AJ412" s="125"/>
      <c r="AK412" s="143"/>
      <c r="AL412" s="143"/>
      <c r="AM412" s="143"/>
      <c r="AN412" s="143"/>
      <c r="AO412" s="143"/>
      <c r="AP412" s="143"/>
      <c r="AQ412" s="143"/>
      <c r="AR412" s="143"/>
      <c r="AS412" s="143"/>
      <c r="AT412" s="143"/>
      <c r="AU412" s="143"/>
      <c r="AV412" s="144"/>
    </row>
    <row r="413" spans="1:48" ht="52.5" customHeight="1" x14ac:dyDescent="0.25">
      <c r="A413" s="632"/>
      <c r="B413" s="663"/>
      <c r="C413" s="638"/>
      <c r="D413" s="664"/>
      <c r="E413" s="622"/>
      <c r="F413" s="622"/>
      <c r="G413" s="622"/>
      <c r="H413" s="623"/>
      <c r="I413" s="623"/>
      <c r="J413" s="621"/>
      <c r="K413" s="255"/>
      <c r="L413" s="255"/>
      <c r="M413" s="105"/>
      <c r="N413" s="105"/>
      <c r="O413" s="105"/>
      <c r="P413" s="125"/>
      <c r="Q413" s="132"/>
      <c r="R413" s="132"/>
      <c r="S413" s="133"/>
      <c r="T413" s="132"/>
      <c r="U413" s="274"/>
      <c r="V413" s="290"/>
      <c r="W413" s="132"/>
      <c r="X413" s="132"/>
      <c r="Y413" s="132"/>
      <c r="Z413" s="132"/>
      <c r="AA413" s="132"/>
      <c r="AB413" s="132"/>
      <c r="AC413" s="132"/>
      <c r="AD413" s="132"/>
      <c r="AE413" s="290"/>
      <c r="AF413" s="141"/>
      <c r="AG413" s="125"/>
      <c r="AH413" s="150">
        <f>AVERAGE(AH407:AH412)</f>
        <v>0.55166666666666664</v>
      </c>
      <c r="AI413" s="598">
        <f t="shared" si="7"/>
        <v>0.55166666666666664</v>
      </c>
      <c r="AJ413" s="125"/>
      <c r="AK413" s="143"/>
      <c r="AL413" s="143"/>
      <c r="AM413" s="143"/>
      <c r="AN413" s="143"/>
      <c r="AO413" s="143"/>
      <c r="AP413" s="143"/>
      <c r="AQ413" s="143"/>
      <c r="AR413" s="143"/>
      <c r="AS413" s="143"/>
      <c r="AT413" s="143"/>
      <c r="AU413" s="143"/>
      <c r="AV413" s="144"/>
    </row>
    <row r="414" spans="1:48" ht="52.5" customHeight="1" x14ac:dyDescent="0.25">
      <c r="A414" s="632"/>
      <c r="B414" s="663"/>
      <c r="C414" s="638"/>
      <c r="D414" s="664"/>
      <c r="E414" s="622"/>
      <c r="F414" s="622"/>
      <c r="G414" s="622"/>
      <c r="H414" s="623"/>
      <c r="I414" s="623"/>
      <c r="J414" s="132"/>
      <c r="K414" s="135"/>
      <c r="L414" s="135"/>
      <c r="M414" s="105"/>
      <c r="N414" s="105"/>
      <c r="O414" s="105"/>
      <c r="P414" s="125"/>
      <c r="Q414" s="132"/>
      <c r="R414" s="132"/>
      <c r="S414" s="133"/>
      <c r="T414" s="132"/>
      <c r="U414" s="274"/>
      <c r="V414" s="290"/>
      <c r="W414" s="132"/>
      <c r="X414" s="132"/>
      <c r="Y414" s="132"/>
      <c r="Z414" s="132"/>
      <c r="AA414" s="132"/>
      <c r="AB414" s="132"/>
      <c r="AC414" s="132"/>
      <c r="AD414" s="132"/>
      <c r="AE414" s="290"/>
      <c r="AF414" s="141"/>
      <c r="AG414" s="125"/>
      <c r="AH414" s="160">
        <f>+AH413</f>
        <v>0.55166666666666664</v>
      </c>
      <c r="AI414" s="598">
        <f t="shared" si="7"/>
        <v>0.55166666666666664</v>
      </c>
      <c r="AJ414" s="125"/>
      <c r="AK414" s="143"/>
      <c r="AL414" s="143"/>
      <c r="AM414" s="143"/>
      <c r="AN414" s="143"/>
      <c r="AO414" s="143"/>
      <c r="AP414" s="143"/>
      <c r="AQ414" s="143"/>
      <c r="AR414" s="143"/>
      <c r="AS414" s="143"/>
      <c r="AT414" s="143"/>
      <c r="AU414" s="143"/>
      <c r="AV414" s="144"/>
    </row>
    <row r="415" spans="1:48" ht="45" customHeight="1" x14ac:dyDescent="0.25">
      <c r="A415" s="632"/>
      <c r="B415" s="663"/>
      <c r="C415" s="638"/>
      <c r="D415" s="664"/>
      <c r="E415" s="622" t="s">
        <v>880</v>
      </c>
      <c r="F415" s="622" t="s">
        <v>882</v>
      </c>
      <c r="G415" s="622" t="s">
        <v>881</v>
      </c>
      <c r="H415" s="622">
        <v>1</v>
      </c>
      <c r="I415" s="622">
        <v>0</v>
      </c>
      <c r="J415" s="621" t="s">
        <v>880</v>
      </c>
      <c r="K415" s="255" t="s">
        <v>883</v>
      </c>
      <c r="L415" s="255" t="s">
        <v>884</v>
      </c>
      <c r="M415" s="105">
        <v>1</v>
      </c>
      <c r="N415" s="105">
        <v>0</v>
      </c>
      <c r="O415" s="105"/>
      <c r="P415" s="125"/>
      <c r="Q415" s="132">
        <v>0</v>
      </c>
      <c r="R415" s="132">
        <v>0</v>
      </c>
      <c r="S415" s="227">
        <v>0</v>
      </c>
      <c r="T415" s="132">
        <v>0</v>
      </c>
      <c r="U415" s="274">
        <v>0</v>
      </c>
      <c r="V415" s="290">
        <v>0</v>
      </c>
      <c r="W415" s="288">
        <v>0</v>
      </c>
      <c r="X415" s="358">
        <v>0</v>
      </c>
      <c r="Y415" s="358">
        <v>0</v>
      </c>
      <c r="Z415" s="132">
        <v>0</v>
      </c>
      <c r="AA415" s="132"/>
      <c r="AB415" s="132"/>
      <c r="AC415" s="132"/>
      <c r="AD415" s="132"/>
      <c r="AE415" s="290"/>
      <c r="AF415" s="141">
        <f>+O415+P415+Q415+R415+S415+T415+U415+V415+W415+X415+Y415+Z415+AA415+AB415+AC415+AD415</f>
        <v>0</v>
      </c>
      <c r="AG415" s="125"/>
      <c r="AH415" s="102">
        <f>+AF415/(M415-N415)</f>
        <v>0</v>
      </c>
      <c r="AI415" s="598">
        <f t="shared" si="7"/>
        <v>0</v>
      </c>
      <c r="AJ415" s="125"/>
      <c r="AK415" s="143"/>
      <c r="AL415" s="143"/>
      <c r="AM415" s="143"/>
      <c r="AN415" s="143"/>
      <c r="AO415" s="143"/>
      <c r="AP415" s="143"/>
      <c r="AQ415" s="143"/>
      <c r="AR415" s="143"/>
      <c r="AS415" s="143"/>
      <c r="AT415" s="143"/>
      <c r="AU415" s="143"/>
      <c r="AV415" s="144"/>
    </row>
    <row r="416" spans="1:48" ht="45" x14ac:dyDescent="0.25">
      <c r="A416" s="632"/>
      <c r="B416" s="663"/>
      <c r="C416" s="638"/>
      <c r="D416" s="664"/>
      <c r="E416" s="622"/>
      <c r="F416" s="622"/>
      <c r="G416" s="622"/>
      <c r="H416" s="622"/>
      <c r="I416" s="622"/>
      <c r="J416" s="621"/>
      <c r="K416" s="255" t="s">
        <v>885</v>
      </c>
      <c r="L416" s="255" t="s">
        <v>886</v>
      </c>
      <c r="M416" s="105">
        <v>4</v>
      </c>
      <c r="N416" s="105">
        <v>2</v>
      </c>
      <c r="O416" s="105"/>
      <c r="P416" s="125"/>
      <c r="Q416" s="132">
        <v>0</v>
      </c>
      <c r="R416" s="132">
        <v>0</v>
      </c>
      <c r="S416" s="228">
        <v>0</v>
      </c>
      <c r="T416" s="132">
        <v>0</v>
      </c>
      <c r="U416" s="274">
        <v>0</v>
      </c>
      <c r="V416" s="290">
        <v>0</v>
      </c>
      <c r="W416" s="288">
        <v>0</v>
      </c>
      <c r="X416" s="358">
        <v>0</v>
      </c>
      <c r="Y416" s="359">
        <v>0</v>
      </c>
      <c r="Z416" s="132">
        <v>0</v>
      </c>
      <c r="AA416" s="132"/>
      <c r="AB416" s="132"/>
      <c r="AC416" s="132"/>
      <c r="AD416" s="132"/>
      <c r="AE416" s="290"/>
      <c r="AF416" s="141">
        <f>+O416+P416+Q416+R416+S416+T416+U416+V416+W416+X416+Y416+Z416+AA416+AB416+AC416+AD416</f>
        <v>0</v>
      </c>
      <c r="AG416" s="125"/>
      <c r="AH416" s="102">
        <f>+AF416/(M416-N416)</f>
        <v>0</v>
      </c>
      <c r="AI416" s="598">
        <f t="shared" si="7"/>
        <v>0</v>
      </c>
      <c r="AJ416" s="125"/>
      <c r="AK416" s="143"/>
      <c r="AL416" s="143"/>
      <c r="AM416" s="143"/>
      <c r="AN416" s="143"/>
      <c r="AO416" s="143"/>
      <c r="AP416" s="143"/>
      <c r="AQ416" s="143"/>
      <c r="AR416" s="143"/>
      <c r="AS416" s="143"/>
      <c r="AT416" s="143"/>
      <c r="AU416" s="143"/>
      <c r="AV416" s="144"/>
    </row>
    <row r="417" spans="1:48" ht="45" x14ac:dyDescent="0.25">
      <c r="A417" s="632"/>
      <c r="B417" s="663"/>
      <c r="C417" s="638"/>
      <c r="D417" s="664"/>
      <c r="E417" s="622"/>
      <c r="F417" s="622"/>
      <c r="G417" s="622"/>
      <c r="H417" s="622"/>
      <c r="I417" s="622"/>
      <c r="J417" s="621"/>
      <c r="K417" s="255" t="s">
        <v>887</v>
      </c>
      <c r="L417" s="255" t="s">
        <v>888</v>
      </c>
      <c r="M417" s="105">
        <v>4</v>
      </c>
      <c r="N417" s="105">
        <v>1</v>
      </c>
      <c r="O417" s="105"/>
      <c r="P417" s="125"/>
      <c r="Q417" s="132">
        <v>0</v>
      </c>
      <c r="R417" s="132">
        <v>0</v>
      </c>
      <c r="S417" s="228">
        <v>0</v>
      </c>
      <c r="T417" s="132">
        <v>0</v>
      </c>
      <c r="U417" s="274">
        <v>0</v>
      </c>
      <c r="V417" s="290">
        <v>0</v>
      </c>
      <c r="W417" s="288">
        <v>0</v>
      </c>
      <c r="X417" s="358">
        <v>1</v>
      </c>
      <c r="Y417" s="359">
        <v>0</v>
      </c>
      <c r="Z417" s="132">
        <v>0</v>
      </c>
      <c r="AA417" s="132"/>
      <c r="AB417" s="132"/>
      <c r="AC417" s="132"/>
      <c r="AD417" s="132"/>
      <c r="AE417" s="290"/>
      <c r="AF417" s="141">
        <f>+O417+P417+Q417+R417+S417+T417+U417+V417+W417+X417+Y417+Z417+AA417+AB417+AC417+AD417</f>
        <v>1</v>
      </c>
      <c r="AG417" s="125"/>
      <c r="AH417" s="102">
        <f>+AF417/(M417-N417)</f>
        <v>0.33333333333333331</v>
      </c>
      <c r="AI417" s="598">
        <f t="shared" si="7"/>
        <v>0.33333333333333331</v>
      </c>
      <c r="AJ417" s="125"/>
      <c r="AK417" s="143"/>
      <c r="AL417" s="143"/>
      <c r="AM417" s="143"/>
      <c r="AN417" s="143"/>
      <c r="AO417" s="143"/>
      <c r="AP417" s="143"/>
      <c r="AQ417" s="143"/>
      <c r="AR417" s="143"/>
      <c r="AS417" s="143"/>
      <c r="AT417" s="143"/>
      <c r="AU417" s="143"/>
      <c r="AV417" s="144"/>
    </row>
    <row r="418" spans="1:48" ht="30" x14ac:dyDescent="0.25">
      <c r="A418" s="632"/>
      <c r="B418" s="663"/>
      <c r="C418" s="638"/>
      <c r="D418" s="664"/>
      <c r="E418" s="622"/>
      <c r="F418" s="622"/>
      <c r="G418" s="622"/>
      <c r="H418" s="622"/>
      <c r="I418" s="622"/>
      <c r="J418" s="621"/>
      <c r="K418" s="255" t="s">
        <v>889</v>
      </c>
      <c r="L418" s="255" t="s">
        <v>890</v>
      </c>
      <c r="M418" s="105">
        <v>400</v>
      </c>
      <c r="N418" s="105">
        <v>106</v>
      </c>
      <c r="O418" s="105"/>
      <c r="P418" s="125"/>
      <c r="Q418" s="132">
        <v>0</v>
      </c>
      <c r="R418" s="132">
        <v>0</v>
      </c>
      <c r="S418" s="228">
        <v>0</v>
      </c>
      <c r="T418" s="132">
        <v>0</v>
      </c>
      <c r="U418" s="274">
        <v>0</v>
      </c>
      <c r="V418" s="290">
        <v>0</v>
      </c>
      <c r="W418" s="288">
        <v>0</v>
      </c>
      <c r="X418" s="358">
        <v>362</v>
      </c>
      <c r="Y418" s="358">
        <v>34</v>
      </c>
      <c r="Z418" s="132">
        <v>40</v>
      </c>
      <c r="AA418" s="132"/>
      <c r="AB418" s="132"/>
      <c r="AC418" s="132"/>
      <c r="AD418" s="132"/>
      <c r="AE418" s="290"/>
      <c r="AF418" s="141">
        <f>+O418+P418+Q418+R418+S418+T418+U418+V418+W418+X418+Y418+Z418+AA418+AB418+AC418+AD418</f>
        <v>436</v>
      </c>
      <c r="AG418" s="125"/>
      <c r="AH418" s="102">
        <v>1</v>
      </c>
      <c r="AI418" s="598">
        <f t="shared" si="7"/>
        <v>1</v>
      </c>
      <c r="AJ418" s="125"/>
      <c r="AK418" s="143"/>
      <c r="AL418" s="143"/>
      <c r="AM418" s="143"/>
      <c r="AN418" s="143"/>
      <c r="AO418" s="143"/>
      <c r="AP418" s="143"/>
      <c r="AQ418" s="143"/>
      <c r="AR418" s="143"/>
      <c r="AS418" s="143"/>
      <c r="AT418" s="143"/>
      <c r="AU418" s="143"/>
      <c r="AV418" s="144"/>
    </row>
    <row r="419" spans="1:48" ht="37.5" customHeight="1" x14ac:dyDescent="0.25">
      <c r="A419" s="632"/>
      <c r="B419" s="663"/>
      <c r="C419" s="638"/>
      <c r="D419" s="664"/>
      <c r="E419" s="622"/>
      <c r="F419" s="622"/>
      <c r="G419" s="622"/>
      <c r="H419" s="622"/>
      <c r="I419" s="622"/>
      <c r="J419" s="621"/>
      <c r="K419" s="256"/>
      <c r="L419" s="256"/>
      <c r="M419" s="95"/>
      <c r="N419" s="95"/>
      <c r="O419" s="95"/>
      <c r="P419" s="95"/>
      <c r="Q419" s="95"/>
      <c r="R419" s="95"/>
      <c r="S419" s="229"/>
      <c r="T419" s="95"/>
      <c r="U419" s="278"/>
      <c r="V419" s="296"/>
      <c r="W419" s="95"/>
      <c r="X419" s="95"/>
      <c r="Y419" s="95"/>
      <c r="Z419" s="95"/>
      <c r="AA419" s="95"/>
      <c r="AB419" s="95"/>
      <c r="AC419" s="95"/>
      <c r="AD419" s="95"/>
      <c r="AE419" s="296"/>
      <c r="AF419" s="141"/>
      <c r="AG419" s="95"/>
      <c r="AH419" s="106">
        <f>AVERAGE(AH415:AH418)</f>
        <v>0.33333333333333331</v>
      </c>
      <c r="AI419" s="598">
        <f t="shared" si="7"/>
        <v>0.33333333333333331</v>
      </c>
      <c r="AJ419" s="95"/>
      <c r="AK419" s="95"/>
      <c r="AL419" s="95"/>
      <c r="AM419" s="143"/>
      <c r="AN419" s="143"/>
      <c r="AO419" s="143"/>
      <c r="AP419" s="143"/>
      <c r="AQ419" s="143"/>
      <c r="AR419" s="143"/>
      <c r="AS419" s="143"/>
      <c r="AT419" s="143"/>
      <c r="AU419" s="143"/>
      <c r="AV419" s="144"/>
    </row>
    <row r="420" spans="1:48" ht="35.25" customHeight="1" x14ac:dyDescent="0.25">
      <c r="B420" s="632"/>
      <c r="C420" s="638"/>
      <c r="D420" s="664"/>
      <c r="E420" s="622"/>
      <c r="F420" s="622"/>
      <c r="G420" s="622"/>
      <c r="H420" s="622"/>
      <c r="I420" s="622"/>
      <c r="J420" s="95"/>
      <c r="K420" s="95"/>
      <c r="L420" s="95"/>
      <c r="M420" s="95"/>
      <c r="N420" s="95"/>
      <c r="O420" s="95"/>
      <c r="P420" s="95"/>
      <c r="Q420" s="95"/>
      <c r="R420" s="95"/>
      <c r="S420" s="229"/>
      <c r="T420" s="95"/>
      <c r="U420" s="278"/>
      <c r="V420" s="296"/>
      <c r="W420" s="95"/>
      <c r="X420" s="95"/>
      <c r="Y420" s="95"/>
      <c r="Z420" s="95"/>
      <c r="AA420" s="95"/>
      <c r="AB420" s="95"/>
      <c r="AC420" s="95"/>
      <c r="AD420" s="95"/>
      <c r="AE420" s="296"/>
      <c r="AF420" s="141"/>
      <c r="AG420" s="95"/>
      <c r="AH420" s="104">
        <f>+AH419</f>
        <v>0.33333333333333331</v>
      </c>
      <c r="AI420" s="598">
        <f t="shared" si="7"/>
        <v>0.33333333333333331</v>
      </c>
      <c r="AJ420" s="95"/>
      <c r="AK420" s="95"/>
      <c r="AL420" s="95"/>
      <c r="AM420" s="143"/>
      <c r="AN420" s="143"/>
      <c r="AO420" s="143"/>
      <c r="AP420" s="143"/>
      <c r="AQ420" s="143"/>
      <c r="AR420" s="143"/>
      <c r="AS420" s="143"/>
      <c r="AT420" s="143"/>
      <c r="AU420" s="143"/>
      <c r="AV420" s="144"/>
    </row>
    <row r="421" spans="1:48" ht="47.25" customHeight="1" x14ac:dyDescent="0.25">
      <c r="A421" s="192"/>
      <c r="B421" s="632"/>
      <c r="C421" s="638"/>
      <c r="D421" s="664"/>
      <c r="E421" s="95"/>
      <c r="F421" s="95"/>
      <c r="G421" s="95"/>
      <c r="H421" s="95"/>
      <c r="I421" s="95"/>
      <c r="J421" s="95"/>
      <c r="K421" s="95"/>
      <c r="L421" s="95"/>
      <c r="M421" s="95"/>
      <c r="N421" s="95"/>
      <c r="O421" s="95"/>
      <c r="P421" s="95"/>
      <c r="Q421" s="95"/>
      <c r="R421" s="95"/>
      <c r="S421" s="229"/>
      <c r="T421" s="95"/>
      <c r="U421" s="278"/>
      <c r="V421" s="296"/>
      <c r="W421" s="95"/>
      <c r="X421" s="95"/>
      <c r="Y421" s="95"/>
      <c r="Z421" s="95"/>
      <c r="AA421" s="95"/>
      <c r="AB421" s="95"/>
      <c r="AC421" s="95"/>
      <c r="AD421" s="95"/>
      <c r="AE421" s="296"/>
      <c r="AF421" s="141"/>
      <c r="AG421" s="95"/>
      <c r="AH421" s="230">
        <f>+(AH413+AH419)/2</f>
        <v>0.4425</v>
      </c>
      <c r="AI421" s="598">
        <f t="shared" si="7"/>
        <v>0.4425</v>
      </c>
      <c r="AJ421" s="95"/>
      <c r="AK421" s="95"/>
      <c r="AL421" s="95"/>
      <c r="AM421" s="95"/>
      <c r="AN421" s="95"/>
      <c r="AO421" s="95"/>
      <c r="AP421" s="95"/>
      <c r="AQ421" s="143"/>
      <c r="AR421" s="143"/>
      <c r="AS421" s="143"/>
      <c r="AT421" s="143"/>
      <c r="AU421" s="143"/>
      <c r="AV421" s="144"/>
    </row>
    <row r="422" spans="1:48" ht="47.25" customHeight="1" x14ac:dyDescent="0.25">
      <c r="A422" s="192"/>
      <c r="B422" s="632"/>
      <c r="C422" s="638"/>
      <c r="D422" s="95"/>
      <c r="E422" s="95"/>
      <c r="F422" s="95"/>
      <c r="G422" s="95"/>
      <c r="H422" s="95"/>
      <c r="I422" s="95"/>
      <c r="J422" s="95"/>
      <c r="K422" s="95"/>
      <c r="L422" s="95"/>
      <c r="M422" s="95"/>
      <c r="N422" s="95"/>
      <c r="O422" s="95"/>
      <c r="P422" s="95"/>
      <c r="Q422" s="95"/>
      <c r="R422" s="95"/>
      <c r="S422" s="229"/>
      <c r="T422" s="95"/>
      <c r="U422" s="278"/>
      <c r="V422" s="296"/>
      <c r="W422" s="95"/>
      <c r="X422" s="95"/>
      <c r="Y422" s="95"/>
      <c r="Z422" s="95"/>
      <c r="AA422" s="95"/>
      <c r="AB422" s="95"/>
      <c r="AC422" s="95"/>
      <c r="AD422" s="95"/>
      <c r="AE422" s="296"/>
      <c r="AF422" s="141"/>
      <c r="AG422" s="95"/>
      <c r="AH422" s="231">
        <f>+(AH327+AH338+AH365+AH387+AH406+AH421)/6</f>
        <v>0.75072414071727556</v>
      </c>
      <c r="AI422" s="598">
        <f t="shared" si="7"/>
        <v>0.75072414071727556</v>
      </c>
      <c r="AJ422" s="95"/>
      <c r="AK422" s="95"/>
      <c r="AL422" s="95"/>
      <c r="AM422" s="95"/>
      <c r="AN422" s="95"/>
      <c r="AO422" s="95"/>
      <c r="AP422" s="95"/>
      <c r="AQ422" s="143"/>
      <c r="AR422" s="143"/>
      <c r="AS422" s="143"/>
      <c r="AT422" s="143"/>
      <c r="AU422" s="143"/>
      <c r="AV422" s="144"/>
    </row>
    <row r="423" spans="1:48" ht="52.5" customHeight="1" x14ac:dyDescent="0.25">
      <c r="A423" s="192"/>
      <c r="B423" s="632"/>
      <c r="C423" s="95"/>
      <c r="D423" s="95"/>
      <c r="E423" s="95"/>
      <c r="F423" s="95"/>
      <c r="G423" s="95"/>
      <c r="H423" s="95"/>
      <c r="I423" s="95"/>
      <c r="J423" s="95"/>
      <c r="K423" s="95"/>
      <c r="L423" s="95"/>
      <c r="M423" s="95"/>
      <c r="N423" s="95"/>
      <c r="O423" s="95"/>
      <c r="P423" s="95"/>
      <c r="Q423" s="95"/>
      <c r="R423" s="95"/>
      <c r="S423" s="229"/>
      <c r="T423" s="95"/>
      <c r="U423" s="278"/>
      <c r="V423" s="296"/>
      <c r="W423" s="95"/>
      <c r="X423" s="95"/>
      <c r="Y423" s="95"/>
      <c r="Z423" s="95"/>
      <c r="AA423" s="95"/>
      <c r="AB423" s="95"/>
      <c r="AC423" s="95"/>
      <c r="AD423" s="95"/>
      <c r="AE423" s="296"/>
      <c r="AF423" s="139"/>
      <c r="AG423" s="95"/>
      <c r="AH423" s="243">
        <f>+(AH309+AH422)/2</f>
        <v>0.79583529728088909</v>
      </c>
      <c r="AI423" s="598">
        <f t="shared" si="7"/>
        <v>0.79583529728088909</v>
      </c>
      <c r="AJ423" s="95"/>
      <c r="AK423" s="95"/>
      <c r="AL423" s="95"/>
      <c r="AM423" s="95"/>
      <c r="AN423" s="95"/>
      <c r="AO423" s="95"/>
      <c r="AP423" s="95"/>
      <c r="AQ423" s="143"/>
      <c r="AR423" s="143"/>
      <c r="AS423" s="143"/>
      <c r="AT423" s="143"/>
      <c r="AU423" s="143"/>
      <c r="AV423" s="144"/>
    </row>
    <row r="424" spans="1:48" x14ac:dyDescent="0.25">
      <c r="F424" s="101"/>
      <c r="H424" s="101"/>
      <c r="AQ424" s="144"/>
      <c r="AR424" s="144"/>
      <c r="AS424" s="144"/>
      <c r="AT424" s="144"/>
      <c r="AU424" s="144"/>
      <c r="AV424" s="144"/>
    </row>
    <row r="425" spans="1:48" x14ac:dyDescent="0.25">
      <c r="F425" s="101"/>
      <c r="H425" s="101"/>
      <c r="AQ425" s="144"/>
      <c r="AR425" s="144"/>
      <c r="AS425" s="144"/>
      <c r="AT425" s="144"/>
      <c r="AU425" s="144"/>
      <c r="AV425" s="144"/>
    </row>
    <row r="426" spans="1:48" x14ac:dyDescent="0.25">
      <c r="F426" s="101"/>
      <c r="H426" s="101"/>
      <c r="AQ426" s="144"/>
      <c r="AR426" s="144"/>
      <c r="AS426" s="144"/>
      <c r="AT426" s="144"/>
      <c r="AU426" s="144"/>
      <c r="AV426" s="144"/>
    </row>
    <row r="427" spans="1:48" x14ac:dyDescent="0.25">
      <c r="F427" s="101"/>
      <c r="H427" s="101"/>
      <c r="AQ427" s="144"/>
      <c r="AR427" s="144"/>
      <c r="AS427" s="144"/>
      <c r="AT427" s="144"/>
      <c r="AU427" s="144"/>
      <c r="AV427" s="144"/>
    </row>
    <row r="428" spans="1:48" x14ac:dyDescent="0.25">
      <c r="F428" s="101"/>
      <c r="H428" s="101"/>
      <c r="AQ428" s="144"/>
      <c r="AR428" s="144"/>
      <c r="AS428" s="144"/>
      <c r="AT428" s="144"/>
      <c r="AU428" s="144"/>
      <c r="AV428" s="144"/>
    </row>
    <row r="429" spans="1:48" x14ac:dyDescent="0.25">
      <c r="F429" s="101"/>
      <c r="H429" s="101"/>
      <c r="AQ429" s="144"/>
      <c r="AR429" s="144"/>
      <c r="AS429" s="144"/>
      <c r="AT429" s="144"/>
      <c r="AU429" s="144"/>
      <c r="AV429" s="144"/>
    </row>
    <row r="430" spans="1:48" x14ac:dyDescent="0.25">
      <c r="F430" s="101"/>
      <c r="H430" s="101"/>
      <c r="AQ430" s="144"/>
      <c r="AR430" s="144"/>
      <c r="AS430" s="144"/>
      <c r="AT430" s="144"/>
      <c r="AU430" s="144"/>
      <c r="AV430" s="144"/>
    </row>
    <row r="431" spans="1:48" x14ac:dyDescent="0.25">
      <c r="F431" s="101"/>
      <c r="H431" s="101"/>
      <c r="AQ431" s="144"/>
      <c r="AR431" s="144"/>
      <c r="AS431" s="144"/>
      <c r="AT431" s="144"/>
      <c r="AU431" s="144"/>
      <c r="AV431" s="144"/>
    </row>
    <row r="432" spans="1:48" x14ac:dyDescent="0.25">
      <c r="F432" s="101"/>
      <c r="H432" s="101"/>
      <c r="AQ432" s="144"/>
      <c r="AR432" s="144"/>
      <c r="AS432" s="144"/>
      <c r="AT432" s="144"/>
      <c r="AU432" s="144"/>
      <c r="AV432" s="144"/>
    </row>
    <row r="433" spans="6:48" x14ac:dyDescent="0.25">
      <c r="F433" s="101"/>
      <c r="H433" s="101"/>
      <c r="AQ433" s="144"/>
      <c r="AR433" s="144"/>
      <c r="AS433" s="144"/>
      <c r="AT433" s="144"/>
      <c r="AU433" s="144"/>
      <c r="AV433" s="144"/>
    </row>
    <row r="434" spans="6:48" x14ac:dyDescent="0.25">
      <c r="F434" s="101"/>
      <c r="H434" s="101"/>
      <c r="AQ434" s="144"/>
      <c r="AR434" s="144"/>
      <c r="AS434" s="144"/>
      <c r="AT434" s="144"/>
      <c r="AU434" s="144"/>
      <c r="AV434" s="144"/>
    </row>
    <row r="435" spans="6:48" x14ac:dyDescent="0.25">
      <c r="F435" s="101"/>
      <c r="H435" s="101"/>
      <c r="AQ435" s="144"/>
      <c r="AR435" s="144"/>
      <c r="AS435" s="144"/>
      <c r="AT435" s="144"/>
      <c r="AU435" s="144"/>
      <c r="AV435" s="144"/>
    </row>
    <row r="436" spans="6:48" x14ac:dyDescent="0.25">
      <c r="F436" s="101"/>
      <c r="H436" s="101"/>
      <c r="AQ436" s="144"/>
      <c r="AR436" s="144"/>
      <c r="AS436" s="144"/>
      <c r="AT436" s="144"/>
      <c r="AU436" s="144"/>
      <c r="AV436" s="144"/>
    </row>
    <row r="437" spans="6:48" x14ac:dyDescent="0.25">
      <c r="F437" s="101"/>
      <c r="H437" s="101"/>
      <c r="AQ437" s="144"/>
      <c r="AR437" s="144"/>
      <c r="AS437" s="144"/>
      <c r="AT437" s="144"/>
      <c r="AU437" s="144"/>
      <c r="AV437" s="144"/>
    </row>
    <row r="438" spans="6:48" x14ac:dyDescent="0.25">
      <c r="F438" s="101"/>
      <c r="H438" s="101"/>
      <c r="AQ438" s="144"/>
      <c r="AR438" s="144"/>
      <c r="AS438" s="144"/>
      <c r="AT438" s="144"/>
      <c r="AU438" s="144"/>
      <c r="AV438" s="144"/>
    </row>
    <row r="439" spans="6:48" x14ac:dyDescent="0.25">
      <c r="F439" s="101"/>
      <c r="H439" s="101"/>
      <c r="AQ439" s="144"/>
      <c r="AR439" s="144"/>
      <c r="AS439" s="144"/>
      <c r="AT439" s="144"/>
      <c r="AU439" s="144"/>
      <c r="AV439" s="144"/>
    </row>
    <row r="440" spans="6:48" x14ac:dyDescent="0.25">
      <c r="F440" s="101"/>
      <c r="H440" s="101"/>
      <c r="AQ440" s="144"/>
      <c r="AR440" s="144"/>
      <c r="AS440" s="144"/>
      <c r="AT440" s="144"/>
      <c r="AU440" s="144"/>
      <c r="AV440" s="144"/>
    </row>
    <row r="441" spans="6:48" x14ac:dyDescent="0.25">
      <c r="F441" s="101"/>
      <c r="H441" s="101"/>
      <c r="AQ441" s="144"/>
      <c r="AR441" s="144"/>
      <c r="AS441" s="144"/>
      <c r="AT441" s="144"/>
      <c r="AU441" s="144"/>
      <c r="AV441" s="144"/>
    </row>
    <row r="442" spans="6:48" x14ac:dyDescent="0.25">
      <c r="F442" s="101"/>
      <c r="H442" s="101"/>
      <c r="AQ442" s="144"/>
      <c r="AR442" s="144"/>
      <c r="AS442" s="144"/>
      <c r="AT442" s="144"/>
      <c r="AU442" s="144"/>
      <c r="AV442" s="144"/>
    </row>
    <row r="443" spans="6:48" x14ac:dyDescent="0.25">
      <c r="F443" s="101"/>
      <c r="H443" s="101"/>
      <c r="AQ443" s="144"/>
      <c r="AR443" s="144"/>
      <c r="AS443" s="144"/>
      <c r="AT443" s="144"/>
      <c r="AU443" s="144"/>
      <c r="AV443" s="144"/>
    </row>
    <row r="444" spans="6:48" x14ac:dyDescent="0.25">
      <c r="F444" s="101"/>
      <c r="H444" s="101"/>
      <c r="AQ444" s="144"/>
      <c r="AR444" s="144"/>
      <c r="AS444" s="144"/>
      <c r="AT444" s="144"/>
      <c r="AU444" s="144"/>
      <c r="AV444" s="144"/>
    </row>
    <row r="445" spans="6:48" x14ac:dyDescent="0.25">
      <c r="F445" s="101"/>
      <c r="H445" s="101"/>
      <c r="AQ445" s="144"/>
      <c r="AR445" s="144"/>
      <c r="AS445" s="144"/>
      <c r="AT445" s="144"/>
      <c r="AU445" s="144"/>
      <c r="AV445" s="144"/>
    </row>
    <row r="446" spans="6:48" x14ac:dyDescent="0.25">
      <c r="F446" s="101"/>
      <c r="H446" s="101"/>
      <c r="AQ446" s="144"/>
      <c r="AR446" s="144"/>
      <c r="AS446" s="144"/>
      <c r="AT446" s="144"/>
      <c r="AU446" s="144"/>
      <c r="AV446" s="144"/>
    </row>
    <row r="447" spans="6:48" x14ac:dyDescent="0.25">
      <c r="F447" s="101"/>
      <c r="H447" s="101"/>
      <c r="AQ447" s="144"/>
      <c r="AR447" s="144"/>
      <c r="AS447" s="144"/>
      <c r="AT447" s="144"/>
      <c r="AU447" s="144"/>
      <c r="AV447" s="144"/>
    </row>
    <row r="448" spans="6:48" x14ac:dyDescent="0.25">
      <c r="F448" s="101"/>
      <c r="H448" s="101"/>
      <c r="AQ448" s="144"/>
      <c r="AR448" s="144"/>
      <c r="AS448" s="144"/>
      <c r="AT448" s="144"/>
      <c r="AU448" s="144"/>
      <c r="AV448" s="144"/>
    </row>
    <row r="449" spans="3:48" x14ac:dyDescent="0.25">
      <c r="F449" s="101"/>
      <c r="H449" s="101"/>
      <c r="AQ449" s="144"/>
      <c r="AR449" s="144"/>
      <c r="AS449" s="144"/>
      <c r="AT449" s="144"/>
      <c r="AU449" s="144"/>
      <c r="AV449" s="144"/>
    </row>
    <row r="450" spans="3:48" x14ac:dyDescent="0.25">
      <c r="F450" s="101"/>
      <c r="H450" s="101"/>
      <c r="AQ450" s="144"/>
      <c r="AR450" s="144"/>
      <c r="AS450" s="144"/>
      <c r="AT450" s="144"/>
      <c r="AU450" s="144"/>
      <c r="AV450" s="144"/>
    </row>
    <row r="451" spans="3:48" x14ac:dyDescent="0.25">
      <c r="F451" s="101"/>
      <c r="H451" s="101"/>
      <c r="AQ451" s="144"/>
      <c r="AR451" s="144"/>
      <c r="AS451" s="144"/>
      <c r="AT451" s="144"/>
      <c r="AU451" s="144"/>
      <c r="AV451" s="144"/>
    </row>
    <row r="452" spans="3:48" x14ac:dyDescent="0.25">
      <c r="F452" s="101"/>
      <c r="H452" s="101"/>
      <c r="AQ452" s="144"/>
      <c r="AR452" s="144"/>
      <c r="AS452" s="144"/>
      <c r="AT452" s="144"/>
      <c r="AU452" s="144"/>
      <c r="AV452" s="144"/>
    </row>
    <row r="453" spans="3:48" x14ac:dyDescent="0.25">
      <c r="F453" s="101"/>
      <c r="H453" s="101"/>
      <c r="AQ453" s="144"/>
      <c r="AR453" s="144"/>
      <c r="AS453" s="144"/>
      <c r="AT453" s="144"/>
      <c r="AU453" s="144"/>
      <c r="AV453" s="144"/>
    </row>
    <row r="454" spans="3:48" x14ac:dyDescent="0.25">
      <c r="F454" s="101"/>
      <c r="H454" s="101"/>
      <c r="AQ454" s="144"/>
      <c r="AR454" s="144"/>
      <c r="AS454" s="144"/>
      <c r="AT454" s="144"/>
      <c r="AU454" s="144"/>
      <c r="AV454" s="144"/>
    </row>
    <row r="455" spans="3:48" x14ac:dyDescent="0.25">
      <c r="F455" s="101"/>
      <c r="H455" s="101"/>
      <c r="AQ455" s="144"/>
      <c r="AR455" s="144"/>
      <c r="AS455" s="144"/>
      <c r="AT455" s="144"/>
      <c r="AU455" s="144"/>
      <c r="AV455" s="144"/>
    </row>
    <row r="456" spans="3:48" x14ac:dyDescent="0.25">
      <c r="F456" s="101"/>
      <c r="H456" s="101"/>
      <c r="AQ456" s="144"/>
      <c r="AR456" s="144"/>
      <c r="AS456" s="144"/>
      <c r="AT456" s="144"/>
      <c r="AU456" s="144"/>
      <c r="AV456" s="144"/>
    </row>
    <row r="457" spans="3:48" x14ac:dyDescent="0.25">
      <c r="F457" s="101"/>
      <c r="H457" s="101"/>
      <c r="AQ457" s="144"/>
      <c r="AR457" s="144"/>
      <c r="AS457" s="144"/>
      <c r="AT457" s="144"/>
      <c r="AU457" s="144"/>
      <c r="AV457" s="144"/>
    </row>
    <row r="458" spans="3:48" x14ac:dyDescent="0.25">
      <c r="F458" s="101"/>
      <c r="H458" s="101"/>
      <c r="AQ458" s="144"/>
      <c r="AR458" s="144"/>
      <c r="AS458" s="144"/>
      <c r="AT458" s="144"/>
      <c r="AU458" s="144"/>
      <c r="AV458" s="144"/>
    </row>
    <row r="459" spans="3:48" x14ac:dyDescent="0.25">
      <c r="F459" s="101"/>
      <c r="H459" s="101"/>
      <c r="AQ459" s="144"/>
      <c r="AR459" s="144"/>
      <c r="AS459" s="144"/>
      <c r="AT459" s="144"/>
      <c r="AU459" s="144"/>
      <c r="AV459" s="144"/>
    </row>
    <row r="460" spans="3:48" x14ac:dyDescent="0.25">
      <c r="F460" s="101"/>
      <c r="H460" s="101"/>
      <c r="AQ460" s="144"/>
      <c r="AR460" s="144"/>
      <c r="AS460" s="144"/>
      <c r="AT460" s="144"/>
      <c r="AU460" s="144"/>
      <c r="AV460" s="144"/>
    </row>
    <row r="461" spans="3:48" x14ac:dyDescent="0.25">
      <c r="F461" s="101"/>
      <c r="H461" s="101"/>
      <c r="AQ461" s="144"/>
      <c r="AR461" s="144"/>
      <c r="AS461" s="144"/>
      <c r="AT461" s="144"/>
      <c r="AU461" s="144"/>
      <c r="AV461" s="144"/>
    </row>
    <row r="462" spans="3:48" x14ac:dyDescent="0.25">
      <c r="C462" s="144"/>
      <c r="D462" s="144"/>
      <c r="E462" s="144"/>
      <c r="F462" s="144"/>
      <c r="G462" s="144"/>
      <c r="H462" s="232"/>
      <c r="I462" s="144"/>
      <c r="J462" s="144"/>
      <c r="K462" s="144"/>
      <c r="L462" s="144"/>
      <c r="M462" s="144"/>
      <c r="N462" s="144"/>
      <c r="O462" s="144"/>
      <c r="P462" s="144"/>
      <c r="Q462" s="144"/>
      <c r="R462" s="144"/>
      <c r="S462" s="144"/>
      <c r="T462" s="144"/>
      <c r="U462" s="232"/>
      <c r="V462" s="232"/>
      <c r="W462" s="144"/>
      <c r="X462" s="144"/>
      <c r="Y462" s="144"/>
      <c r="Z462" s="144"/>
      <c r="AA462" s="144"/>
      <c r="AB462" s="144"/>
      <c r="AC462" s="144"/>
      <c r="AD462" s="144"/>
      <c r="AE462" s="232"/>
      <c r="AF462" s="144"/>
      <c r="AG462" s="144"/>
      <c r="AH462" s="232"/>
      <c r="AI462" s="232"/>
      <c r="AJ462" s="144"/>
      <c r="AK462" s="144"/>
      <c r="AL462" s="144"/>
      <c r="AM462" s="144"/>
      <c r="AN462" s="144"/>
      <c r="AO462" s="144"/>
      <c r="AP462" s="144"/>
      <c r="AQ462" s="144"/>
      <c r="AR462" s="144"/>
      <c r="AS462" s="144"/>
      <c r="AT462" s="144"/>
      <c r="AU462" s="144"/>
      <c r="AV462" s="144"/>
    </row>
    <row r="463" spans="3:48" x14ac:dyDescent="0.25">
      <c r="C463" s="144"/>
      <c r="D463" s="144"/>
      <c r="E463" s="144"/>
      <c r="F463" s="144"/>
      <c r="G463" s="144"/>
      <c r="H463" s="232"/>
      <c r="I463" s="144"/>
      <c r="J463" s="144"/>
      <c r="K463" s="144"/>
      <c r="L463" s="144"/>
      <c r="M463" s="144"/>
      <c r="N463" s="144"/>
      <c r="O463" s="144"/>
      <c r="P463" s="144"/>
      <c r="Q463" s="144"/>
      <c r="R463" s="144"/>
      <c r="S463" s="144"/>
      <c r="T463" s="144"/>
      <c r="U463" s="232"/>
      <c r="V463" s="232"/>
      <c r="W463" s="144"/>
      <c r="X463" s="144"/>
      <c r="Y463" s="144"/>
      <c r="Z463" s="144"/>
      <c r="AA463" s="144"/>
      <c r="AB463" s="144"/>
      <c r="AC463" s="144"/>
      <c r="AD463" s="144"/>
      <c r="AE463" s="232"/>
      <c r="AF463" s="144"/>
      <c r="AG463" s="144"/>
      <c r="AH463" s="232"/>
      <c r="AI463" s="232"/>
      <c r="AJ463" s="144"/>
      <c r="AK463" s="144"/>
      <c r="AL463" s="144"/>
      <c r="AM463" s="144"/>
      <c r="AN463" s="144"/>
      <c r="AO463" s="144"/>
      <c r="AP463" s="144"/>
      <c r="AQ463" s="144"/>
      <c r="AR463" s="144"/>
      <c r="AS463" s="144"/>
      <c r="AT463" s="144"/>
      <c r="AU463" s="144"/>
      <c r="AV463" s="144"/>
    </row>
    <row r="464" spans="3:48" x14ac:dyDescent="0.25">
      <c r="C464" s="144"/>
      <c r="D464" s="144"/>
      <c r="E464" s="144"/>
      <c r="F464" s="144"/>
      <c r="G464" s="144"/>
      <c r="H464" s="232"/>
      <c r="I464" s="144"/>
      <c r="J464" s="144"/>
      <c r="K464" s="144"/>
      <c r="L464" s="144"/>
      <c r="M464" s="144"/>
      <c r="N464" s="144"/>
      <c r="O464" s="144"/>
      <c r="P464" s="144"/>
      <c r="Q464" s="144"/>
      <c r="R464" s="144"/>
      <c r="S464" s="144"/>
      <c r="T464" s="144"/>
      <c r="U464" s="232"/>
      <c r="V464" s="232"/>
      <c r="W464" s="144"/>
      <c r="X464" s="144"/>
      <c r="Y464" s="144"/>
      <c r="Z464" s="144"/>
      <c r="AA464" s="144"/>
      <c r="AB464" s="144"/>
      <c r="AC464" s="144"/>
      <c r="AD464" s="144"/>
      <c r="AE464" s="232"/>
      <c r="AF464" s="144"/>
      <c r="AG464" s="144"/>
      <c r="AH464" s="232"/>
      <c r="AI464" s="232"/>
      <c r="AJ464" s="144"/>
      <c r="AK464" s="144"/>
      <c r="AL464" s="144"/>
      <c r="AM464" s="144"/>
      <c r="AN464" s="144"/>
      <c r="AO464" s="144"/>
      <c r="AP464" s="144"/>
      <c r="AQ464" s="144"/>
      <c r="AR464" s="144"/>
      <c r="AS464" s="144"/>
      <c r="AT464" s="144"/>
      <c r="AU464" s="144"/>
      <c r="AV464" s="144"/>
    </row>
    <row r="465" spans="3:48" x14ac:dyDescent="0.25">
      <c r="C465" s="144"/>
      <c r="D465" s="144"/>
      <c r="E465" s="144"/>
      <c r="F465" s="144"/>
      <c r="G465" s="144"/>
      <c r="H465" s="232"/>
      <c r="I465" s="144"/>
      <c r="J465" s="144"/>
      <c r="K465" s="144"/>
      <c r="L465" s="144"/>
      <c r="M465" s="144"/>
      <c r="N465" s="144"/>
      <c r="O465" s="144"/>
      <c r="P465" s="144"/>
      <c r="Q465" s="144"/>
      <c r="R465" s="144"/>
      <c r="S465" s="144"/>
      <c r="T465" s="144"/>
      <c r="U465" s="232"/>
      <c r="V465" s="232"/>
      <c r="W465" s="144"/>
      <c r="X465" s="144"/>
      <c r="Y465" s="144"/>
      <c r="Z465" s="144"/>
      <c r="AA465" s="144"/>
      <c r="AB465" s="144"/>
      <c r="AC465" s="144"/>
      <c r="AD465" s="144"/>
      <c r="AE465" s="232"/>
      <c r="AF465" s="144"/>
      <c r="AG465" s="144"/>
      <c r="AH465" s="232"/>
      <c r="AI465" s="232"/>
      <c r="AJ465" s="144"/>
      <c r="AK465" s="144"/>
      <c r="AL465" s="144"/>
      <c r="AM465" s="144"/>
      <c r="AN465" s="144"/>
      <c r="AO465" s="144"/>
      <c r="AP465" s="144"/>
      <c r="AQ465" s="144"/>
      <c r="AR465" s="144"/>
      <c r="AS465" s="144"/>
      <c r="AT465" s="144"/>
      <c r="AU465" s="144"/>
      <c r="AV465" s="144"/>
    </row>
    <row r="466" spans="3:48" x14ac:dyDescent="0.25">
      <c r="C466" s="144"/>
      <c r="D466" s="144"/>
      <c r="E466" s="144"/>
      <c r="F466" s="144"/>
      <c r="G466" s="144"/>
      <c r="H466" s="232"/>
      <c r="I466" s="144"/>
      <c r="J466" s="144"/>
      <c r="K466" s="144"/>
      <c r="L466" s="144"/>
      <c r="M466" s="144"/>
      <c r="N466" s="144"/>
      <c r="O466" s="144"/>
      <c r="P466" s="144"/>
      <c r="Q466" s="144"/>
      <c r="R466" s="144"/>
      <c r="S466" s="144"/>
      <c r="T466" s="144"/>
      <c r="U466" s="232"/>
      <c r="V466" s="232"/>
      <c r="W466" s="144"/>
      <c r="X466" s="144"/>
      <c r="Y466" s="144"/>
      <c r="Z466" s="144"/>
      <c r="AA466" s="144"/>
      <c r="AB466" s="144"/>
      <c r="AC466" s="144"/>
      <c r="AD466" s="144"/>
      <c r="AE466" s="232"/>
      <c r="AF466" s="144"/>
      <c r="AG466" s="144"/>
      <c r="AH466" s="232"/>
      <c r="AI466" s="232"/>
      <c r="AJ466" s="144"/>
      <c r="AK466" s="144"/>
      <c r="AL466" s="144"/>
      <c r="AM466" s="144"/>
      <c r="AN466" s="144"/>
      <c r="AO466" s="144"/>
      <c r="AP466" s="144"/>
      <c r="AQ466" s="144"/>
      <c r="AR466" s="144"/>
      <c r="AS466" s="144"/>
      <c r="AT466" s="144"/>
      <c r="AU466" s="144"/>
      <c r="AV466" s="144"/>
    </row>
    <row r="467" spans="3:48" x14ac:dyDescent="0.25">
      <c r="C467" s="144"/>
      <c r="D467" s="144"/>
      <c r="E467" s="144"/>
      <c r="F467" s="144"/>
      <c r="G467" s="144"/>
      <c r="H467" s="232"/>
      <c r="I467" s="144"/>
      <c r="J467" s="144"/>
      <c r="K467" s="144"/>
      <c r="L467" s="144"/>
      <c r="M467" s="144"/>
      <c r="N467" s="144"/>
      <c r="O467" s="144"/>
      <c r="P467" s="144"/>
      <c r="Q467" s="144"/>
      <c r="R467" s="144"/>
      <c r="S467" s="144"/>
      <c r="T467" s="144"/>
      <c r="U467" s="232"/>
      <c r="V467" s="232"/>
      <c r="W467" s="144"/>
      <c r="X467" s="144"/>
      <c r="Y467" s="144"/>
      <c r="Z467" s="144"/>
      <c r="AA467" s="144"/>
      <c r="AB467" s="144"/>
      <c r="AC467" s="144"/>
      <c r="AD467" s="144"/>
      <c r="AE467" s="232"/>
      <c r="AF467" s="144"/>
      <c r="AG467" s="144"/>
      <c r="AH467" s="232"/>
      <c r="AI467" s="232"/>
      <c r="AJ467" s="144"/>
      <c r="AK467" s="144"/>
      <c r="AL467" s="144"/>
      <c r="AM467" s="144"/>
      <c r="AN467" s="144"/>
      <c r="AO467" s="144"/>
      <c r="AP467" s="144"/>
      <c r="AQ467" s="144"/>
      <c r="AR467" s="144"/>
      <c r="AS467" s="144"/>
      <c r="AT467" s="144"/>
      <c r="AU467" s="144"/>
      <c r="AV467" s="144"/>
    </row>
    <row r="468" spans="3:48" x14ac:dyDescent="0.25">
      <c r="C468" s="144"/>
      <c r="D468" s="144"/>
      <c r="E468" s="144"/>
      <c r="F468" s="144"/>
      <c r="G468" s="144"/>
      <c r="H468" s="232"/>
      <c r="I468" s="144"/>
      <c r="J468" s="144"/>
      <c r="K468" s="144"/>
      <c r="L468" s="144"/>
      <c r="M468" s="144"/>
      <c r="N468" s="144"/>
      <c r="O468" s="144"/>
      <c r="P468" s="144"/>
      <c r="Q468" s="144"/>
      <c r="R468" s="144"/>
      <c r="S468" s="144"/>
      <c r="T468" s="144"/>
      <c r="U468" s="232"/>
      <c r="V468" s="232"/>
      <c r="W468" s="144"/>
      <c r="X468" s="144"/>
      <c r="Y468" s="144"/>
      <c r="Z468" s="144"/>
      <c r="AA468" s="144"/>
      <c r="AB468" s="144"/>
      <c r="AC468" s="144"/>
      <c r="AD468" s="144"/>
      <c r="AE468" s="232"/>
      <c r="AF468" s="144"/>
      <c r="AG468" s="144"/>
      <c r="AH468" s="232"/>
      <c r="AI468" s="232"/>
      <c r="AJ468" s="144"/>
      <c r="AK468" s="144"/>
      <c r="AL468" s="144"/>
      <c r="AM468" s="144"/>
      <c r="AN468" s="144"/>
      <c r="AO468" s="144"/>
      <c r="AP468" s="144"/>
      <c r="AQ468" s="144"/>
      <c r="AR468" s="144"/>
      <c r="AS468" s="144"/>
      <c r="AT468" s="144"/>
      <c r="AU468" s="144"/>
      <c r="AV468" s="144"/>
    </row>
    <row r="469" spans="3:48" x14ac:dyDescent="0.25">
      <c r="C469" s="144"/>
      <c r="D469" s="144"/>
      <c r="E469" s="144"/>
      <c r="F469" s="144"/>
      <c r="G469" s="144"/>
      <c r="H469" s="232"/>
      <c r="I469" s="144"/>
      <c r="J469" s="144"/>
      <c r="K469" s="144"/>
      <c r="L469" s="144"/>
      <c r="M469" s="144"/>
      <c r="N469" s="144"/>
      <c r="O469" s="144"/>
      <c r="P469" s="144"/>
      <c r="Q469" s="144"/>
      <c r="R469" s="144"/>
      <c r="S469" s="144"/>
      <c r="T469" s="144"/>
      <c r="U469" s="232"/>
      <c r="V469" s="232"/>
      <c r="W469" s="144"/>
      <c r="X469" s="144"/>
      <c r="Y469" s="144"/>
      <c r="Z469" s="144"/>
      <c r="AA469" s="144"/>
      <c r="AB469" s="144"/>
      <c r="AC469" s="144"/>
      <c r="AD469" s="144"/>
      <c r="AE469" s="232"/>
      <c r="AF469" s="144"/>
      <c r="AG469" s="144"/>
      <c r="AH469" s="232"/>
      <c r="AI469" s="232"/>
      <c r="AJ469" s="144"/>
      <c r="AK469" s="144"/>
      <c r="AL469" s="144"/>
      <c r="AM469" s="144"/>
      <c r="AN469" s="144"/>
      <c r="AO469" s="144"/>
      <c r="AP469" s="144"/>
      <c r="AQ469" s="144"/>
      <c r="AR469" s="144"/>
      <c r="AS469" s="144"/>
      <c r="AT469" s="144"/>
      <c r="AU469" s="144"/>
      <c r="AV469" s="144"/>
    </row>
    <row r="470" spans="3:48" x14ac:dyDescent="0.25">
      <c r="C470" s="144"/>
      <c r="D470" s="144"/>
      <c r="E470" s="144"/>
      <c r="F470" s="144"/>
      <c r="G470" s="144"/>
      <c r="H470" s="232"/>
      <c r="I470" s="144"/>
      <c r="J470" s="144"/>
      <c r="K470" s="144"/>
      <c r="L470" s="144"/>
      <c r="M470" s="144"/>
      <c r="N470" s="144"/>
      <c r="O470" s="144"/>
      <c r="P470" s="144"/>
      <c r="Q470" s="144"/>
      <c r="R470" s="144"/>
      <c r="S470" s="144"/>
      <c r="T470" s="144"/>
      <c r="U470" s="232"/>
      <c r="V470" s="232"/>
      <c r="W470" s="144"/>
      <c r="X470" s="144"/>
      <c r="Y470" s="144"/>
      <c r="Z470" s="144"/>
      <c r="AA470" s="144"/>
      <c r="AB470" s="144"/>
      <c r="AC470" s="144"/>
      <c r="AD470" s="144"/>
      <c r="AE470" s="232"/>
      <c r="AF470" s="144"/>
      <c r="AG470" s="144"/>
      <c r="AH470" s="232"/>
      <c r="AI470" s="232"/>
      <c r="AJ470" s="144"/>
      <c r="AK470" s="144"/>
      <c r="AL470" s="144"/>
      <c r="AM470" s="144"/>
      <c r="AN470" s="144"/>
      <c r="AO470" s="144"/>
      <c r="AP470" s="144"/>
      <c r="AQ470" s="144"/>
      <c r="AR470" s="144"/>
      <c r="AS470" s="144"/>
      <c r="AT470" s="144"/>
      <c r="AU470" s="144"/>
      <c r="AV470" s="144"/>
    </row>
    <row r="471" spans="3:48" x14ac:dyDescent="0.25">
      <c r="C471" s="144"/>
      <c r="D471" s="144"/>
      <c r="E471" s="144"/>
      <c r="F471" s="144"/>
      <c r="G471" s="144"/>
      <c r="H471" s="232"/>
      <c r="I471" s="144"/>
      <c r="J471" s="144"/>
      <c r="K471" s="144"/>
      <c r="L471" s="144"/>
      <c r="M471" s="144"/>
      <c r="N471" s="144"/>
      <c r="O471" s="144"/>
      <c r="P471" s="144"/>
      <c r="Q471" s="144"/>
      <c r="R471" s="144"/>
      <c r="S471" s="144"/>
      <c r="T471" s="144"/>
      <c r="U471" s="232"/>
      <c r="V471" s="232"/>
      <c r="W471" s="144"/>
      <c r="X471" s="144"/>
      <c r="Y471" s="144"/>
      <c r="Z471" s="144"/>
      <c r="AA471" s="144"/>
      <c r="AB471" s="144"/>
      <c r="AC471" s="144"/>
      <c r="AD471" s="144"/>
      <c r="AE471" s="232"/>
      <c r="AF471" s="144"/>
      <c r="AG471" s="144"/>
      <c r="AH471" s="232"/>
      <c r="AI471" s="232"/>
      <c r="AJ471" s="144"/>
      <c r="AK471" s="144"/>
      <c r="AL471" s="144"/>
      <c r="AM471" s="144"/>
      <c r="AN471" s="144"/>
      <c r="AO471" s="144"/>
      <c r="AP471" s="144"/>
      <c r="AQ471" s="144"/>
      <c r="AR471" s="144"/>
      <c r="AS471" s="144"/>
      <c r="AT471" s="144"/>
      <c r="AU471" s="144"/>
      <c r="AV471" s="144"/>
    </row>
    <row r="472" spans="3:48" x14ac:dyDescent="0.25">
      <c r="C472" s="144"/>
      <c r="D472" s="144"/>
      <c r="E472" s="144"/>
      <c r="F472" s="144"/>
      <c r="G472" s="144"/>
      <c r="H472" s="232"/>
      <c r="I472" s="144"/>
      <c r="J472" s="144"/>
      <c r="K472" s="144"/>
      <c r="L472" s="144"/>
      <c r="M472" s="144"/>
      <c r="N472" s="144"/>
      <c r="O472" s="144"/>
      <c r="P472" s="144"/>
      <c r="Q472" s="144"/>
      <c r="R472" s="144"/>
      <c r="S472" s="144"/>
      <c r="T472" s="144"/>
      <c r="U472" s="232"/>
      <c r="V472" s="232"/>
      <c r="W472" s="144"/>
      <c r="X472" s="144"/>
      <c r="Y472" s="144"/>
      <c r="Z472" s="144"/>
      <c r="AA472" s="144"/>
      <c r="AB472" s="144"/>
      <c r="AC472" s="144"/>
      <c r="AD472" s="144"/>
      <c r="AE472" s="232"/>
      <c r="AF472" s="144"/>
      <c r="AG472" s="144"/>
      <c r="AH472" s="232"/>
      <c r="AI472" s="232"/>
      <c r="AJ472" s="144"/>
      <c r="AK472" s="144"/>
      <c r="AL472" s="144"/>
      <c r="AM472" s="144"/>
      <c r="AN472" s="144"/>
      <c r="AO472" s="144"/>
      <c r="AP472" s="144"/>
      <c r="AQ472" s="144"/>
      <c r="AR472" s="144"/>
      <c r="AS472" s="144"/>
      <c r="AT472" s="144"/>
      <c r="AU472" s="144"/>
      <c r="AV472" s="144"/>
    </row>
    <row r="473" spans="3:48" x14ac:dyDescent="0.25">
      <c r="C473" s="144"/>
      <c r="D473" s="144"/>
      <c r="E473" s="144"/>
      <c r="F473" s="144"/>
      <c r="G473" s="144"/>
      <c r="H473" s="232"/>
      <c r="I473" s="144"/>
      <c r="J473" s="144"/>
      <c r="K473" s="144"/>
      <c r="L473" s="144"/>
      <c r="M473" s="144"/>
      <c r="N473" s="144"/>
      <c r="O473" s="144"/>
      <c r="P473" s="144"/>
      <c r="Q473" s="144"/>
      <c r="R473" s="144"/>
      <c r="S473" s="144"/>
      <c r="T473" s="144"/>
      <c r="U473" s="232"/>
      <c r="V473" s="232"/>
      <c r="W473" s="144"/>
      <c r="X473" s="144"/>
      <c r="Y473" s="144"/>
      <c r="Z473" s="144"/>
      <c r="AA473" s="144"/>
      <c r="AB473" s="144"/>
      <c r="AC473" s="144"/>
      <c r="AD473" s="144"/>
      <c r="AE473" s="232"/>
      <c r="AF473" s="144"/>
      <c r="AG473" s="144"/>
      <c r="AH473" s="232"/>
      <c r="AI473" s="232"/>
      <c r="AJ473" s="144"/>
      <c r="AK473" s="144"/>
      <c r="AL473" s="144"/>
      <c r="AM473" s="144"/>
      <c r="AN473" s="144"/>
      <c r="AO473" s="144"/>
      <c r="AP473" s="144"/>
      <c r="AQ473" s="144"/>
      <c r="AR473" s="144"/>
      <c r="AS473" s="144"/>
      <c r="AT473" s="144"/>
      <c r="AU473" s="144"/>
      <c r="AV473" s="144"/>
    </row>
    <row r="474" spans="3:48" x14ac:dyDescent="0.25">
      <c r="C474" s="144"/>
      <c r="D474" s="144"/>
      <c r="E474" s="144"/>
      <c r="F474" s="144"/>
      <c r="G474" s="144"/>
      <c r="H474" s="232"/>
      <c r="I474" s="144"/>
      <c r="J474" s="144"/>
      <c r="K474" s="144"/>
      <c r="L474" s="144"/>
      <c r="M474" s="144"/>
      <c r="N474" s="144"/>
      <c r="O474" s="144"/>
      <c r="P474" s="144"/>
      <c r="Q474" s="144"/>
      <c r="R474" s="144"/>
      <c r="S474" s="144"/>
      <c r="T474" s="144"/>
      <c r="U474" s="232"/>
      <c r="V474" s="232"/>
      <c r="W474" s="144"/>
      <c r="X474" s="144"/>
      <c r="Y474" s="144"/>
      <c r="Z474" s="144"/>
      <c r="AA474" s="144"/>
      <c r="AB474" s="144"/>
      <c r="AC474" s="144"/>
      <c r="AD474" s="144"/>
      <c r="AE474" s="232"/>
      <c r="AF474" s="144"/>
      <c r="AG474" s="144"/>
      <c r="AH474" s="232"/>
      <c r="AI474" s="232"/>
      <c r="AJ474" s="144"/>
      <c r="AK474" s="144"/>
      <c r="AL474" s="144"/>
      <c r="AM474" s="144"/>
      <c r="AN474" s="144"/>
      <c r="AO474" s="144"/>
      <c r="AP474" s="144"/>
      <c r="AQ474" s="144"/>
      <c r="AR474" s="144"/>
      <c r="AS474" s="144"/>
      <c r="AT474" s="144"/>
      <c r="AU474" s="144"/>
      <c r="AV474" s="144"/>
    </row>
    <row r="475" spans="3:48" x14ac:dyDescent="0.25">
      <c r="C475" s="144"/>
      <c r="D475" s="144"/>
      <c r="E475" s="144"/>
      <c r="F475" s="144"/>
      <c r="G475" s="144"/>
      <c r="H475" s="232"/>
      <c r="I475" s="144"/>
      <c r="J475" s="144"/>
      <c r="K475" s="144"/>
      <c r="L475" s="144"/>
      <c r="M475" s="144"/>
      <c r="N475" s="144"/>
      <c r="O475" s="144"/>
      <c r="P475" s="144"/>
      <c r="Q475" s="144"/>
      <c r="R475" s="144"/>
      <c r="S475" s="144"/>
      <c r="T475" s="144"/>
      <c r="U475" s="232"/>
      <c r="V475" s="232"/>
      <c r="W475" s="144"/>
      <c r="X475" s="144"/>
      <c r="Y475" s="144"/>
      <c r="Z475" s="144"/>
      <c r="AA475" s="144"/>
      <c r="AB475" s="144"/>
      <c r="AC475" s="144"/>
      <c r="AD475" s="144"/>
      <c r="AE475" s="232"/>
      <c r="AF475" s="144"/>
      <c r="AG475" s="144"/>
      <c r="AH475" s="232"/>
      <c r="AI475" s="232"/>
      <c r="AJ475" s="144"/>
      <c r="AK475" s="144"/>
      <c r="AL475" s="144"/>
      <c r="AM475" s="144"/>
      <c r="AN475" s="144"/>
      <c r="AO475" s="144"/>
      <c r="AP475" s="144"/>
      <c r="AQ475" s="144"/>
      <c r="AR475" s="144"/>
      <c r="AS475" s="144"/>
      <c r="AT475" s="144"/>
      <c r="AU475" s="144"/>
      <c r="AV475" s="144"/>
    </row>
    <row r="476" spans="3:48" x14ac:dyDescent="0.25">
      <c r="C476" s="144"/>
      <c r="D476" s="144"/>
      <c r="E476" s="144"/>
      <c r="F476" s="144"/>
      <c r="G476" s="144"/>
      <c r="H476" s="232"/>
      <c r="I476" s="144"/>
      <c r="J476" s="144"/>
      <c r="K476" s="144"/>
      <c r="L476" s="144"/>
      <c r="M476" s="144"/>
      <c r="N476" s="144"/>
      <c r="O476" s="144"/>
      <c r="P476" s="144"/>
      <c r="Q476" s="144"/>
      <c r="R476" s="144"/>
      <c r="S476" s="144"/>
      <c r="T476" s="144"/>
      <c r="U476" s="232"/>
      <c r="V476" s="232"/>
      <c r="W476" s="144"/>
      <c r="X476" s="144"/>
      <c r="Y476" s="144"/>
      <c r="Z476" s="144"/>
      <c r="AA476" s="144"/>
      <c r="AB476" s="144"/>
      <c r="AC476" s="144"/>
      <c r="AD476" s="144"/>
      <c r="AE476" s="232"/>
      <c r="AF476" s="144"/>
      <c r="AG476" s="144"/>
      <c r="AH476" s="232"/>
      <c r="AI476" s="232"/>
      <c r="AJ476" s="144"/>
      <c r="AK476" s="144"/>
      <c r="AL476" s="144"/>
      <c r="AM476" s="144"/>
      <c r="AN476" s="144"/>
      <c r="AO476" s="144"/>
      <c r="AP476" s="144"/>
      <c r="AQ476" s="144"/>
      <c r="AR476" s="144"/>
      <c r="AS476" s="144"/>
      <c r="AT476" s="144"/>
      <c r="AU476" s="144"/>
      <c r="AV476" s="144"/>
    </row>
    <row r="477" spans="3:48" x14ac:dyDescent="0.25">
      <c r="C477" s="144"/>
      <c r="D477" s="144"/>
      <c r="E477" s="144"/>
      <c r="F477" s="144"/>
      <c r="G477" s="144"/>
      <c r="H477" s="232"/>
      <c r="I477" s="144"/>
      <c r="J477" s="144"/>
      <c r="K477" s="144"/>
      <c r="L477" s="144"/>
      <c r="M477" s="144"/>
      <c r="N477" s="144"/>
      <c r="O477" s="144"/>
      <c r="P477" s="144"/>
      <c r="Q477" s="144"/>
      <c r="R477" s="144"/>
      <c r="S477" s="144"/>
      <c r="T477" s="144"/>
      <c r="U477" s="232"/>
      <c r="V477" s="232"/>
      <c r="W477" s="144"/>
      <c r="X477" s="144"/>
      <c r="Y477" s="144"/>
      <c r="Z477" s="144"/>
      <c r="AA477" s="144"/>
      <c r="AB477" s="144"/>
      <c r="AC477" s="144"/>
      <c r="AD477" s="144"/>
      <c r="AE477" s="232"/>
      <c r="AF477" s="144"/>
      <c r="AG477" s="144"/>
      <c r="AH477" s="232"/>
      <c r="AI477" s="232"/>
      <c r="AJ477" s="144"/>
      <c r="AK477" s="144"/>
      <c r="AL477" s="144"/>
      <c r="AM477" s="144"/>
      <c r="AN477" s="144"/>
      <c r="AO477" s="144"/>
      <c r="AP477" s="144"/>
      <c r="AQ477" s="144"/>
      <c r="AR477" s="144"/>
      <c r="AS477" s="144"/>
      <c r="AT477" s="144"/>
      <c r="AU477" s="144"/>
      <c r="AV477" s="144"/>
    </row>
    <row r="478" spans="3:48" x14ac:dyDescent="0.25">
      <c r="C478" s="144"/>
      <c r="D478" s="144"/>
      <c r="E478" s="144"/>
      <c r="F478" s="144"/>
      <c r="G478" s="144"/>
      <c r="H478" s="232"/>
      <c r="I478" s="144"/>
      <c r="J478" s="144"/>
      <c r="K478" s="144"/>
      <c r="L478" s="144"/>
      <c r="M478" s="144"/>
      <c r="N478" s="144"/>
      <c r="O478" s="144"/>
      <c r="P478" s="144"/>
      <c r="Q478" s="144"/>
      <c r="R478" s="144"/>
      <c r="S478" s="144"/>
      <c r="T478" s="144"/>
      <c r="U478" s="232"/>
      <c r="V478" s="232"/>
      <c r="W478" s="144"/>
      <c r="X478" s="144"/>
      <c r="Y478" s="144"/>
      <c r="Z478" s="144"/>
      <c r="AA478" s="144"/>
      <c r="AB478" s="144"/>
      <c r="AC478" s="144"/>
      <c r="AD478" s="144"/>
      <c r="AE478" s="232"/>
      <c r="AF478" s="144"/>
      <c r="AG478" s="144"/>
      <c r="AH478" s="232"/>
      <c r="AI478" s="232"/>
      <c r="AJ478" s="144"/>
      <c r="AK478" s="144"/>
      <c r="AL478" s="144"/>
      <c r="AM478" s="144"/>
      <c r="AN478" s="144"/>
      <c r="AO478" s="144"/>
      <c r="AP478" s="144"/>
      <c r="AQ478" s="144"/>
      <c r="AR478" s="144"/>
      <c r="AS478" s="144"/>
      <c r="AT478" s="144"/>
      <c r="AU478" s="144"/>
      <c r="AV478" s="144"/>
    </row>
    <row r="479" spans="3:48" x14ac:dyDescent="0.25">
      <c r="C479" s="144"/>
      <c r="D479" s="144"/>
      <c r="E479" s="144"/>
      <c r="F479" s="144"/>
      <c r="G479" s="144"/>
      <c r="H479" s="232"/>
      <c r="I479" s="144"/>
      <c r="J479" s="144"/>
      <c r="K479" s="144"/>
      <c r="L479" s="144"/>
      <c r="M479" s="144"/>
      <c r="N479" s="144"/>
      <c r="O479" s="144"/>
      <c r="P479" s="144"/>
      <c r="Q479" s="144"/>
      <c r="R479" s="144"/>
      <c r="S479" s="144"/>
      <c r="T479" s="144"/>
      <c r="U479" s="232"/>
      <c r="V479" s="232"/>
      <c r="W479" s="144"/>
      <c r="X479" s="144"/>
      <c r="Y479" s="144"/>
      <c r="Z479" s="144"/>
      <c r="AA479" s="144"/>
      <c r="AB479" s="144"/>
      <c r="AC479" s="144"/>
      <c r="AD479" s="144"/>
      <c r="AE479" s="232"/>
      <c r="AF479" s="144"/>
      <c r="AG479" s="144"/>
      <c r="AH479" s="232"/>
      <c r="AI479" s="232"/>
      <c r="AJ479" s="144"/>
      <c r="AK479" s="144"/>
      <c r="AL479" s="144"/>
      <c r="AM479" s="144"/>
      <c r="AN479" s="144"/>
      <c r="AO479" s="144"/>
      <c r="AP479" s="144"/>
      <c r="AQ479" s="144"/>
      <c r="AR479" s="144"/>
      <c r="AS479" s="144"/>
      <c r="AT479" s="144"/>
      <c r="AU479" s="144"/>
      <c r="AV479" s="144"/>
    </row>
    <row r="480" spans="3:48" x14ac:dyDescent="0.25">
      <c r="C480" s="144"/>
      <c r="D480" s="144"/>
      <c r="E480" s="144"/>
      <c r="F480" s="144"/>
      <c r="G480" s="144"/>
      <c r="H480" s="232"/>
      <c r="I480" s="144"/>
      <c r="J480" s="144"/>
      <c r="K480" s="144"/>
      <c r="L480" s="144"/>
      <c r="M480" s="144"/>
      <c r="N480" s="144"/>
      <c r="O480" s="144"/>
      <c r="P480" s="144"/>
      <c r="Q480" s="144"/>
      <c r="R480" s="144"/>
      <c r="S480" s="144"/>
      <c r="T480" s="144"/>
      <c r="U480" s="232"/>
      <c r="V480" s="232"/>
      <c r="W480" s="144"/>
      <c r="X480" s="144"/>
      <c r="Y480" s="144"/>
      <c r="Z480" s="144"/>
      <c r="AA480" s="144"/>
      <c r="AB480" s="144"/>
      <c r="AC480" s="144"/>
      <c r="AD480" s="144"/>
      <c r="AE480" s="232"/>
      <c r="AF480" s="144"/>
      <c r="AG480" s="144"/>
      <c r="AH480" s="232"/>
      <c r="AI480" s="232"/>
      <c r="AJ480" s="144"/>
      <c r="AK480" s="144"/>
      <c r="AL480" s="144"/>
      <c r="AM480" s="144"/>
      <c r="AN480" s="144"/>
      <c r="AO480" s="144"/>
      <c r="AP480" s="144"/>
      <c r="AQ480" s="144"/>
      <c r="AR480" s="144"/>
      <c r="AS480" s="144"/>
      <c r="AT480" s="144"/>
      <c r="AU480" s="144"/>
      <c r="AV480" s="144"/>
    </row>
    <row r="481" spans="3:48" x14ac:dyDescent="0.25">
      <c r="C481" s="144"/>
      <c r="D481" s="144"/>
      <c r="E481" s="144"/>
      <c r="F481" s="144"/>
      <c r="G481" s="144"/>
      <c r="H481" s="232"/>
      <c r="I481" s="144"/>
      <c r="J481" s="144"/>
      <c r="K481" s="144"/>
      <c r="L481" s="144"/>
      <c r="M481" s="144"/>
      <c r="N481" s="144"/>
      <c r="O481" s="144"/>
      <c r="P481" s="144"/>
      <c r="Q481" s="144"/>
      <c r="R481" s="144"/>
      <c r="S481" s="144"/>
      <c r="T481" s="144"/>
      <c r="U481" s="232"/>
      <c r="V481" s="232"/>
      <c r="W481" s="144"/>
      <c r="X481" s="144"/>
      <c r="Y481" s="144"/>
      <c r="Z481" s="144"/>
      <c r="AA481" s="144"/>
      <c r="AB481" s="144"/>
      <c r="AC481" s="144"/>
      <c r="AD481" s="144"/>
      <c r="AE481" s="232"/>
      <c r="AF481" s="144"/>
      <c r="AG481" s="144"/>
      <c r="AH481" s="232"/>
      <c r="AI481" s="232"/>
      <c r="AJ481" s="144"/>
      <c r="AK481" s="144"/>
      <c r="AL481" s="144"/>
      <c r="AM481" s="144"/>
      <c r="AN481" s="144"/>
      <c r="AO481" s="144"/>
      <c r="AP481" s="144"/>
      <c r="AQ481" s="144"/>
      <c r="AR481" s="144"/>
      <c r="AS481" s="144"/>
      <c r="AT481" s="144"/>
      <c r="AU481" s="144"/>
      <c r="AV481" s="144"/>
    </row>
    <row r="482" spans="3:48" x14ac:dyDescent="0.25">
      <c r="C482" s="144"/>
      <c r="D482" s="144"/>
      <c r="E482" s="144"/>
      <c r="F482" s="144"/>
      <c r="G482" s="144"/>
      <c r="H482" s="232"/>
      <c r="I482" s="144"/>
      <c r="J482" s="144"/>
      <c r="K482" s="144"/>
      <c r="L482" s="144"/>
      <c r="M482" s="144"/>
      <c r="N482" s="144"/>
      <c r="O482" s="144"/>
      <c r="P482" s="144"/>
      <c r="Q482" s="144"/>
      <c r="R482" s="144"/>
      <c r="S482" s="144"/>
      <c r="T482" s="144"/>
      <c r="U482" s="232"/>
      <c r="V482" s="232"/>
      <c r="W482" s="144"/>
      <c r="X482" s="144"/>
      <c r="Y482" s="144"/>
      <c r="Z482" s="144"/>
      <c r="AA482" s="144"/>
      <c r="AB482" s="144"/>
      <c r="AC482" s="144"/>
      <c r="AD482" s="144"/>
      <c r="AE482" s="232"/>
      <c r="AF482" s="144"/>
      <c r="AG482" s="144"/>
      <c r="AH482" s="232"/>
      <c r="AI482" s="232"/>
      <c r="AJ482" s="144"/>
      <c r="AK482" s="144"/>
      <c r="AL482" s="144"/>
      <c r="AM482" s="144"/>
      <c r="AN482" s="144"/>
      <c r="AO482" s="144"/>
      <c r="AP482" s="144"/>
      <c r="AQ482" s="144"/>
      <c r="AR482" s="144"/>
      <c r="AS482" s="144"/>
      <c r="AT482" s="144"/>
      <c r="AU482" s="144"/>
      <c r="AV482" s="144"/>
    </row>
    <row r="483" spans="3:48" x14ac:dyDescent="0.25">
      <c r="C483" s="144"/>
      <c r="D483" s="144"/>
      <c r="E483" s="144"/>
      <c r="F483" s="144"/>
      <c r="G483" s="144"/>
      <c r="H483" s="232"/>
      <c r="I483" s="144"/>
      <c r="J483" s="144"/>
      <c r="K483" s="144"/>
      <c r="L483" s="144"/>
      <c r="M483" s="144"/>
      <c r="N483" s="144"/>
      <c r="O483" s="144"/>
      <c r="P483" s="144"/>
      <c r="Q483" s="144"/>
      <c r="R483" s="144"/>
      <c r="S483" s="144"/>
      <c r="T483" s="144"/>
      <c r="U483" s="232"/>
      <c r="V483" s="232"/>
      <c r="W483" s="144"/>
      <c r="X483" s="144"/>
      <c r="Y483" s="144"/>
      <c r="Z483" s="144"/>
      <c r="AA483" s="144"/>
      <c r="AB483" s="144"/>
      <c r="AC483" s="144"/>
      <c r="AD483" s="144"/>
      <c r="AE483" s="232"/>
      <c r="AF483" s="144"/>
      <c r="AG483" s="144"/>
      <c r="AH483" s="232"/>
      <c r="AI483" s="232"/>
      <c r="AJ483" s="144"/>
      <c r="AK483" s="144"/>
      <c r="AL483" s="144"/>
      <c r="AM483" s="144"/>
      <c r="AN483" s="144"/>
      <c r="AO483" s="144"/>
      <c r="AP483" s="144"/>
      <c r="AQ483" s="144"/>
      <c r="AR483" s="144"/>
      <c r="AS483" s="144"/>
      <c r="AT483" s="144"/>
      <c r="AU483" s="144"/>
      <c r="AV483" s="144"/>
    </row>
    <row r="484" spans="3:48" x14ac:dyDescent="0.25">
      <c r="C484" s="144"/>
      <c r="D484" s="144"/>
      <c r="E484" s="144"/>
      <c r="F484" s="144"/>
      <c r="G484" s="144"/>
      <c r="H484" s="232"/>
      <c r="I484" s="144"/>
      <c r="J484" s="144"/>
      <c r="K484" s="144"/>
      <c r="L484" s="144"/>
      <c r="M484" s="144"/>
      <c r="N484" s="144"/>
      <c r="O484" s="144"/>
      <c r="P484" s="144"/>
      <c r="Q484" s="144"/>
      <c r="R484" s="144"/>
      <c r="S484" s="144"/>
      <c r="T484" s="144"/>
      <c r="U484" s="232"/>
      <c r="V484" s="232"/>
      <c r="W484" s="144"/>
      <c r="X484" s="144"/>
      <c r="Y484" s="144"/>
      <c r="Z484" s="144"/>
      <c r="AA484" s="144"/>
      <c r="AB484" s="144"/>
      <c r="AC484" s="144"/>
      <c r="AD484" s="144"/>
      <c r="AE484" s="232"/>
      <c r="AF484" s="144"/>
      <c r="AG484" s="144"/>
      <c r="AH484" s="232"/>
      <c r="AI484" s="232"/>
      <c r="AJ484" s="144"/>
      <c r="AK484" s="144"/>
      <c r="AL484" s="144"/>
      <c r="AM484" s="144"/>
      <c r="AN484" s="144"/>
      <c r="AO484" s="144"/>
      <c r="AP484" s="144"/>
      <c r="AQ484" s="144"/>
      <c r="AR484" s="144"/>
      <c r="AS484" s="144"/>
      <c r="AT484" s="144"/>
      <c r="AU484" s="144"/>
      <c r="AV484" s="144"/>
    </row>
    <row r="485" spans="3:48" x14ac:dyDescent="0.25">
      <c r="C485" s="144"/>
      <c r="D485" s="144"/>
      <c r="E485" s="144"/>
      <c r="F485" s="144"/>
      <c r="G485" s="144"/>
      <c r="H485" s="232"/>
      <c r="I485" s="144"/>
      <c r="J485" s="144"/>
      <c r="K485" s="144"/>
      <c r="L485" s="144"/>
      <c r="M485" s="144"/>
      <c r="N485" s="144"/>
      <c r="O485" s="144"/>
      <c r="P485" s="144"/>
      <c r="Q485" s="144"/>
      <c r="R485" s="144"/>
      <c r="S485" s="144"/>
      <c r="T485" s="144"/>
      <c r="U485" s="232"/>
      <c r="V485" s="232"/>
      <c r="W485" s="144"/>
      <c r="X485" s="144"/>
      <c r="Y485" s="144"/>
      <c r="Z485" s="144"/>
      <c r="AA485" s="144"/>
      <c r="AB485" s="144"/>
      <c r="AC485" s="144"/>
      <c r="AD485" s="144"/>
      <c r="AE485" s="232"/>
      <c r="AF485" s="144"/>
      <c r="AG485" s="144"/>
      <c r="AH485" s="232"/>
      <c r="AI485" s="232"/>
      <c r="AJ485" s="144"/>
      <c r="AK485" s="144"/>
      <c r="AL485" s="144"/>
      <c r="AM485" s="144"/>
      <c r="AN485" s="144"/>
      <c r="AO485" s="144"/>
      <c r="AP485" s="144"/>
      <c r="AQ485" s="144"/>
      <c r="AR485" s="144"/>
      <c r="AS485" s="144"/>
      <c r="AT485" s="144"/>
      <c r="AU485" s="144"/>
      <c r="AV485" s="144"/>
    </row>
    <row r="486" spans="3:48" x14ac:dyDescent="0.25">
      <c r="C486" s="144"/>
      <c r="D486" s="144"/>
      <c r="E486" s="144"/>
      <c r="F486" s="144"/>
      <c r="G486" s="144"/>
      <c r="H486" s="232"/>
      <c r="I486" s="144"/>
      <c r="J486" s="144"/>
      <c r="K486" s="144"/>
      <c r="L486" s="144"/>
      <c r="M486" s="144"/>
      <c r="N486" s="144"/>
      <c r="O486" s="144"/>
      <c r="P486" s="144"/>
      <c r="Q486" s="144"/>
      <c r="R486" s="144"/>
      <c r="S486" s="144"/>
      <c r="T486" s="144"/>
      <c r="U486" s="232"/>
      <c r="V486" s="232"/>
      <c r="W486" s="144"/>
      <c r="X486" s="144"/>
      <c r="Y486" s="144"/>
      <c r="Z486" s="144"/>
      <c r="AA486" s="144"/>
      <c r="AB486" s="144"/>
      <c r="AC486" s="144"/>
      <c r="AD486" s="144"/>
      <c r="AE486" s="232"/>
      <c r="AF486" s="144"/>
      <c r="AG486" s="144"/>
      <c r="AH486" s="232"/>
      <c r="AI486" s="232"/>
      <c r="AJ486" s="144"/>
      <c r="AK486" s="144"/>
      <c r="AL486" s="144"/>
      <c r="AM486" s="144"/>
      <c r="AN486" s="144"/>
      <c r="AO486" s="144"/>
      <c r="AP486" s="144"/>
      <c r="AQ486" s="144"/>
      <c r="AR486" s="144"/>
      <c r="AS486" s="144"/>
      <c r="AT486" s="144"/>
      <c r="AU486" s="144"/>
      <c r="AV486" s="144"/>
    </row>
    <row r="487" spans="3:48" x14ac:dyDescent="0.25">
      <c r="C487" s="144"/>
      <c r="D487" s="144"/>
      <c r="E487" s="144"/>
      <c r="F487" s="144"/>
      <c r="G487" s="144"/>
      <c r="H487" s="232"/>
      <c r="I487" s="144"/>
      <c r="J487" s="144"/>
      <c r="K487" s="144"/>
      <c r="L487" s="144"/>
      <c r="M487" s="144"/>
      <c r="N487" s="144"/>
      <c r="O487" s="144"/>
      <c r="P487" s="144"/>
      <c r="Q487" s="144"/>
      <c r="R487" s="144"/>
      <c r="S487" s="144"/>
      <c r="T487" s="144"/>
      <c r="U487" s="232"/>
      <c r="V487" s="232"/>
      <c r="W487" s="144"/>
      <c r="X487" s="144"/>
      <c r="Y487" s="144"/>
      <c r="Z487" s="144"/>
      <c r="AA487" s="144"/>
      <c r="AB487" s="144"/>
      <c r="AC487" s="144"/>
      <c r="AD487" s="144"/>
      <c r="AE487" s="232"/>
      <c r="AF487" s="144"/>
      <c r="AG487" s="144"/>
      <c r="AH487" s="232"/>
      <c r="AI487" s="232"/>
      <c r="AJ487" s="144"/>
      <c r="AK487" s="144"/>
      <c r="AL487" s="144"/>
      <c r="AM487" s="144"/>
      <c r="AN487" s="144"/>
      <c r="AO487" s="144"/>
      <c r="AP487" s="144"/>
      <c r="AQ487" s="144"/>
      <c r="AR487" s="144"/>
      <c r="AS487" s="144"/>
      <c r="AT487" s="144"/>
      <c r="AU487" s="144"/>
      <c r="AV487" s="144"/>
    </row>
    <row r="488" spans="3:48" x14ac:dyDescent="0.25">
      <c r="C488" s="144"/>
      <c r="D488" s="144"/>
      <c r="E488" s="144"/>
      <c r="F488" s="144"/>
      <c r="G488" s="144"/>
      <c r="H488" s="232"/>
      <c r="I488" s="144"/>
      <c r="J488" s="144"/>
      <c r="K488" s="144"/>
      <c r="L488" s="144"/>
      <c r="M488" s="144"/>
      <c r="N488" s="144"/>
      <c r="O488" s="144"/>
      <c r="P488" s="144"/>
      <c r="Q488" s="144"/>
      <c r="R488" s="144"/>
      <c r="S488" s="144"/>
      <c r="T488" s="144"/>
      <c r="U488" s="232"/>
      <c r="V488" s="232"/>
      <c r="W488" s="144"/>
      <c r="X488" s="144"/>
      <c r="Y488" s="144"/>
      <c r="Z488" s="144"/>
      <c r="AA488" s="144"/>
      <c r="AB488" s="144"/>
      <c r="AC488" s="144"/>
      <c r="AD488" s="144"/>
      <c r="AE488" s="232"/>
      <c r="AF488" s="144"/>
      <c r="AG488" s="144"/>
      <c r="AH488" s="232"/>
      <c r="AI488" s="232"/>
      <c r="AJ488" s="144"/>
      <c r="AK488" s="144"/>
      <c r="AL488" s="144"/>
      <c r="AM488" s="144"/>
      <c r="AN488" s="144"/>
      <c r="AO488" s="144"/>
      <c r="AP488" s="144"/>
      <c r="AQ488" s="144"/>
      <c r="AR488" s="144"/>
      <c r="AS488" s="144"/>
      <c r="AT488" s="144"/>
      <c r="AU488" s="144"/>
      <c r="AV488" s="144"/>
    </row>
    <row r="489" spans="3:48" x14ac:dyDescent="0.25">
      <c r="C489" s="144"/>
      <c r="D489" s="144"/>
      <c r="E489" s="144"/>
      <c r="F489" s="144"/>
      <c r="G489" s="144"/>
      <c r="H489" s="232"/>
      <c r="I489" s="144"/>
      <c r="J489" s="144"/>
      <c r="K489" s="144"/>
      <c r="L489" s="144"/>
      <c r="M489" s="144"/>
      <c r="N489" s="144"/>
      <c r="O489" s="144"/>
      <c r="P489" s="144"/>
      <c r="Q489" s="144"/>
      <c r="R489" s="144"/>
      <c r="S489" s="144"/>
      <c r="T489" s="144"/>
      <c r="U489" s="232"/>
      <c r="V489" s="232"/>
      <c r="W489" s="144"/>
      <c r="X489" s="144"/>
      <c r="Y489" s="144"/>
      <c r="Z489" s="144"/>
      <c r="AA489" s="144"/>
      <c r="AB489" s="144"/>
      <c r="AC489" s="144"/>
      <c r="AD489" s="144"/>
      <c r="AE489" s="232"/>
      <c r="AF489" s="144"/>
      <c r="AG489" s="144"/>
      <c r="AH489" s="232"/>
      <c r="AI489" s="232"/>
      <c r="AJ489" s="144"/>
      <c r="AK489" s="144"/>
      <c r="AL489" s="144"/>
      <c r="AM489" s="144"/>
      <c r="AN489" s="144"/>
      <c r="AO489" s="144"/>
      <c r="AP489" s="144"/>
      <c r="AQ489" s="144"/>
      <c r="AR489" s="144"/>
      <c r="AS489" s="144"/>
      <c r="AT489" s="144"/>
      <c r="AU489" s="144"/>
      <c r="AV489" s="144"/>
    </row>
    <row r="490" spans="3:48" x14ac:dyDescent="0.25">
      <c r="C490" s="144"/>
      <c r="D490" s="144"/>
      <c r="E490" s="144"/>
      <c r="F490" s="144"/>
      <c r="G490" s="144"/>
      <c r="H490" s="232"/>
      <c r="I490" s="144"/>
      <c r="J490" s="144"/>
      <c r="K490" s="144"/>
      <c r="L490" s="144"/>
      <c r="M490" s="144"/>
      <c r="N490" s="144"/>
      <c r="O490" s="144"/>
      <c r="P490" s="144"/>
      <c r="Q490" s="144"/>
      <c r="R490" s="144"/>
      <c r="S490" s="144"/>
      <c r="T490" s="144"/>
      <c r="U490" s="232"/>
      <c r="V490" s="232"/>
      <c r="W490" s="144"/>
      <c r="X490" s="144"/>
      <c r="Y490" s="144"/>
      <c r="Z490" s="144"/>
      <c r="AA490" s="144"/>
      <c r="AB490" s="144"/>
      <c r="AC490" s="144"/>
      <c r="AD490" s="144"/>
      <c r="AE490" s="232"/>
      <c r="AF490" s="144"/>
      <c r="AG490" s="144"/>
      <c r="AH490" s="232"/>
      <c r="AI490" s="232"/>
      <c r="AJ490" s="144"/>
      <c r="AK490" s="144"/>
      <c r="AL490" s="144"/>
      <c r="AM490" s="144"/>
      <c r="AN490" s="144"/>
      <c r="AO490" s="144"/>
      <c r="AP490" s="144"/>
      <c r="AQ490" s="144"/>
      <c r="AR490" s="144"/>
      <c r="AS490" s="144"/>
      <c r="AT490" s="144"/>
      <c r="AU490" s="144"/>
      <c r="AV490" s="144"/>
    </row>
    <row r="491" spans="3:48" x14ac:dyDescent="0.25">
      <c r="C491" s="144"/>
      <c r="D491" s="144"/>
      <c r="E491" s="144"/>
      <c r="F491" s="144"/>
      <c r="G491" s="144"/>
      <c r="H491" s="232"/>
      <c r="I491" s="144"/>
      <c r="J491" s="144"/>
      <c r="K491" s="144"/>
      <c r="L491" s="144"/>
      <c r="M491" s="144"/>
      <c r="N491" s="144"/>
      <c r="O491" s="144"/>
      <c r="P491" s="144"/>
      <c r="Q491" s="144"/>
      <c r="R491" s="144"/>
      <c r="S491" s="144"/>
      <c r="T491" s="144"/>
      <c r="U491" s="232"/>
      <c r="V491" s="232"/>
      <c r="W491" s="144"/>
      <c r="X491" s="144"/>
      <c r="Y491" s="144"/>
      <c r="Z491" s="144"/>
      <c r="AA491" s="144"/>
      <c r="AB491" s="144"/>
      <c r="AC491" s="144"/>
      <c r="AD491" s="144"/>
      <c r="AE491" s="232"/>
      <c r="AF491" s="144"/>
      <c r="AG491" s="144"/>
      <c r="AH491" s="232"/>
      <c r="AI491" s="232"/>
      <c r="AJ491" s="144"/>
      <c r="AK491" s="144"/>
      <c r="AL491" s="144"/>
      <c r="AM491" s="144"/>
      <c r="AN491" s="144"/>
      <c r="AO491" s="144"/>
      <c r="AP491" s="144"/>
      <c r="AQ491" s="144"/>
      <c r="AR491" s="144"/>
      <c r="AS491" s="144"/>
      <c r="AT491" s="144"/>
      <c r="AU491" s="144"/>
      <c r="AV491" s="144"/>
    </row>
    <row r="492" spans="3:48" x14ac:dyDescent="0.25">
      <c r="C492" s="144"/>
      <c r="D492" s="144"/>
      <c r="E492" s="144"/>
      <c r="F492" s="144"/>
      <c r="G492" s="144"/>
      <c r="H492" s="232"/>
      <c r="I492" s="144"/>
      <c r="J492" s="144"/>
      <c r="K492" s="144"/>
      <c r="L492" s="144"/>
      <c r="M492" s="144"/>
      <c r="N492" s="144"/>
      <c r="O492" s="144"/>
      <c r="P492" s="144"/>
      <c r="Q492" s="144"/>
      <c r="R492" s="144"/>
      <c r="S492" s="144"/>
      <c r="T492" s="144"/>
      <c r="U492" s="232"/>
      <c r="V492" s="232"/>
      <c r="W492" s="144"/>
      <c r="X492" s="144"/>
      <c r="Y492" s="144"/>
      <c r="Z492" s="144"/>
      <c r="AA492" s="144"/>
      <c r="AB492" s="144"/>
      <c r="AC492" s="144"/>
      <c r="AD492" s="144"/>
      <c r="AE492" s="232"/>
      <c r="AF492" s="144"/>
      <c r="AG492" s="144"/>
      <c r="AH492" s="232"/>
      <c r="AI492" s="232"/>
      <c r="AJ492" s="144"/>
      <c r="AK492" s="144"/>
      <c r="AL492" s="144"/>
      <c r="AM492" s="144"/>
      <c r="AN492" s="144"/>
      <c r="AO492" s="144"/>
      <c r="AP492" s="144"/>
      <c r="AQ492" s="144"/>
      <c r="AR492" s="144"/>
      <c r="AS492" s="144"/>
      <c r="AT492" s="144"/>
      <c r="AU492" s="144"/>
      <c r="AV492" s="144"/>
    </row>
    <row r="493" spans="3:48" x14ac:dyDescent="0.25">
      <c r="C493" s="144"/>
      <c r="D493" s="144"/>
      <c r="E493" s="144"/>
      <c r="F493" s="144"/>
      <c r="G493" s="144"/>
      <c r="H493" s="232"/>
      <c r="I493" s="144"/>
      <c r="J493" s="144"/>
      <c r="K493" s="144"/>
      <c r="L493" s="144"/>
      <c r="M493" s="144"/>
      <c r="N493" s="144"/>
      <c r="O493" s="144"/>
      <c r="P493" s="144"/>
      <c r="Q493" s="144"/>
      <c r="R493" s="144"/>
      <c r="S493" s="144"/>
      <c r="T493" s="144"/>
      <c r="U493" s="232"/>
      <c r="V493" s="232"/>
      <c r="W493" s="144"/>
      <c r="X493" s="144"/>
      <c r="Y493" s="144"/>
      <c r="Z493" s="144"/>
      <c r="AA493" s="144"/>
      <c r="AB493" s="144"/>
      <c r="AC493" s="144"/>
      <c r="AD493" s="144"/>
      <c r="AE493" s="232"/>
      <c r="AF493" s="144"/>
      <c r="AG493" s="144"/>
      <c r="AH493" s="232"/>
      <c r="AI493" s="232"/>
      <c r="AJ493" s="144"/>
      <c r="AK493" s="144"/>
      <c r="AL493" s="144"/>
      <c r="AM493" s="144"/>
      <c r="AN493" s="144"/>
      <c r="AO493" s="144"/>
      <c r="AP493" s="144"/>
      <c r="AQ493" s="144"/>
      <c r="AR493" s="144"/>
      <c r="AS493" s="144"/>
      <c r="AT493" s="144"/>
      <c r="AU493" s="144"/>
      <c r="AV493" s="144"/>
    </row>
    <row r="494" spans="3:48" x14ac:dyDescent="0.25">
      <c r="C494" s="144"/>
      <c r="D494" s="144"/>
      <c r="E494" s="144"/>
      <c r="F494" s="144"/>
      <c r="G494" s="144"/>
      <c r="H494" s="232"/>
      <c r="I494" s="144"/>
      <c r="J494" s="144"/>
      <c r="K494" s="144"/>
      <c r="L494" s="144"/>
      <c r="M494" s="144"/>
      <c r="N494" s="144"/>
      <c r="O494" s="144"/>
      <c r="P494" s="144"/>
      <c r="Q494" s="144"/>
      <c r="R494" s="144"/>
      <c r="S494" s="144"/>
      <c r="T494" s="144"/>
      <c r="U494" s="232"/>
      <c r="V494" s="232"/>
      <c r="W494" s="144"/>
      <c r="X494" s="144"/>
      <c r="Y494" s="144"/>
      <c r="Z494" s="144"/>
      <c r="AA494" s="144"/>
      <c r="AB494" s="144"/>
      <c r="AC494" s="144"/>
      <c r="AD494" s="144"/>
      <c r="AE494" s="232"/>
      <c r="AF494" s="144"/>
      <c r="AG494" s="144"/>
      <c r="AH494" s="232"/>
      <c r="AI494" s="232"/>
      <c r="AJ494" s="144"/>
      <c r="AK494" s="144"/>
      <c r="AL494" s="144"/>
      <c r="AM494" s="144"/>
      <c r="AN494" s="144"/>
      <c r="AO494" s="144"/>
      <c r="AP494" s="144"/>
      <c r="AQ494" s="144"/>
      <c r="AR494" s="144"/>
      <c r="AS494" s="144"/>
      <c r="AT494" s="144"/>
      <c r="AU494" s="144"/>
      <c r="AV494" s="144"/>
    </row>
    <row r="495" spans="3:48" x14ac:dyDescent="0.25">
      <c r="C495" s="144"/>
      <c r="D495" s="144"/>
      <c r="E495" s="144"/>
      <c r="F495" s="144"/>
      <c r="G495" s="144"/>
      <c r="H495" s="232"/>
      <c r="I495" s="144"/>
      <c r="J495" s="144"/>
      <c r="K495" s="144"/>
      <c r="L495" s="144"/>
      <c r="M495" s="144"/>
      <c r="N495" s="144"/>
      <c r="O495" s="144"/>
      <c r="P495" s="144"/>
      <c r="Q495" s="144"/>
      <c r="R495" s="144"/>
      <c r="S495" s="144"/>
      <c r="T495" s="144"/>
      <c r="U495" s="232"/>
      <c r="V495" s="232"/>
      <c r="W495" s="144"/>
      <c r="X495" s="144"/>
      <c r="Y495" s="144"/>
      <c r="Z495" s="144"/>
      <c r="AA495" s="144"/>
      <c r="AB495" s="144"/>
      <c r="AC495" s="144"/>
      <c r="AD495" s="144"/>
      <c r="AE495" s="232"/>
      <c r="AF495" s="144"/>
      <c r="AG495" s="144"/>
      <c r="AH495" s="232"/>
      <c r="AI495" s="232"/>
      <c r="AJ495" s="144"/>
      <c r="AK495" s="144"/>
      <c r="AL495" s="144"/>
      <c r="AM495" s="144"/>
      <c r="AN495" s="144"/>
      <c r="AO495" s="144"/>
      <c r="AP495" s="144"/>
      <c r="AQ495" s="144"/>
      <c r="AR495" s="144"/>
      <c r="AS495" s="144"/>
      <c r="AT495" s="144"/>
      <c r="AU495" s="144"/>
      <c r="AV495" s="144"/>
    </row>
    <row r="496" spans="3:48" x14ac:dyDescent="0.25">
      <c r="C496" s="144"/>
      <c r="D496" s="144"/>
      <c r="E496" s="144"/>
      <c r="F496" s="144"/>
      <c r="G496" s="144"/>
      <c r="H496" s="232"/>
      <c r="I496" s="144"/>
      <c r="J496" s="144"/>
      <c r="K496" s="144"/>
      <c r="L496" s="144"/>
      <c r="M496" s="144"/>
      <c r="N496" s="144"/>
      <c r="O496" s="144"/>
      <c r="P496" s="144"/>
      <c r="Q496" s="144"/>
      <c r="R496" s="144"/>
      <c r="S496" s="144"/>
      <c r="T496" s="144"/>
      <c r="U496" s="232"/>
      <c r="V496" s="232"/>
      <c r="W496" s="144"/>
      <c r="X496" s="144"/>
      <c r="Y496" s="144"/>
      <c r="Z496" s="144"/>
      <c r="AA496" s="144"/>
      <c r="AB496" s="144"/>
      <c r="AC496" s="144"/>
      <c r="AD496" s="144"/>
      <c r="AE496" s="232"/>
      <c r="AF496" s="144"/>
      <c r="AG496" s="144"/>
      <c r="AH496" s="232"/>
      <c r="AI496" s="232"/>
      <c r="AJ496" s="144"/>
      <c r="AK496" s="144"/>
      <c r="AL496" s="144"/>
      <c r="AM496" s="144"/>
      <c r="AN496" s="144"/>
      <c r="AO496" s="144"/>
      <c r="AP496" s="144"/>
      <c r="AQ496" s="144"/>
      <c r="AR496" s="144"/>
      <c r="AS496" s="144"/>
      <c r="AT496" s="144"/>
      <c r="AU496" s="144"/>
      <c r="AV496" s="144"/>
    </row>
    <row r="497" spans="3:48" x14ac:dyDescent="0.25">
      <c r="C497" s="144"/>
      <c r="D497" s="144"/>
      <c r="E497" s="144"/>
      <c r="F497" s="144"/>
      <c r="G497" s="144"/>
      <c r="H497" s="232"/>
      <c r="I497" s="144"/>
      <c r="J497" s="144"/>
      <c r="K497" s="144"/>
      <c r="L497" s="144"/>
      <c r="M497" s="144"/>
      <c r="N497" s="144"/>
      <c r="O497" s="144"/>
      <c r="P497" s="144"/>
      <c r="Q497" s="144"/>
      <c r="R497" s="144"/>
      <c r="S497" s="144"/>
      <c r="T497" s="144"/>
      <c r="U497" s="232"/>
      <c r="V497" s="232"/>
      <c r="W497" s="144"/>
      <c r="X497" s="144"/>
      <c r="Y497" s="144"/>
      <c r="Z497" s="144"/>
      <c r="AA497" s="144"/>
      <c r="AB497" s="144"/>
      <c r="AC497" s="144"/>
      <c r="AD497" s="144"/>
      <c r="AE497" s="232"/>
      <c r="AF497" s="144"/>
      <c r="AG497" s="144"/>
      <c r="AH497" s="232"/>
      <c r="AI497" s="232"/>
      <c r="AJ497" s="144"/>
      <c r="AK497" s="144"/>
      <c r="AL497" s="144"/>
      <c r="AM497" s="144"/>
      <c r="AN497" s="144"/>
      <c r="AO497" s="144"/>
      <c r="AP497" s="144"/>
      <c r="AQ497" s="144"/>
      <c r="AR497" s="144"/>
      <c r="AS497" s="144"/>
      <c r="AT497" s="144"/>
      <c r="AU497" s="144"/>
      <c r="AV497" s="144"/>
    </row>
    <row r="498" spans="3:48" x14ac:dyDescent="0.25">
      <c r="C498" s="144"/>
      <c r="D498" s="144"/>
      <c r="E498" s="144"/>
      <c r="F498" s="144"/>
      <c r="G498" s="144"/>
      <c r="H498" s="232"/>
      <c r="I498" s="144"/>
      <c r="J498" s="144"/>
      <c r="K498" s="144"/>
      <c r="L498" s="144"/>
      <c r="M498" s="144"/>
      <c r="N498" s="144"/>
      <c r="O498" s="144"/>
      <c r="P498" s="144"/>
      <c r="Q498" s="144"/>
      <c r="R498" s="144"/>
      <c r="S498" s="144"/>
      <c r="T498" s="144"/>
      <c r="U498" s="232"/>
      <c r="V498" s="232"/>
      <c r="W498" s="144"/>
      <c r="X498" s="144"/>
      <c r="Y498" s="144"/>
      <c r="Z498" s="144"/>
      <c r="AA498" s="144"/>
      <c r="AB498" s="144"/>
      <c r="AC498" s="144"/>
      <c r="AD498" s="144"/>
      <c r="AE498" s="232"/>
      <c r="AF498" s="144"/>
      <c r="AG498" s="144"/>
      <c r="AH498" s="232"/>
      <c r="AI498" s="232"/>
      <c r="AJ498" s="144"/>
      <c r="AK498" s="144"/>
      <c r="AL498" s="144"/>
      <c r="AM498" s="144"/>
      <c r="AN498" s="144"/>
      <c r="AO498" s="144"/>
      <c r="AP498" s="144"/>
      <c r="AQ498" s="144"/>
      <c r="AR498" s="144"/>
      <c r="AS498" s="144"/>
      <c r="AT498" s="144"/>
      <c r="AU498" s="144"/>
      <c r="AV498" s="144"/>
    </row>
    <row r="499" spans="3:48" x14ac:dyDescent="0.25">
      <c r="C499" s="144"/>
      <c r="D499" s="144"/>
      <c r="E499" s="144"/>
      <c r="F499" s="144"/>
      <c r="G499" s="144"/>
      <c r="H499" s="232"/>
      <c r="I499" s="144"/>
      <c r="J499" s="144"/>
      <c r="K499" s="144"/>
      <c r="L499" s="144"/>
      <c r="M499" s="144"/>
      <c r="N499" s="144"/>
      <c r="O499" s="144"/>
      <c r="P499" s="144"/>
      <c r="Q499" s="144"/>
      <c r="R499" s="144"/>
      <c r="S499" s="144"/>
      <c r="T499" s="144"/>
      <c r="U499" s="232"/>
      <c r="V499" s="232"/>
      <c r="W499" s="144"/>
      <c r="X499" s="144"/>
      <c r="Y499" s="144"/>
      <c r="Z499" s="144"/>
      <c r="AA499" s="144"/>
      <c r="AB499" s="144"/>
      <c r="AC499" s="144"/>
      <c r="AD499" s="144"/>
      <c r="AE499" s="232"/>
      <c r="AF499" s="144"/>
      <c r="AG499" s="144"/>
      <c r="AH499" s="232"/>
      <c r="AI499" s="232"/>
      <c r="AJ499" s="144"/>
      <c r="AK499" s="144"/>
      <c r="AL499" s="144"/>
      <c r="AM499" s="144"/>
      <c r="AN499" s="144"/>
      <c r="AO499" s="144"/>
      <c r="AP499" s="144"/>
      <c r="AQ499" s="144"/>
      <c r="AR499" s="144"/>
      <c r="AS499" s="144"/>
      <c r="AT499" s="144"/>
      <c r="AU499" s="144"/>
      <c r="AV499" s="144"/>
    </row>
    <row r="500" spans="3:48" x14ac:dyDescent="0.25">
      <c r="C500" s="144"/>
      <c r="D500" s="144"/>
      <c r="E500" s="144"/>
      <c r="F500" s="144"/>
      <c r="G500" s="144"/>
      <c r="H500" s="232"/>
      <c r="I500" s="144"/>
      <c r="J500" s="144"/>
      <c r="K500" s="144"/>
      <c r="L500" s="144"/>
      <c r="M500" s="144"/>
      <c r="N500" s="144"/>
      <c r="O500" s="144"/>
      <c r="P500" s="144"/>
      <c r="Q500" s="144"/>
      <c r="R500" s="144"/>
      <c r="S500" s="144"/>
      <c r="T500" s="144"/>
      <c r="U500" s="232"/>
      <c r="V500" s="232"/>
      <c r="W500" s="144"/>
      <c r="X500" s="144"/>
      <c r="Y500" s="144"/>
      <c r="Z500" s="144"/>
      <c r="AA500" s="144"/>
      <c r="AB500" s="144"/>
      <c r="AC500" s="144"/>
      <c r="AD500" s="144"/>
      <c r="AE500" s="232"/>
      <c r="AF500" s="144"/>
      <c r="AG500" s="144"/>
      <c r="AH500" s="232"/>
      <c r="AI500" s="232"/>
      <c r="AJ500" s="144"/>
      <c r="AK500" s="144"/>
      <c r="AL500" s="144"/>
      <c r="AM500" s="144"/>
      <c r="AN500" s="144"/>
      <c r="AO500" s="144"/>
      <c r="AP500" s="144"/>
      <c r="AQ500" s="144"/>
      <c r="AR500" s="144"/>
      <c r="AS500" s="144"/>
      <c r="AT500" s="144"/>
      <c r="AU500" s="144"/>
      <c r="AV500" s="144"/>
    </row>
    <row r="501" spans="3:48" x14ac:dyDescent="0.25">
      <c r="C501" s="144"/>
      <c r="D501" s="144"/>
      <c r="E501" s="144"/>
      <c r="F501" s="144"/>
      <c r="G501" s="144"/>
      <c r="H501" s="232"/>
      <c r="I501" s="144"/>
      <c r="J501" s="144"/>
      <c r="K501" s="144"/>
      <c r="L501" s="144"/>
      <c r="M501" s="144"/>
      <c r="N501" s="144"/>
      <c r="O501" s="144"/>
      <c r="P501" s="144"/>
      <c r="Q501" s="144"/>
      <c r="R501" s="144"/>
      <c r="S501" s="144"/>
      <c r="T501" s="144"/>
      <c r="U501" s="232"/>
      <c r="V501" s="232"/>
      <c r="W501" s="144"/>
      <c r="X501" s="144"/>
      <c r="Y501" s="144"/>
      <c r="Z501" s="144"/>
      <c r="AA501" s="144"/>
      <c r="AB501" s="144"/>
      <c r="AC501" s="144"/>
      <c r="AD501" s="144"/>
      <c r="AE501" s="232"/>
      <c r="AF501" s="144"/>
      <c r="AG501" s="144"/>
      <c r="AH501" s="232"/>
      <c r="AI501" s="232"/>
      <c r="AJ501" s="144"/>
      <c r="AK501" s="144"/>
      <c r="AL501" s="144"/>
      <c r="AM501" s="144"/>
      <c r="AN501" s="144"/>
      <c r="AO501" s="144"/>
      <c r="AP501" s="144"/>
      <c r="AQ501" s="144"/>
      <c r="AR501" s="144"/>
      <c r="AS501" s="144"/>
      <c r="AT501" s="144"/>
      <c r="AU501" s="144"/>
      <c r="AV501" s="144"/>
    </row>
    <row r="502" spans="3:48" x14ac:dyDescent="0.25">
      <c r="C502" s="144"/>
      <c r="D502" s="144"/>
      <c r="E502" s="144"/>
      <c r="F502" s="144"/>
      <c r="G502" s="144"/>
      <c r="H502" s="232"/>
      <c r="I502" s="144"/>
      <c r="J502" s="144"/>
      <c r="K502" s="144"/>
      <c r="L502" s="144"/>
      <c r="M502" s="144"/>
      <c r="N502" s="144"/>
      <c r="O502" s="144"/>
      <c r="P502" s="144"/>
      <c r="Q502" s="144"/>
      <c r="R502" s="144"/>
      <c r="S502" s="144"/>
      <c r="T502" s="144"/>
      <c r="U502" s="232"/>
      <c r="V502" s="232"/>
      <c r="W502" s="144"/>
      <c r="X502" s="144"/>
      <c r="Y502" s="144"/>
      <c r="Z502" s="144"/>
      <c r="AA502" s="144"/>
      <c r="AB502" s="144"/>
      <c r="AC502" s="144"/>
      <c r="AD502" s="144"/>
      <c r="AE502" s="232"/>
      <c r="AF502" s="144"/>
      <c r="AG502" s="144"/>
      <c r="AH502" s="232"/>
      <c r="AI502" s="232"/>
      <c r="AJ502" s="144"/>
      <c r="AK502" s="144"/>
      <c r="AL502" s="144"/>
      <c r="AM502" s="144"/>
      <c r="AN502" s="144"/>
      <c r="AO502" s="144"/>
      <c r="AP502" s="144"/>
      <c r="AQ502" s="144"/>
      <c r="AR502" s="144"/>
      <c r="AS502" s="144"/>
      <c r="AT502" s="144"/>
      <c r="AU502" s="144"/>
      <c r="AV502" s="144"/>
    </row>
    <row r="503" spans="3:48" x14ac:dyDescent="0.25">
      <c r="C503" s="144"/>
      <c r="D503" s="144"/>
      <c r="E503" s="144"/>
      <c r="F503" s="144"/>
      <c r="G503" s="144"/>
      <c r="H503" s="232"/>
      <c r="I503" s="144"/>
      <c r="J503" s="144"/>
      <c r="K503" s="144"/>
      <c r="L503" s="144"/>
      <c r="M503" s="144"/>
      <c r="N503" s="144"/>
      <c r="O503" s="144"/>
      <c r="P503" s="144"/>
      <c r="Q503" s="144"/>
      <c r="R503" s="144"/>
      <c r="S503" s="144"/>
      <c r="T503" s="144"/>
      <c r="U503" s="232"/>
      <c r="V503" s="232"/>
      <c r="W503" s="144"/>
      <c r="X503" s="144"/>
      <c r="Y503" s="144"/>
      <c r="Z503" s="144"/>
      <c r="AA503" s="144"/>
      <c r="AB503" s="144"/>
      <c r="AC503" s="144"/>
      <c r="AD503" s="144"/>
      <c r="AE503" s="232"/>
      <c r="AF503" s="144"/>
      <c r="AG503" s="144"/>
      <c r="AH503" s="232"/>
      <c r="AI503" s="232"/>
      <c r="AJ503" s="144"/>
      <c r="AK503" s="144"/>
      <c r="AL503" s="144"/>
      <c r="AM503" s="144"/>
      <c r="AN503" s="144"/>
      <c r="AO503" s="144"/>
      <c r="AP503" s="144"/>
      <c r="AQ503" s="144"/>
      <c r="AR503" s="144"/>
      <c r="AS503" s="144"/>
      <c r="AT503" s="144"/>
      <c r="AU503" s="144"/>
      <c r="AV503" s="144"/>
    </row>
    <row r="504" spans="3:48" x14ac:dyDescent="0.25">
      <c r="C504" s="144"/>
      <c r="D504" s="144"/>
      <c r="E504" s="144"/>
      <c r="F504" s="144"/>
      <c r="G504" s="144"/>
      <c r="H504" s="232"/>
      <c r="I504" s="144"/>
      <c r="J504" s="144"/>
      <c r="K504" s="144"/>
      <c r="L504" s="144"/>
      <c r="M504" s="144"/>
      <c r="N504" s="144"/>
      <c r="O504" s="144"/>
      <c r="P504" s="144"/>
      <c r="Q504" s="144"/>
      <c r="R504" s="144"/>
      <c r="S504" s="144"/>
      <c r="T504" s="144"/>
      <c r="U504" s="232"/>
      <c r="V504" s="232"/>
      <c r="W504" s="144"/>
      <c r="X504" s="144"/>
      <c r="Y504" s="144"/>
      <c r="Z504" s="144"/>
      <c r="AA504" s="144"/>
      <c r="AB504" s="144"/>
      <c r="AC504" s="144"/>
      <c r="AD504" s="144"/>
      <c r="AE504" s="232"/>
      <c r="AF504" s="144"/>
      <c r="AG504" s="144"/>
      <c r="AH504" s="232"/>
      <c r="AI504" s="232"/>
      <c r="AJ504" s="144"/>
      <c r="AK504" s="144"/>
      <c r="AL504" s="144"/>
      <c r="AM504" s="144"/>
      <c r="AN504" s="144"/>
      <c r="AO504" s="144"/>
      <c r="AP504" s="144"/>
      <c r="AQ504" s="144"/>
      <c r="AR504" s="144"/>
      <c r="AS504" s="144"/>
      <c r="AT504" s="144"/>
      <c r="AU504" s="144"/>
      <c r="AV504" s="144"/>
    </row>
    <row r="505" spans="3:48" x14ac:dyDescent="0.25">
      <c r="C505" s="144"/>
      <c r="D505" s="144"/>
      <c r="E505" s="144"/>
      <c r="F505" s="144"/>
      <c r="G505" s="144"/>
      <c r="H505" s="232"/>
      <c r="I505" s="144"/>
      <c r="J505" s="144"/>
      <c r="K505" s="144"/>
      <c r="L505" s="144"/>
      <c r="M505" s="144"/>
      <c r="N505" s="144"/>
      <c r="O505" s="144"/>
      <c r="P505" s="144"/>
      <c r="Q505" s="144"/>
      <c r="R505" s="144"/>
      <c r="S505" s="144"/>
      <c r="T505" s="144"/>
      <c r="U505" s="232"/>
      <c r="V505" s="232"/>
      <c r="W505" s="144"/>
      <c r="X505" s="144"/>
      <c r="Y505" s="144"/>
      <c r="Z505" s="144"/>
      <c r="AA505" s="144"/>
      <c r="AB505" s="144"/>
      <c r="AC505" s="144"/>
      <c r="AD505" s="144"/>
      <c r="AE505" s="232"/>
      <c r="AF505" s="144"/>
      <c r="AG505" s="144"/>
      <c r="AH505" s="232"/>
      <c r="AI505" s="232"/>
      <c r="AJ505" s="144"/>
      <c r="AK505" s="144"/>
      <c r="AL505" s="144"/>
      <c r="AM505" s="144"/>
      <c r="AN505" s="144"/>
      <c r="AO505" s="144"/>
      <c r="AP505" s="144"/>
      <c r="AQ505" s="144"/>
      <c r="AR505" s="144"/>
      <c r="AS505" s="144"/>
      <c r="AT505" s="144"/>
      <c r="AU505" s="144"/>
      <c r="AV505" s="144"/>
    </row>
    <row r="506" spans="3:48" x14ac:dyDescent="0.25">
      <c r="C506" s="144"/>
      <c r="D506" s="144"/>
      <c r="E506" s="144"/>
      <c r="F506" s="144"/>
      <c r="G506" s="144"/>
      <c r="H506" s="232"/>
      <c r="I506" s="144"/>
      <c r="J506" s="144"/>
      <c r="K506" s="144"/>
      <c r="L506" s="144"/>
      <c r="M506" s="144"/>
      <c r="N506" s="144"/>
      <c r="O506" s="144"/>
      <c r="P506" s="144"/>
      <c r="Q506" s="144"/>
      <c r="R506" s="144"/>
      <c r="S506" s="144"/>
      <c r="T506" s="144"/>
      <c r="U506" s="232"/>
      <c r="V506" s="232"/>
      <c r="W506" s="144"/>
      <c r="X506" s="144"/>
      <c r="Y506" s="144"/>
      <c r="Z506" s="144"/>
      <c r="AA506" s="144"/>
      <c r="AB506" s="144"/>
      <c r="AC506" s="144"/>
      <c r="AD506" s="144"/>
      <c r="AE506" s="232"/>
      <c r="AF506" s="144"/>
      <c r="AG506" s="144"/>
      <c r="AH506" s="232"/>
      <c r="AI506" s="232"/>
      <c r="AJ506" s="144"/>
      <c r="AK506" s="144"/>
      <c r="AL506" s="144"/>
      <c r="AM506" s="144"/>
      <c r="AN506" s="144"/>
      <c r="AO506" s="144"/>
      <c r="AP506" s="144"/>
      <c r="AQ506" s="144"/>
      <c r="AR506" s="144"/>
      <c r="AS506" s="144"/>
      <c r="AT506" s="144"/>
      <c r="AU506" s="144"/>
      <c r="AV506" s="144"/>
    </row>
    <row r="507" spans="3:48" x14ac:dyDescent="0.25">
      <c r="C507" s="144"/>
      <c r="D507" s="144"/>
      <c r="E507" s="144"/>
      <c r="F507" s="144"/>
      <c r="G507" s="144"/>
      <c r="H507" s="232"/>
      <c r="I507" s="144"/>
      <c r="J507" s="144"/>
      <c r="K507" s="144"/>
      <c r="L507" s="144"/>
      <c r="M507" s="144"/>
      <c r="N507" s="144"/>
      <c r="O507" s="144"/>
      <c r="P507" s="144"/>
      <c r="Q507" s="144"/>
      <c r="R507" s="144"/>
      <c r="S507" s="144"/>
      <c r="T507" s="144"/>
      <c r="U507" s="232"/>
      <c r="V507" s="232"/>
      <c r="W507" s="144"/>
      <c r="X507" s="144"/>
      <c r="Y507" s="144"/>
      <c r="Z507" s="144"/>
      <c r="AA507" s="144"/>
      <c r="AB507" s="144"/>
      <c r="AC507" s="144"/>
      <c r="AD507" s="144"/>
      <c r="AE507" s="232"/>
      <c r="AF507" s="144"/>
      <c r="AG507" s="144"/>
      <c r="AH507" s="232"/>
      <c r="AI507" s="232"/>
      <c r="AJ507" s="144"/>
      <c r="AK507" s="144"/>
      <c r="AL507" s="144"/>
      <c r="AM507" s="144"/>
      <c r="AN507" s="144"/>
      <c r="AO507" s="144"/>
      <c r="AP507" s="144"/>
      <c r="AQ507" s="144"/>
      <c r="AR507" s="144"/>
      <c r="AS507" s="144"/>
      <c r="AT507" s="144"/>
      <c r="AU507" s="144"/>
      <c r="AV507" s="144"/>
    </row>
    <row r="508" spans="3:48" x14ac:dyDescent="0.25">
      <c r="C508" s="144"/>
      <c r="D508" s="144"/>
      <c r="E508" s="144"/>
      <c r="F508" s="144"/>
      <c r="G508" s="144"/>
      <c r="H508" s="232"/>
      <c r="I508" s="144"/>
      <c r="J508" s="144"/>
      <c r="K508" s="144"/>
      <c r="L508" s="144"/>
      <c r="M508" s="144"/>
      <c r="N508" s="144"/>
      <c r="O508" s="144"/>
      <c r="P508" s="144"/>
      <c r="Q508" s="144"/>
      <c r="R508" s="144"/>
      <c r="S508" s="144"/>
      <c r="T508" s="144"/>
      <c r="U508" s="232"/>
      <c r="V508" s="232"/>
      <c r="W508" s="144"/>
      <c r="X508" s="144"/>
      <c r="Y508" s="144"/>
      <c r="Z508" s="144"/>
      <c r="AA508" s="144"/>
      <c r="AB508" s="144"/>
      <c r="AC508" s="144"/>
      <c r="AD508" s="144"/>
      <c r="AE508" s="232"/>
      <c r="AF508" s="144"/>
      <c r="AG508" s="144"/>
      <c r="AH508" s="232"/>
      <c r="AI508" s="232"/>
      <c r="AJ508" s="144"/>
      <c r="AK508" s="144"/>
      <c r="AL508" s="144"/>
      <c r="AM508" s="144"/>
      <c r="AN508" s="144"/>
      <c r="AO508" s="144"/>
      <c r="AP508" s="144"/>
      <c r="AQ508" s="144"/>
      <c r="AR508" s="144"/>
      <c r="AS508" s="144"/>
      <c r="AT508" s="144"/>
      <c r="AU508" s="144"/>
      <c r="AV508" s="144"/>
    </row>
    <row r="509" spans="3:48" x14ac:dyDescent="0.25">
      <c r="C509" s="144"/>
      <c r="D509" s="144"/>
      <c r="E509" s="144"/>
      <c r="F509" s="144"/>
      <c r="G509" s="144"/>
      <c r="H509" s="232"/>
      <c r="I509" s="144"/>
      <c r="J509" s="144"/>
      <c r="K509" s="144"/>
      <c r="L509" s="144"/>
      <c r="M509" s="144"/>
      <c r="N509" s="144"/>
      <c r="O509" s="144"/>
      <c r="P509" s="144"/>
      <c r="Q509" s="144"/>
      <c r="R509" s="144"/>
      <c r="S509" s="144"/>
      <c r="T509" s="144"/>
      <c r="U509" s="232"/>
      <c r="V509" s="232"/>
      <c r="W509" s="144"/>
      <c r="X509" s="144"/>
      <c r="Y509" s="144"/>
      <c r="Z509" s="144"/>
      <c r="AA509" s="144"/>
      <c r="AB509" s="144"/>
      <c r="AC509" s="144"/>
      <c r="AD509" s="144"/>
      <c r="AE509" s="232"/>
      <c r="AF509" s="144"/>
      <c r="AG509" s="144"/>
      <c r="AH509" s="232"/>
      <c r="AI509" s="232"/>
      <c r="AJ509" s="144"/>
      <c r="AK509" s="144"/>
      <c r="AL509" s="144"/>
      <c r="AM509" s="144"/>
      <c r="AN509" s="144"/>
      <c r="AO509" s="144"/>
      <c r="AP509" s="144"/>
      <c r="AQ509" s="144"/>
      <c r="AR509" s="144"/>
      <c r="AS509" s="144"/>
      <c r="AT509" s="144"/>
      <c r="AU509" s="144"/>
      <c r="AV509" s="144"/>
    </row>
    <row r="510" spans="3:48" x14ac:dyDescent="0.25">
      <c r="C510" s="144"/>
      <c r="D510" s="144"/>
      <c r="E510" s="144"/>
      <c r="F510" s="144"/>
      <c r="G510" s="144"/>
      <c r="H510" s="232"/>
      <c r="I510" s="144"/>
      <c r="J510" s="144"/>
      <c r="K510" s="144"/>
      <c r="L510" s="144"/>
      <c r="M510" s="144"/>
      <c r="N510" s="144"/>
      <c r="O510" s="144"/>
      <c r="P510" s="144"/>
      <c r="Q510" s="144"/>
      <c r="R510" s="144"/>
      <c r="S510" s="144"/>
      <c r="T510" s="144"/>
      <c r="U510" s="232"/>
      <c r="V510" s="232"/>
      <c r="W510" s="144"/>
      <c r="X510" s="144"/>
      <c r="Y510" s="144"/>
      <c r="Z510" s="144"/>
      <c r="AA510" s="144"/>
      <c r="AB510" s="144"/>
      <c r="AC510" s="144"/>
      <c r="AD510" s="144"/>
      <c r="AE510" s="232"/>
      <c r="AF510" s="144"/>
      <c r="AG510" s="144"/>
      <c r="AH510" s="232"/>
      <c r="AI510" s="232"/>
      <c r="AJ510" s="144"/>
      <c r="AK510" s="144"/>
      <c r="AL510" s="144"/>
      <c r="AM510" s="144"/>
      <c r="AN510" s="144"/>
      <c r="AO510" s="144"/>
      <c r="AP510" s="144"/>
      <c r="AQ510" s="144"/>
      <c r="AR510" s="144"/>
      <c r="AS510" s="144"/>
      <c r="AT510" s="144"/>
      <c r="AU510" s="144"/>
      <c r="AV510" s="144"/>
    </row>
    <row r="511" spans="3:48" x14ac:dyDescent="0.25">
      <c r="C511" s="144"/>
      <c r="D511" s="144"/>
      <c r="E511" s="144"/>
      <c r="F511" s="144"/>
      <c r="G511" s="144"/>
      <c r="H511" s="232"/>
      <c r="I511" s="144"/>
      <c r="J511" s="144"/>
      <c r="K511" s="144"/>
      <c r="L511" s="144"/>
      <c r="M511" s="144"/>
      <c r="N511" s="144"/>
      <c r="O511" s="144"/>
      <c r="P511" s="144"/>
      <c r="Q511" s="144"/>
      <c r="R511" s="144"/>
      <c r="S511" s="144"/>
      <c r="T511" s="144"/>
      <c r="U511" s="232"/>
      <c r="V511" s="232"/>
      <c r="W511" s="144"/>
      <c r="X511" s="144"/>
      <c r="Y511" s="144"/>
      <c r="Z511" s="144"/>
      <c r="AA511" s="144"/>
      <c r="AB511" s="144"/>
      <c r="AC511" s="144"/>
      <c r="AD511" s="144"/>
      <c r="AE511" s="232"/>
      <c r="AF511" s="144"/>
      <c r="AG511" s="144"/>
      <c r="AH511" s="232"/>
      <c r="AI511" s="232"/>
      <c r="AJ511" s="144"/>
      <c r="AK511" s="144"/>
      <c r="AL511" s="144"/>
      <c r="AM511" s="144"/>
      <c r="AN511" s="144"/>
      <c r="AO511" s="144"/>
      <c r="AP511" s="144"/>
      <c r="AQ511" s="144"/>
      <c r="AR511" s="144"/>
      <c r="AS511" s="144"/>
      <c r="AT511" s="144"/>
      <c r="AU511" s="144"/>
      <c r="AV511" s="144"/>
    </row>
    <row r="512" spans="3:48" x14ac:dyDescent="0.25">
      <c r="C512" s="144"/>
      <c r="D512" s="144"/>
      <c r="E512" s="144"/>
      <c r="F512" s="144"/>
      <c r="G512" s="144"/>
      <c r="H512" s="232"/>
      <c r="I512" s="144"/>
      <c r="J512" s="144"/>
      <c r="K512" s="144"/>
      <c r="L512" s="144"/>
      <c r="M512" s="144"/>
      <c r="N512" s="144"/>
      <c r="O512" s="144"/>
      <c r="P512" s="144"/>
      <c r="Q512" s="144"/>
      <c r="R512" s="144"/>
      <c r="S512" s="144"/>
      <c r="T512" s="144"/>
      <c r="U512" s="232"/>
      <c r="V512" s="232"/>
      <c r="W512" s="144"/>
      <c r="X512" s="144"/>
      <c r="Y512" s="144"/>
      <c r="Z512" s="144"/>
      <c r="AA512" s="144"/>
      <c r="AB512" s="144"/>
      <c r="AC512" s="144"/>
      <c r="AD512" s="144"/>
      <c r="AE512" s="232"/>
      <c r="AF512" s="144"/>
      <c r="AG512" s="144"/>
      <c r="AH512" s="232"/>
      <c r="AI512" s="232"/>
      <c r="AJ512" s="144"/>
      <c r="AK512" s="144"/>
      <c r="AL512" s="144"/>
      <c r="AM512" s="144"/>
      <c r="AN512" s="144"/>
      <c r="AO512" s="144"/>
      <c r="AP512" s="144"/>
      <c r="AQ512" s="144"/>
      <c r="AR512" s="144"/>
      <c r="AS512" s="144"/>
      <c r="AT512" s="144"/>
      <c r="AU512" s="144"/>
      <c r="AV512" s="144"/>
    </row>
    <row r="513" spans="3:48" x14ac:dyDescent="0.25">
      <c r="C513" s="144"/>
      <c r="D513" s="144"/>
      <c r="E513" s="144"/>
      <c r="F513" s="144"/>
      <c r="G513" s="144"/>
      <c r="H513" s="232"/>
      <c r="I513" s="144"/>
      <c r="J513" s="144"/>
      <c r="K513" s="144"/>
      <c r="L513" s="144"/>
      <c r="M513" s="144"/>
      <c r="N513" s="144"/>
      <c r="O513" s="144"/>
      <c r="P513" s="144"/>
      <c r="Q513" s="144"/>
      <c r="R513" s="144"/>
      <c r="S513" s="144"/>
      <c r="T513" s="144"/>
      <c r="U513" s="232"/>
      <c r="V513" s="232"/>
      <c r="W513" s="144"/>
      <c r="X513" s="144"/>
      <c r="Y513" s="144"/>
      <c r="Z513" s="144"/>
      <c r="AA513" s="144"/>
      <c r="AB513" s="144"/>
      <c r="AC513" s="144"/>
      <c r="AD513" s="144"/>
      <c r="AE513" s="232"/>
      <c r="AF513" s="144"/>
      <c r="AG513" s="144"/>
      <c r="AH513" s="232"/>
      <c r="AI513" s="232"/>
      <c r="AJ513" s="144"/>
      <c r="AK513" s="144"/>
      <c r="AL513" s="144"/>
      <c r="AM513" s="144"/>
      <c r="AN513" s="144"/>
      <c r="AO513" s="144"/>
      <c r="AP513" s="144"/>
      <c r="AQ513" s="144"/>
      <c r="AR513" s="144"/>
      <c r="AS513" s="144"/>
      <c r="AT513" s="144"/>
      <c r="AU513" s="144"/>
      <c r="AV513" s="144"/>
    </row>
    <row r="514" spans="3:48" x14ac:dyDescent="0.25">
      <c r="C514" s="144"/>
      <c r="D514" s="144"/>
      <c r="E514" s="144"/>
      <c r="F514" s="144"/>
      <c r="G514" s="144"/>
      <c r="H514" s="232"/>
      <c r="I514" s="144"/>
      <c r="J514" s="144"/>
      <c r="K514" s="144"/>
      <c r="L514" s="144"/>
      <c r="M514" s="144"/>
      <c r="N514" s="144"/>
      <c r="O514" s="144"/>
      <c r="P514" s="144"/>
      <c r="Q514" s="144"/>
      <c r="R514" s="144"/>
      <c r="S514" s="144"/>
      <c r="T514" s="144"/>
      <c r="U514" s="232"/>
      <c r="V514" s="232"/>
      <c r="W514" s="144"/>
      <c r="X514" s="144"/>
      <c r="Y514" s="144"/>
      <c r="Z514" s="144"/>
      <c r="AA514" s="144"/>
      <c r="AB514" s="144"/>
      <c r="AC514" s="144"/>
      <c r="AD514" s="144"/>
      <c r="AE514" s="232"/>
      <c r="AF514" s="144"/>
      <c r="AG514" s="144"/>
      <c r="AH514" s="232"/>
      <c r="AI514" s="232"/>
      <c r="AJ514" s="144"/>
      <c r="AK514" s="144"/>
      <c r="AL514" s="144"/>
      <c r="AM514" s="144"/>
      <c r="AN514" s="144"/>
      <c r="AO514" s="144"/>
      <c r="AP514" s="144"/>
      <c r="AQ514" s="144"/>
      <c r="AR514" s="144"/>
      <c r="AS514" s="144"/>
      <c r="AT514" s="144"/>
      <c r="AU514" s="144"/>
      <c r="AV514" s="144"/>
    </row>
    <row r="515" spans="3:48" x14ac:dyDescent="0.25">
      <c r="C515" s="144"/>
      <c r="D515" s="144"/>
      <c r="E515" s="144"/>
      <c r="F515" s="144"/>
      <c r="G515" s="144"/>
      <c r="H515" s="232"/>
      <c r="I515" s="144"/>
      <c r="J515" s="144"/>
      <c r="K515" s="144"/>
      <c r="L515" s="144"/>
      <c r="M515" s="144"/>
      <c r="N515" s="144"/>
      <c r="O515" s="144"/>
      <c r="P515" s="144"/>
      <c r="Q515" s="144"/>
      <c r="R515" s="144"/>
      <c r="S515" s="144"/>
      <c r="T515" s="144"/>
      <c r="U515" s="232"/>
      <c r="V515" s="232"/>
      <c r="W515" s="144"/>
      <c r="X515" s="144"/>
      <c r="Y515" s="144"/>
      <c r="Z515" s="144"/>
      <c r="AA515" s="144"/>
      <c r="AB515" s="144"/>
      <c r="AC515" s="144"/>
      <c r="AD515" s="144"/>
      <c r="AE515" s="232"/>
      <c r="AF515" s="144"/>
      <c r="AG515" s="144"/>
      <c r="AH515" s="232"/>
      <c r="AI515" s="232"/>
      <c r="AJ515" s="144"/>
      <c r="AK515" s="144"/>
      <c r="AL515" s="144"/>
      <c r="AM515" s="144"/>
      <c r="AN515" s="144"/>
      <c r="AO515" s="144"/>
      <c r="AP515" s="144"/>
      <c r="AQ515" s="144"/>
      <c r="AR515" s="144"/>
      <c r="AS515" s="144"/>
      <c r="AT515" s="144"/>
      <c r="AU515" s="144"/>
      <c r="AV515" s="144"/>
    </row>
    <row r="516" spans="3:48" x14ac:dyDescent="0.25">
      <c r="C516" s="144"/>
      <c r="D516" s="144"/>
      <c r="E516" s="144"/>
      <c r="F516" s="144"/>
      <c r="G516" s="144"/>
      <c r="H516" s="232"/>
      <c r="I516" s="144"/>
      <c r="J516" s="144"/>
      <c r="K516" s="144"/>
      <c r="L516" s="144"/>
      <c r="M516" s="144"/>
      <c r="N516" s="144"/>
      <c r="O516" s="144"/>
      <c r="P516" s="144"/>
      <c r="Q516" s="144"/>
      <c r="R516" s="144"/>
      <c r="S516" s="144"/>
      <c r="T516" s="144"/>
      <c r="U516" s="232"/>
      <c r="V516" s="232"/>
      <c r="W516" s="144"/>
      <c r="X516" s="144"/>
      <c r="Y516" s="144"/>
      <c r="Z516" s="144"/>
      <c r="AA516" s="144"/>
      <c r="AB516" s="144"/>
      <c r="AC516" s="144"/>
      <c r="AD516" s="144"/>
      <c r="AE516" s="232"/>
      <c r="AF516" s="144"/>
      <c r="AG516" s="144"/>
      <c r="AH516" s="232"/>
      <c r="AI516" s="232"/>
      <c r="AJ516" s="144"/>
      <c r="AK516" s="144"/>
      <c r="AL516" s="144"/>
      <c r="AM516" s="144"/>
      <c r="AN516" s="144"/>
      <c r="AO516" s="144"/>
      <c r="AP516" s="144"/>
      <c r="AQ516" s="144"/>
      <c r="AR516" s="144"/>
      <c r="AS516" s="144"/>
      <c r="AT516" s="144"/>
      <c r="AU516" s="144"/>
      <c r="AV516" s="144"/>
    </row>
    <row r="517" spans="3:48" x14ac:dyDescent="0.25">
      <c r="C517" s="144"/>
      <c r="D517" s="144"/>
      <c r="E517" s="144"/>
      <c r="F517" s="144"/>
      <c r="G517" s="144"/>
      <c r="H517" s="232"/>
      <c r="I517" s="144"/>
      <c r="J517" s="144"/>
      <c r="K517" s="144"/>
      <c r="L517" s="144"/>
      <c r="M517" s="144"/>
      <c r="N517" s="144"/>
      <c r="O517" s="144"/>
      <c r="P517" s="144"/>
      <c r="Q517" s="144"/>
      <c r="R517" s="144"/>
      <c r="S517" s="144"/>
      <c r="T517" s="144"/>
      <c r="U517" s="232"/>
      <c r="V517" s="232"/>
      <c r="W517" s="144"/>
      <c r="X517" s="144"/>
      <c r="Y517" s="144"/>
      <c r="Z517" s="144"/>
      <c r="AA517" s="144"/>
      <c r="AB517" s="144"/>
      <c r="AC517" s="144"/>
      <c r="AD517" s="144"/>
      <c r="AE517" s="232"/>
      <c r="AF517" s="144"/>
      <c r="AG517" s="144"/>
      <c r="AH517" s="232"/>
      <c r="AI517" s="232"/>
      <c r="AJ517" s="144"/>
      <c r="AK517" s="144"/>
      <c r="AL517" s="144"/>
      <c r="AM517" s="144"/>
      <c r="AN517" s="144"/>
      <c r="AO517" s="144"/>
      <c r="AP517" s="144"/>
      <c r="AQ517" s="144"/>
      <c r="AR517" s="144"/>
      <c r="AS517" s="144"/>
      <c r="AT517" s="144"/>
      <c r="AU517" s="144"/>
      <c r="AV517" s="144"/>
    </row>
    <row r="518" spans="3:48" x14ac:dyDescent="0.25">
      <c r="C518" s="144"/>
      <c r="D518" s="144"/>
      <c r="E518" s="144"/>
      <c r="F518" s="144"/>
      <c r="G518" s="144"/>
      <c r="H518" s="232"/>
      <c r="I518" s="144"/>
      <c r="J518" s="144"/>
      <c r="K518" s="144"/>
      <c r="L518" s="144"/>
      <c r="M518" s="144"/>
      <c r="N518" s="144"/>
      <c r="O518" s="144"/>
      <c r="P518" s="144"/>
      <c r="Q518" s="144"/>
      <c r="R518" s="144"/>
      <c r="S518" s="144"/>
      <c r="T518" s="144"/>
      <c r="U518" s="232"/>
      <c r="V518" s="232"/>
      <c r="W518" s="144"/>
      <c r="X518" s="144"/>
      <c r="Y518" s="144"/>
      <c r="Z518" s="144"/>
      <c r="AA518" s="144"/>
      <c r="AB518" s="144"/>
      <c r="AC518" s="144"/>
      <c r="AD518" s="144"/>
      <c r="AE518" s="232"/>
      <c r="AF518" s="144"/>
      <c r="AG518" s="144"/>
      <c r="AH518" s="232"/>
      <c r="AI518" s="232"/>
      <c r="AJ518" s="144"/>
      <c r="AK518" s="144"/>
      <c r="AL518" s="144"/>
      <c r="AM518" s="144"/>
      <c r="AN518" s="144"/>
      <c r="AO518" s="144"/>
      <c r="AP518" s="144"/>
      <c r="AQ518" s="144"/>
      <c r="AR518" s="144"/>
      <c r="AS518" s="144"/>
      <c r="AT518" s="144"/>
      <c r="AU518" s="144"/>
      <c r="AV518" s="144"/>
    </row>
    <row r="519" spans="3:48" x14ac:dyDescent="0.25">
      <c r="C519" s="144"/>
      <c r="D519" s="144"/>
      <c r="E519" s="144"/>
      <c r="F519" s="144"/>
      <c r="G519" s="144"/>
      <c r="H519" s="232"/>
      <c r="I519" s="144"/>
      <c r="J519" s="144"/>
      <c r="K519" s="144"/>
      <c r="L519" s="144"/>
      <c r="M519" s="144"/>
      <c r="N519" s="144"/>
      <c r="O519" s="144"/>
      <c r="P519" s="144"/>
      <c r="Q519" s="144"/>
      <c r="R519" s="144"/>
      <c r="S519" s="144"/>
      <c r="T519" s="144"/>
      <c r="U519" s="232"/>
      <c r="V519" s="232"/>
      <c r="W519" s="144"/>
      <c r="X519" s="144"/>
      <c r="Y519" s="144"/>
      <c r="Z519" s="144"/>
      <c r="AA519" s="144"/>
      <c r="AB519" s="144"/>
      <c r="AC519" s="144"/>
      <c r="AD519" s="144"/>
      <c r="AE519" s="232"/>
      <c r="AF519" s="144"/>
      <c r="AG519" s="144"/>
      <c r="AH519" s="232"/>
      <c r="AI519" s="232"/>
      <c r="AJ519" s="144"/>
      <c r="AK519" s="144"/>
      <c r="AL519" s="144"/>
      <c r="AM519" s="144"/>
      <c r="AN519" s="144"/>
      <c r="AO519" s="144"/>
      <c r="AP519" s="144"/>
      <c r="AQ519" s="144"/>
      <c r="AR519" s="144"/>
      <c r="AS519" s="144"/>
      <c r="AT519" s="144"/>
      <c r="AU519" s="144"/>
      <c r="AV519" s="144"/>
    </row>
    <row r="520" spans="3:48" x14ac:dyDescent="0.25">
      <c r="C520" s="144"/>
      <c r="D520" s="144"/>
      <c r="E520" s="144"/>
      <c r="F520" s="144"/>
      <c r="G520" s="144"/>
      <c r="H520" s="232"/>
      <c r="I520" s="144"/>
      <c r="J520" s="144"/>
      <c r="K520" s="144"/>
      <c r="L520" s="144"/>
      <c r="M520" s="144"/>
      <c r="N520" s="144"/>
      <c r="O520" s="144"/>
      <c r="P520" s="144"/>
      <c r="Q520" s="144"/>
      <c r="R520" s="144"/>
      <c r="S520" s="144"/>
      <c r="T520" s="144"/>
      <c r="U520" s="232"/>
      <c r="V520" s="232"/>
      <c r="W520" s="144"/>
      <c r="X520" s="144"/>
      <c r="Y520" s="144"/>
      <c r="Z520" s="144"/>
      <c r="AA520" s="144"/>
      <c r="AB520" s="144"/>
      <c r="AC520" s="144"/>
      <c r="AD520" s="144"/>
      <c r="AE520" s="232"/>
      <c r="AF520" s="144"/>
      <c r="AG520" s="144"/>
      <c r="AH520" s="232"/>
      <c r="AI520" s="232"/>
      <c r="AJ520" s="144"/>
      <c r="AK520" s="144"/>
      <c r="AL520" s="144"/>
      <c r="AM520" s="144"/>
      <c r="AN520" s="144"/>
      <c r="AO520" s="144"/>
      <c r="AP520" s="144"/>
      <c r="AQ520" s="144"/>
      <c r="AR520" s="144"/>
      <c r="AS520" s="144"/>
      <c r="AT520" s="144"/>
      <c r="AU520" s="144"/>
      <c r="AV520" s="144"/>
    </row>
    <row r="521" spans="3:48" x14ac:dyDescent="0.25">
      <c r="C521" s="144"/>
      <c r="D521" s="144"/>
      <c r="E521" s="144"/>
      <c r="F521" s="144"/>
      <c r="G521" s="144"/>
      <c r="H521" s="232"/>
      <c r="I521" s="144"/>
      <c r="J521" s="144"/>
      <c r="K521" s="144"/>
      <c r="L521" s="144"/>
      <c r="M521" s="144"/>
      <c r="N521" s="144"/>
      <c r="O521" s="144"/>
      <c r="P521" s="144"/>
      <c r="Q521" s="144"/>
      <c r="R521" s="144"/>
      <c r="S521" s="144"/>
      <c r="T521" s="144"/>
      <c r="U521" s="232"/>
      <c r="V521" s="232"/>
      <c r="W521" s="144"/>
      <c r="X521" s="144"/>
      <c r="Y521" s="144"/>
      <c r="Z521" s="144"/>
      <c r="AA521" s="144"/>
      <c r="AB521" s="144"/>
      <c r="AC521" s="144"/>
      <c r="AD521" s="144"/>
      <c r="AE521" s="232"/>
      <c r="AF521" s="144"/>
      <c r="AG521" s="144"/>
      <c r="AH521" s="232"/>
      <c r="AI521" s="232"/>
      <c r="AJ521" s="144"/>
      <c r="AK521" s="144"/>
      <c r="AL521" s="144"/>
      <c r="AM521" s="144"/>
      <c r="AN521" s="144"/>
      <c r="AO521" s="144"/>
      <c r="AP521" s="144"/>
      <c r="AQ521" s="144"/>
      <c r="AR521" s="144"/>
      <c r="AS521" s="144"/>
      <c r="AT521" s="144"/>
      <c r="AU521" s="144"/>
      <c r="AV521" s="144"/>
    </row>
    <row r="522" spans="3:48" x14ac:dyDescent="0.25">
      <c r="C522" s="144"/>
      <c r="D522" s="144"/>
      <c r="E522" s="144"/>
      <c r="F522" s="144"/>
      <c r="G522" s="144"/>
      <c r="H522" s="232"/>
      <c r="I522" s="144"/>
      <c r="J522" s="144"/>
      <c r="K522" s="144"/>
      <c r="L522" s="144"/>
      <c r="M522" s="144"/>
      <c r="N522" s="144"/>
      <c r="O522" s="144"/>
      <c r="P522" s="144"/>
      <c r="Q522" s="144"/>
      <c r="R522" s="144"/>
      <c r="S522" s="144"/>
      <c r="T522" s="144"/>
      <c r="U522" s="232"/>
      <c r="V522" s="232"/>
      <c r="W522" s="144"/>
      <c r="X522" s="144"/>
      <c r="Y522" s="144"/>
      <c r="Z522" s="144"/>
      <c r="AA522" s="144"/>
      <c r="AB522" s="144"/>
      <c r="AC522" s="144"/>
      <c r="AD522" s="144"/>
      <c r="AE522" s="232"/>
      <c r="AF522" s="144"/>
      <c r="AG522" s="144"/>
      <c r="AH522" s="232"/>
      <c r="AI522" s="232"/>
      <c r="AJ522" s="144"/>
      <c r="AK522" s="144"/>
      <c r="AL522" s="144"/>
      <c r="AM522" s="144"/>
      <c r="AN522" s="144"/>
      <c r="AO522" s="144"/>
      <c r="AP522" s="144"/>
      <c r="AQ522" s="144"/>
      <c r="AR522" s="144"/>
      <c r="AS522" s="144"/>
      <c r="AT522" s="144"/>
      <c r="AU522" s="144"/>
      <c r="AV522" s="144"/>
    </row>
    <row r="523" spans="3:48" x14ac:dyDescent="0.25">
      <c r="C523" s="144"/>
      <c r="D523" s="144"/>
      <c r="E523" s="144"/>
      <c r="F523" s="144"/>
      <c r="G523" s="144"/>
      <c r="H523" s="232"/>
      <c r="I523" s="144"/>
      <c r="J523" s="144"/>
      <c r="K523" s="144"/>
      <c r="L523" s="144"/>
      <c r="M523" s="144"/>
      <c r="N523" s="144"/>
      <c r="O523" s="144"/>
      <c r="P523" s="144"/>
      <c r="Q523" s="144"/>
      <c r="R523" s="144"/>
      <c r="S523" s="144"/>
      <c r="T523" s="144"/>
      <c r="U523" s="232"/>
      <c r="V523" s="232"/>
      <c r="W523" s="144"/>
      <c r="X523" s="144"/>
      <c r="Y523" s="144"/>
      <c r="Z523" s="144"/>
      <c r="AA523" s="144"/>
      <c r="AB523" s="144"/>
      <c r="AC523" s="144"/>
      <c r="AD523" s="144"/>
      <c r="AE523" s="232"/>
      <c r="AF523" s="144"/>
      <c r="AG523" s="144"/>
      <c r="AH523" s="232"/>
      <c r="AI523" s="232"/>
      <c r="AJ523" s="144"/>
      <c r="AK523" s="144"/>
      <c r="AL523" s="144"/>
      <c r="AM523" s="144"/>
      <c r="AN523" s="144"/>
      <c r="AO523" s="144"/>
      <c r="AP523" s="144"/>
      <c r="AQ523" s="144"/>
      <c r="AR523" s="144"/>
      <c r="AS523" s="144"/>
      <c r="AT523" s="144"/>
      <c r="AU523" s="144"/>
      <c r="AV523" s="144"/>
    </row>
    <row r="524" spans="3:48" x14ac:dyDescent="0.25">
      <c r="C524" s="144"/>
      <c r="D524" s="144"/>
      <c r="E524" s="144"/>
      <c r="F524" s="144"/>
      <c r="G524" s="144"/>
      <c r="H524" s="232"/>
      <c r="I524" s="144"/>
      <c r="J524" s="144"/>
      <c r="K524" s="144"/>
      <c r="L524" s="144"/>
      <c r="M524" s="144"/>
      <c r="N524" s="144"/>
      <c r="O524" s="144"/>
      <c r="P524" s="144"/>
      <c r="Q524" s="144"/>
      <c r="R524" s="144"/>
      <c r="S524" s="144"/>
      <c r="T524" s="144"/>
      <c r="U524" s="232"/>
      <c r="V524" s="232"/>
      <c r="W524" s="144"/>
      <c r="X524" s="144"/>
      <c r="Y524" s="144"/>
      <c r="Z524" s="144"/>
      <c r="AA524" s="144"/>
      <c r="AB524" s="144"/>
      <c r="AC524" s="144"/>
      <c r="AD524" s="144"/>
      <c r="AE524" s="232"/>
      <c r="AF524" s="144"/>
      <c r="AG524" s="144"/>
      <c r="AH524" s="232"/>
      <c r="AI524" s="232"/>
      <c r="AJ524" s="144"/>
      <c r="AK524" s="144"/>
      <c r="AL524" s="144"/>
      <c r="AM524" s="144"/>
      <c r="AN524" s="144"/>
      <c r="AO524" s="144"/>
      <c r="AP524" s="144"/>
      <c r="AQ524" s="144"/>
      <c r="AR524" s="144"/>
      <c r="AS524" s="144"/>
      <c r="AT524" s="144"/>
      <c r="AU524" s="144"/>
      <c r="AV524" s="144"/>
    </row>
    <row r="525" spans="3:48" x14ac:dyDescent="0.25">
      <c r="C525" s="144"/>
      <c r="D525" s="144"/>
      <c r="E525" s="144"/>
      <c r="F525" s="144"/>
      <c r="G525" s="144"/>
      <c r="H525" s="232"/>
      <c r="I525" s="144"/>
      <c r="J525" s="144"/>
      <c r="K525" s="144"/>
      <c r="L525" s="144"/>
      <c r="M525" s="144"/>
      <c r="N525" s="144"/>
      <c r="O525" s="144"/>
      <c r="P525" s="144"/>
      <c r="Q525" s="144"/>
      <c r="R525" s="144"/>
      <c r="S525" s="144"/>
      <c r="T525" s="144"/>
      <c r="U525" s="232"/>
      <c r="V525" s="232"/>
      <c r="W525" s="144"/>
      <c r="X525" s="144"/>
      <c r="Y525" s="144"/>
      <c r="Z525" s="144"/>
      <c r="AA525" s="144"/>
      <c r="AB525" s="144"/>
      <c r="AC525" s="144"/>
      <c r="AD525" s="144"/>
      <c r="AE525" s="232"/>
      <c r="AF525" s="144"/>
      <c r="AG525" s="144"/>
      <c r="AH525" s="232"/>
      <c r="AI525" s="232"/>
      <c r="AJ525" s="144"/>
      <c r="AK525" s="144"/>
      <c r="AL525" s="144"/>
      <c r="AM525" s="144"/>
      <c r="AN525" s="144"/>
      <c r="AO525" s="144"/>
      <c r="AP525" s="144"/>
      <c r="AQ525" s="144"/>
      <c r="AR525" s="144"/>
      <c r="AS525" s="144"/>
      <c r="AT525" s="144"/>
      <c r="AU525" s="144"/>
      <c r="AV525" s="144"/>
    </row>
    <row r="526" spans="3:48" x14ac:dyDescent="0.25">
      <c r="C526" s="144"/>
      <c r="D526" s="144"/>
      <c r="E526" s="144"/>
      <c r="F526" s="144"/>
      <c r="G526" s="144"/>
      <c r="H526" s="232"/>
      <c r="I526" s="144"/>
      <c r="J526" s="144"/>
      <c r="K526" s="144"/>
      <c r="L526" s="144"/>
      <c r="M526" s="144"/>
      <c r="N526" s="144"/>
      <c r="O526" s="144"/>
      <c r="P526" s="144"/>
      <c r="Q526" s="144"/>
      <c r="R526" s="144"/>
      <c r="S526" s="144"/>
      <c r="T526" s="144"/>
      <c r="U526" s="232"/>
      <c r="V526" s="232"/>
      <c r="W526" s="144"/>
      <c r="X526" s="144"/>
      <c r="Y526" s="144"/>
      <c r="Z526" s="144"/>
      <c r="AA526" s="144"/>
      <c r="AB526" s="144"/>
      <c r="AC526" s="144"/>
      <c r="AD526" s="144"/>
      <c r="AE526" s="232"/>
      <c r="AF526" s="144"/>
      <c r="AG526" s="144"/>
      <c r="AH526" s="232"/>
      <c r="AI526" s="232"/>
      <c r="AJ526" s="144"/>
      <c r="AK526" s="144"/>
      <c r="AL526" s="144"/>
      <c r="AM526" s="144"/>
      <c r="AN526" s="144"/>
      <c r="AO526" s="144"/>
      <c r="AP526" s="144"/>
      <c r="AQ526" s="144"/>
      <c r="AR526" s="144"/>
      <c r="AS526" s="144"/>
      <c r="AT526" s="144"/>
      <c r="AU526" s="144"/>
      <c r="AV526" s="144"/>
    </row>
    <row r="527" spans="3:48" x14ac:dyDescent="0.25">
      <c r="C527" s="144"/>
      <c r="D527" s="144"/>
      <c r="E527" s="144"/>
      <c r="F527" s="144"/>
      <c r="G527" s="144"/>
      <c r="H527" s="232"/>
      <c r="I527" s="144"/>
      <c r="J527" s="144"/>
      <c r="K527" s="144"/>
      <c r="L527" s="144"/>
      <c r="M527" s="144"/>
      <c r="N527" s="144"/>
      <c r="O527" s="144"/>
      <c r="P527" s="144"/>
      <c r="Q527" s="144"/>
      <c r="R527" s="144"/>
      <c r="S527" s="144"/>
      <c r="T527" s="144"/>
      <c r="U527" s="232"/>
      <c r="V527" s="232"/>
      <c r="W527" s="144"/>
      <c r="X527" s="144"/>
      <c r="Y527" s="144"/>
      <c r="Z527" s="144"/>
      <c r="AA527" s="144"/>
      <c r="AB527" s="144"/>
      <c r="AC527" s="144"/>
      <c r="AD527" s="144"/>
      <c r="AE527" s="232"/>
      <c r="AF527" s="144"/>
      <c r="AG527" s="144"/>
      <c r="AH527" s="232"/>
      <c r="AI527" s="232"/>
      <c r="AJ527" s="144"/>
      <c r="AK527" s="144"/>
      <c r="AL527" s="144"/>
      <c r="AM527" s="144"/>
      <c r="AN527" s="144"/>
      <c r="AO527" s="144"/>
      <c r="AP527" s="144"/>
      <c r="AQ527" s="144"/>
      <c r="AR527" s="144"/>
      <c r="AS527" s="144"/>
      <c r="AT527" s="144"/>
      <c r="AU527" s="144"/>
      <c r="AV527" s="144"/>
    </row>
    <row r="528" spans="3:48" x14ac:dyDescent="0.25">
      <c r="C528" s="144"/>
      <c r="D528" s="144"/>
      <c r="E528" s="144"/>
      <c r="F528" s="144"/>
      <c r="G528" s="144"/>
      <c r="H528" s="232"/>
      <c r="I528" s="144"/>
      <c r="J528" s="144"/>
      <c r="K528" s="144"/>
      <c r="L528" s="144"/>
      <c r="M528" s="144"/>
      <c r="N528" s="144"/>
      <c r="O528" s="144"/>
      <c r="P528" s="144"/>
      <c r="Q528" s="144"/>
      <c r="R528" s="144"/>
      <c r="S528" s="144"/>
      <c r="T528" s="144"/>
      <c r="U528" s="232"/>
      <c r="V528" s="232"/>
      <c r="W528" s="144"/>
      <c r="X528" s="144"/>
      <c r="Y528" s="144"/>
      <c r="Z528" s="144"/>
      <c r="AA528" s="144"/>
      <c r="AB528" s="144"/>
      <c r="AC528" s="144"/>
      <c r="AD528" s="144"/>
      <c r="AE528" s="232"/>
      <c r="AF528" s="144"/>
      <c r="AG528" s="144"/>
      <c r="AH528" s="232"/>
      <c r="AI528" s="232"/>
      <c r="AJ528" s="144"/>
      <c r="AK528" s="144"/>
      <c r="AL528" s="144"/>
      <c r="AM528" s="144"/>
      <c r="AN528" s="144"/>
      <c r="AO528" s="144"/>
      <c r="AP528" s="144"/>
      <c r="AQ528" s="144"/>
      <c r="AR528" s="144"/>
      <c r="AS528" s="144"/>
      <c r="AT528" s="144"/>
      <c r="AU528" s="144"/>
      <c r="AV528" s="144"/>
    </row>
    <row r="529" spans="3:48" x14ac:dyDescent="0.25">
      <c r="C529" s="144"/>
      <c r="D529" s="144"/>
      <c r="E529" s="144"/>
      <c r="F529" s="144"/>
      <c r="G529" s="144"/>
      <c r="H529" s="232"/>
      <c r="I529" s="144"/>
      <c r="J529" s="144"/>
      <c r="K529" s="144"/>
      <c r="L529" s="144"/>
      <c r="M529" s="144"/>
      <c r="N529" s="144"/>
      <c r="O529" s="144"/>
      <c r="P529" s="144"/>
      <c r="Q529" s="144"/>
      <c r="R529" s="144"/>
      <c r="S529" s="144"/>
      <c r="T529" s="144"/>
      <c r="U529" s="232"/>
      <c r="V529" s="232"/>
      <c r="W529" s="144"/>
      <c r="X529" s="144"/>
      <c r="Y529" s="144"/>
      <c r="Z529" s="144"/>
      <c r="AA529" s="144"/>
      <c r="AB529" s="144"/>
      <c r="AC529" s="144"/>
      <c r="AD529" s="144"/>
      <c r="AE529" s="232"/>
      <c r="AF529" s="144"/>
      <c r="AG529" s="144"/>
      <c r="AH529" s="232"/>
      <c r="AI529" s="232"/>
      <c r="AJ529" s="144"/>
      <c r="AK529" s="144"/>
      <c r="AL529" s="144"/>
      <c r="AM529" s="144"/>
      <c r="AN529" s="144"/>
      <c r="AO529" s="144"/>
      <c r="AP529" s="144"/>
      <c r="AQ529" s="144"/>
      <c r="AR529" s="144"/>
      <c r="AS529" s="144"/>
      <c r="AT529" s="144"/>
      <c r="AU529" s="144"/>
      <c r="AV529" s="144"/>
    </row>
    <row r="530" spans="3:48" x14ac:dyDescent="0.25">
      <c r="C530" s="144"/>
      <c r="D530" s="144"/>
      <c r="E530" s="144"/>
      <c r="F530" s="144"/>
      <c r="G530" s="144"/>
      <c r="H530" s="232"/>
      <c r="I530" s="144"/>
      <c r="J530" s="144"/>
      <c r="K530" s="144"/>
      <c r="L530" s="144"/>
      <c r="M530" s="144"/>
      <c r="N530" s="144"/>
      <c r="O530" s="144"/>
      <c r="P530" s="144"/>
      <c r="Q530" s="144"/>
      <c r="R530" s="144"/>
      <c r="S530" s="144"/>
      <c r="T530" s="144"/>
      <c r="U530" s="232"/>
      <c r="V530" s="232"/>
      <c r="W530" s="144"/>
      <c r="X530" s="144"/>
      <c r="Y530" s="144"/>
      <c r="Z530" s="144"/>
      <c r="AA530" s="144"/>
      <c r="AB530" s="144"/>
      <c r="AC530" s="144"/>
      <c r="AD530" s="144"/>
      <c r="AE530" s="232"/>
      <c r="AF530" s="144"/>
      <c r="AG530" s="144"/>
      <c r="AH530" s="232"/>
      <c r="AI530" s="232"/>
      <c r="AJ530" s="144"/>
      <c r="AK530" s="144"/>
      <c r="AL530" s="144"/>
      <c r="AM530" s="144"/>
      <c r="AN530" s="144"/>
      <c r="AO530" s="144"/>
      <c r="AP530" s="144"/>
      <c r="AQ530" s="144"/>
      <c r="AR530" s="144"/>
      <c r="AS530" s="144"/>
      <c r="AT530" s="144"/>
      <c r="AU530" s="144"/>
      <c r="AV530" s="144"/>
    </row>
    <row r="531" spans="3:48" x14ac:dyDescent="0.25">
      <c r="C531" s="144"/>
      <c r="D531" s="144"/>
      <c r="E531" s="144"/>
      <c r="F531" s="144"/>
      <c r="G531" s="144"/>
      <c r="H531" s="232"/>
      <c r="I531" s="144"/>
      <c r="J531" s="144"/>
      <c r="K531" s="144"/>
      <c r="L531" s="144"/>
      <c r="M531" s="144"/>
      <c r="N531" s="144"/>
      <c r="O531" s="144"/>
      <c r="P531" s="144"/>
      <c r="Q531" s="144"/>
      <c r="R531" s="144"/>
      <c r="S531" s="144"/>
      <c r="T531" s="144"/>
      <c r="U531" s="232"/>
      <c r="V531" s="232"/>
      <c r="W531" s="144"/>
      <c r="X531" s="144"/>
      <c r="Y531" s="144"/>
      <c r="Z531" s="144"/>
      <c r="AA531" s="144"/>
      <c r="AB531" s="144"/>
      <c r="AC531" s="144"/>
      <c r="AD531" s="144"/>
      <c r="AE531" s="232"/>
      <c r="AF531" s="144"/>
      <c r="AG531" s="144"/>
      <c r="AH531" s="232"/>
      <c r="AI531" s="232"/>
      <c r="AJ531" s="144"/>
      <c r="AK531" s="144"/>
      <c r="AL531" s="144"/>
      <c r="AM531" s="144"/>
      <c r="AN531" s="144"/>
      <c r="AO531" s="144"/>
      <c r="AP531" s="144"/>
      <c r="AQ531" s="144"/>
      <c r="AR531" s="144"/>
      <c r="AS531" s="144"/>
      <c r="AT531" s="144"/>
      <c r="AU531" s="144"/>
      <c r="AV531" s="144"/>
    </row>
    <row r="532" spans="3:48" x14ac:dyDescent="0.25">
      <c r="C532" s="144"/>
      <c r="D532" s="144"/>
      <c r="E532" s="144"/>
      <c r="F532" s="144"/>
      <c r="G532" s="144"/>
      <c r="H532" s="232"/>
      <c r="I532" s="144"/>
      <c r="J532" s="144"/>
      <c r="K532" s="144"/>
      <c r="L532" s="144"/>
      <c r="M532" s="144"/>
      <c r="N532" s="144"/>
      <c r="O532" s="144"/>
      <c r="P532" s="144"/>
      <c r="Q532" s="144"/>
      <c r="R532" s="144"/>
      <c r="S532" s="144"/>
      <c r="T532" s="144"/>
      <c r="U532" s="232"/>
      <c r="V532" s="232"/>
      <c r="W532" s="144"/>
      <c r="X532" s="144"/>
      <c r="Y532" s="144"/>
      <c r="Z532" s="144"/>
      <c r="AA532" s="144"/>
      <c r="AB532" s="144"/>
      <c r="AC532" s="144"/>
      <c r="AD532" s="144"/>
      <c r="AE532" s="232"/>
      <c r="AF532" s="144"/>
      <c r="AG532" s="144"/>
      <c r="AH532" s="232"/>
      <c r="AI532" s="232"/>
      <c r="AJ532" s="144"/>
      <c r="AK532" s="144"/>
      <c r="AL532" s="144"/>
      <c r="AM532" s="144"/>
      <c r="AN532" s="144"/>
      <c r="AO532" s="144"/>
      <c r="AP532" s="144"/>
      <c r="AQ532" s="144"/>
      <c r="AR532" s="144"/>
      <c r="AS532" s="144"/>
      <c r="AT532" s="144"/>
      <c r="AU532" s="144"/>
      <c r="AV532" s="144"/>
    </row>
    <row r="533" spans="3:48" x14ac:dyDescent="0.25">
      <c r="C533" s="144"/>
      <c r="D533" s="144"/>
      <c r="E533" s="144"/>
      <c r="F533" s="144"/>
      <c r="G533" s="144"/>
      <c r="H533" s="232"/>
      <c r="I533" s="144"/>
      <c r="J533" s="144"/>
      <c r="K533" s="144"/>
      <c r="L533" s="144"/>
      <c r="M533" s="144"/>
      <c r="N533" s="144"/>
      <c r="O533" s="144"/>
      <c r="P533" s="144"/>
      <c r="Q533" s="144"/>
      <c r="R533" s="144"/>
      <c r="S533" s="144"/>
      <c r="T533" s="144"/>
      <c r="U533" s="232"/>
      <c r="V533" s="232"/>
      <c r="W533" s="144"/>
      <c r="X533" s="144"/>
      <c r="Y533" s="144"/>
      <c r="Z533" s="144"/>
      <c r="AA533" s="144"/>
      <c r="AB533" s="144"/>
      <c r="AC533" s="144"/>
      <c r="AD533" s="144"/>
      <c r="AE533" s="232"/>
      <c r="AF533" s="144"/>
      <c r="AG533" s="144"/>
      <c r="AH533" s="232"/>
      <c r="AI533" s="232"/>
      <c r="AJ533" s="144"/>
      <c r="AK533" s="144"/>
      <c r="AL533" s="144"/>
      <c r="AM533" s="144"/>
      <c r="AN533" s="144"/>
      <c r="AO533" s="144"/>
      <c r="AP533" s="144"/>
      <c r="AQ533" s="144"/>
      <c r="AR533" s="144"/>
      <c r="AS533" s="144"/>
      <c r="AT533" s="144"/>
      <c r="AU533" s="144"/>
      <c r="AV533" s="144"/>
    </row>
    <row r="534" spans="3:48" x14ac:dyDescent="0.25">
      <c r="C534" s="144"/>
      <c r="D534" s="144"/>
      <c r="E534" s="144"/>
      <c r="F534" s="144"/>
      <c r="G534" s="144"/>
      <c r="H534" s="232"/>
      <c r="I534" s="144"/>
      <c r="J534" s="144"/>
      <c r="K534" s="144"/>
      <c r="L534" s="144"/>
      <c r="M534" s="144"/>
      <c r="N534" s="144"/>
      <c r="O534" s="144"/>
      <c r="P534" s="144"/>
      <c r="Q534" s="144"/>
      <c r="R534" s="144"/>
      <c r="S534" s="144"/>
      <c r="T534" s="144"/>
      <c r="U534" s="232"/>
      <c r="V534" s="232"/>
      <c r="W534" s="144"/>
      <c r="X534" s="144"/>
      <c r="Y534" s="144"/>
      <c r="Z534" s="144"/>
      <c r="AA534" s="144"/>
      <c r="AB534" s="144"/>
      <c r="AC534" s="144"/>
      <c r="AD534" s="144"/>
      <c r="AE534" s="232"/>
      <c r="AF534" s="144"/>
      <c r="AG534" s="144"/>
      <c r="AH534" s="232"/>
      <c r="AI534" s="232"/>
      <c r="AJ534" s="144"/>
      <c r="AK534" s="144"/>
      <c r="AL534" s="144"/>
      <c r="AM534" s="144"/>
      <c r="AN534" s="144"/>
      <c r="AO534" s="144"/>
      <c r="AP534" s="144"/>
      <c r="AQ534" s="144"/>
      <c r="AR534" s="144"/>
      <c r="AS534" s="144"/>
      <c r="AT534" s="144"/>
      <c r="AU534" s="144"/>
      <c r="AV534" s="144"/>
    </row>
    <row r="535" spans="3:48" x14ac:dyDescent="0.25">
      <c r="C535" s="144"/>
      <c r="D535" s="144"/>
      <c r="E535" s="144"/>
      <c r="F535" s="144"/>
      <c r="G535" s="144"/>
      <c r="H535" s="232"/>
      <c r="I535" s="144"/>
      <c r="J535" s="144"/>
      <c r="K535" s="144"/>
      <c r="L535" s="144"/>
      <c r="M535" s="144"/>
      <c r="N535" s="144"/>
      <c r="O535" s="144"/>
      <c r="P535" s="144"/>
      <c r="Q535" s="144"/>
      <c r="R535" s="144"/>
      <c r="S535" s="144"/>
      <c r="T535" s="144"/>
      <c r="U535" s="232"/>
      <c r="V535" s="232"/>
      <c r="W535" s="144"/>
      <c r="X535" s="144"/>
      <c r="Y535" s="144"/>
      <c r="Z535" s="144"/>
      <c r="AA535" s="144"/>
      <c r="AB535" s="144"/>
      <c r="AC535" s="144"/>
      <c r="AD535" s="144"/>
      <c r="AE535" s="232"/>
      <c r="AF535" s="144"/>
      <c r="AG535" s="144"/>
      <c r="AH535" s="232"/>
      <c r="AI535" s="232"/>
      <c r="AJ535" s="144"/>
      <c r="AK535" s="144"/>
      <c r="AL535" s="144"/>
      <c r="AM535" s="144"/>
      <c r="AN535" s="144"/>
      <c r="AO535" s="144"/>
      <c r="AP535" s="144"/>
      <c r="AQ535" s="144"/>
      <c r="AR535" s="144"/>
      <c r="AS535" s="144"/>
      <c r="AT535" s="144"/>
      <c r="AU535" s="144"/>
      <c r="AV535" s="144"/>
    </row>
    <row r="536" spans="3:48" x14ac:dyDescent="0.25">
      <c r="C536" s="144"/>
      <c r="D536" s="144"/>
      <c r="E536" s="144"/>
      <c r="F536" s="144"/>
      <c r="G536" s="144"/>
      <c r="H536" s="232"/>
      <c r="I536" s="144"/>
      <c r="J536" s="144"/>
      <c r="K536" s="144"/>
      <c r="L536" s="144"/>
      <c r="M536" s="144"/>
      <c r="N536" s="144"/>
      <c r="O536" s="144"/>
      <c r="P536" s="144"/>
      <c r="Q536" s="144"/>
      <c r="R536" s="144"/>
      <c r="S536" s="144"/>
      <c r="T536" s="144"/>
      <c r="U536" s="232"/>
      <c r="V536" s="232"/>
      <c r="W536" s="144"/>
      <c r="X536" s="144"/>
      <c r="Y536" s="144"/>
      <c r="Z536" s="144"/>
      <c r="AA536" s="144"/>
      <c r="AB536" s="144"/>
      <c r="AC536" s="144"/>
      <c r="AD536" s="144"/>
      <c r="AE536" s="232"/>
      <c r="AF536" s="144"/>
      <c r="AG536" s="144"/>
      <c r="AH536" s="232"/>
      <c r="AI536" s="232"/>
      <c r="AJ536" s="144"/>
      <c r="AK536" s="144"/>
      <c r="AL536" s="144"/>
      <c r="AM536" s="144"/>
      <c r="AN536" s="144"/>
      <c r="AO536" s="144"/>
      <c r="AP536" s="144"/>
      <c r="AQ536" s="144"/>
      <c r="AR536" s="144"/>
      <c r="AS536" s="144"/>
      <c r="AT536" s="144"/>
      <c r="AU536" s="144"/>
      <c r="AV536" s="144"/>
    </row>
    <row r="537" spans="3:48" x14ac:dyDescent="0.25">
      <c r="C537" s="144"/>
      <c r="D537" s="144"/>
      <c r="E537" s="144"/>
      <c r="F537" s="144"/>
      <c r="G537" s="144"/>
      <c r="H537" s="232"/>
      <c r="I537" s="144"/>
      <c r="J537" s="144"/>
      <c r="K537" s="144"/>
      <c r="L537" s="144"/>
      <c r="M537" s="144"/>
      <c r="N537" s="144"/>
      <c r="O537" s="144"/>
      <c r="P537" s="144"/>
      <c r="Q537" s="144"/>
      <c r="R537" s="144"/>
      <c r="S537" s="144"/>
      <c r="T537" s="144"/>
      <c r="U537" s="232"/>
      <c r="V537" s="232"/>
      <c r="W537" s="144"/>
      <c r="X537" s="144"/>
      <c r="Y537" s="144"/>
      <c r="Z537" s="144"/>
      <c r="AA537" s="144"/>
      <c r="AB537" s="144"/>
      <c r="AC537" s="144"/>
      <c r="AD537" s="144"/>
      <c r="AE537" s="232"/>
      <c r="AF537" s="144"/>
      <c r="AG537" s="144"/>
      <c r="AH537" s="232"/>
      <c r="AI537" s="232"/>
      <c r="AJ537" s="144"/>
      <c r="AK537" s="144"/>
      <c r="AL537" s="144"/>
      <c r="AM537" s="144"/>
      <c r="AN537" s="144"/>
      <c r="AO537" s="144"/>
      <c r="AP537" s="144"/>
      <c r="AQ537" s="144"/>
      <c r="AR537" s="144"/>
      <c r="AS537" s="144"/>
      <c r="AT537" s="144"/>
      <c r="AU537" s="144"/>
      <c r="AV537" s="144"/>
    </row>
    <row r="538" spans="3:48" x14ac:dyDescent="0.25">
      <c r="C538" s="144"/>
      <c r="D538" s="144"/>
      <c r="E538" s="144"/>
      <c r="F538" s="144"/>
      <c r="G538" s="144"/>
      <c r="H538" s="232"/>
      <c r="I538" s="144"/>
      <c r="J538" s="144"/>
      <c r="K538" s="144"/>
      <c r="L538" s="144"/>
      <c r="M538" s="144"/>
      <c r="N538" s="144"/>
      <c r="O538" s="144"/>
      <c r="P538" s="144"/>
      <c r="Q538" s="144"/>
      <c r="R538" s="144"/>
      <c r="S538" s="144"/>
      <c r="T538" s="144"/>
      <c r="U538" s="232"/>
      <c r="V538" s="232"/>
      <c r="W538" s="144"/>
      <c r="X538" s="144"/>
      <c r="Y538" s="144"/>
      <c r="Z538" s="144"/>
      <c r="AA538" s="144"/>
      <c r="AB538" s="144"/>
      <c r="AC538" s="144"/>
      <c r="AD538" s="144"/>
      <c r="AE538" s="232"/>
      <c r="AF538" s="144"/>
      <c r="AG538" s="144"/>
      <c r="AH538" s="232"/>
      <c r="AI538" s="232"/>
      <c r="AJ538" s="144"/>
      <c r="AK538" s="144"/>
      <c r="AL538" s="144"/>
      <c r="AM538" s="144"/>
      <c r="AN538" s="144"/>
      <c r="AO538" s="144"/>
      <c r="AP538" s="144"/>
      <c r="AQ538" s="144"/>
      <c r="AR538" s="144"/>
      <c r="AS538" s="144"/>
      <c r="AT538" s="144"/>
      <c r="AU538" s="144"/>
      <c r="AV538" s="144"/>
    </row>
    <row r="539" spans="3:48" x14ac:dyDescent="0.25">
      <c r="C539" s="144"/>
      <c r="D539" s="144"/>
      <c r="E539" s="144"/>
      <c r="F539" s="144"/>
      <c r="G539" s="144"/>
      <c r="H539" s="232"/>
      <c r="I539" s="144"/>
      <c r="J539" s="144"/>
      <c r="K539" s="144"/>
      <c r="L539" s="144"/>
      <c r="M539" s="144"/>
      <c r="N539" s="144"/>
      <c r="O539" s="144"/>
      <c r="P539" s="144"/>
      <c r="Q539" s="144"/>
      <c r="R539" s="144"/>
      <c r="S539" s="144"/>
      <c r="T539" s="144"/>
      <c r="U539" s="232"/>
      <c r="V539" s="232"/>
      <c r="W539" s="144"/>
      <c r="X539" s="144"/>
      <c r="Y539" s="144"/>
      <c r="Z539" s="144"/>
      <c r="AA539" s="144"/>
      <c r="AB539" s="144"/>
      <c r="AC539" s="144"/>
      <c r="AD539" s="144"/>
      <c r="AE539" s="232"/>
      <c r="AF539" s="144"/>
      <c r="AG539" s="144"/>
      <c r="AH539" s="232"/>
      <c r="AI539" s="232"/>
      <c r="AJ539" s="144"/>
      <c r="AK539" s="144"/>
      <c r="AL539" s="144"/>
      <c r="AM539" s="144"/>
      <c r="AN539" s="144"/>
      <c r="AO539" s="144"/>
      <c r="AP539" s="144"/>
      <c r="AQ539" s="144"/>
      <c r="AR539" s="144"/>
      <c r="AS539" s="144"/>
      <c r="AT539" s="144"/>
      <c r="AU539" s="144"/>
      <c r="AV539" s="144"/>
    </row>
    <row r="540" spans="3:48" x14ac:dyDescent="0.25">
      <c r="C540" s="144"/>
      <c r="D540" s="144"/>
      <c r="E540" s="144"/>
      <c r="F540" s="144"/>
      <c r="G540" s="144"/>
      <c r="H540" s="232"/>
      <c r="I540" s="144"/>
      <c r="J540" s="144"/>
      <c r="K540" s="144"/>
      <c r="L540" s="144"/>
      <c r="M540" s="144"/>
      <c r="N540" s="144"/>
      <c r="O540" s="144"/>
      <c r="P540" s="144"/>
      <c r="Q540" s="144"/>
      <c r="R540" s="144"/>
      <c r="S540" s="144"/>
      <c r="T540" s="144"/>
      <c r="U540" s="232"/>
      <c r="V540" s="232"/>
      <c r="W540" s="144"/>
      <c r="X540" s="144"/>
      <c r="Y540" s="144"/>
      <c r="Z540" s="144"/>
      <c r="AA540" s="144"/>
      <c r="AB540" s="144"/>
      <c r="AC540" s="144"/>
      <c r="AD540" s="144"/>
      <c r="AE540" s="232"/>
      <c r="AF540" s="144"/>
      <c r="AG540" s="144"/>
      <c r="AH540" s="232"/>
      <c r="AI540" s="232"/>
      <c r="AJ540" s="144"/>
      <c r="AK540" s="144"/>
      <c r="AL540" s="144"/>
      <c r="AM540" s="144"/>
      <c r="AN540" s="144"/>
      <c r="AO540" s="144"/>
      <c r="AP540" s="144"/>
      <c r="AQ540" s="144"/>
      <c r="AR540" s="144"/>
      <c r="AS540" s="144"/>
      <c r="AT540" s="144"/>
      <c r="AU540" s="144"/>
      <c r="AV540" s="144"/>
    </row>
    <row r="541" spans="3:48" x14ac:dyDescent="0.25">
      <c r="C541" s="144"/>
      <c r="D541" s="144"/>
      <c r="E541" s="144"/>
      <c r="F541" s="144"/>
      <c r="G541" s="144"/>
      <c r="H541" s="232"/>
      <c r="I541" s="144"/>
      <c r="J541" s="144"/>
      <c r="K541" s="144"/>
      <c r="L541" s="144"/>
      <c r="M541" s="144"/>
      <c r="N541" s="144"/>
      <c r="O541" s="144"/>
      <c r="P541" s="144"/>
      <c r="Q541" s="144"/>
      <c r="R541" s="144"/>
      <c r="S541" s="144"/>
      <c r="T541" s="144"/>
      <c r="U541" s="232"/>
      <c r="V541" s="232"/>
      <c r="W541" s="144"/>
      <c r="X541" s="144"/>
      <c r="Y541" s="144"/>
      <c r="Z541" s="144"/>
      <c r="AA541" s="144"/>
      <c r="AB541" s="144"/>
      <c r="AC541" s="144"/>
      <c r="AD541" s="144"/>
      <c r="AE541" s="232"/>
      <c r="AF541" s="144"/>
      <c r="AG541" s="144"/>
      <c r="AH541" s="232"/>
      <c r="AI541" s="232"/>
      <c r="AJ541" s="144"/>
      <c r="AK541" s="144"/>
      <c r="AL541" s="144"/>
      <c r="AM541" s="144"/>
      <c r="AN541" s="144"/>
      <c r="AO541" s="144"/>
      <c r="AP541" s="144"/>
      <c r="AQ541" s="144"/>
      <c r="AR541" s="144"/>
      <c r="AS541" s="144"/>
      <c r="AT541" s="144"/>
      <c r="AU541" s="144"/>
      <c r="AV541" s="144"/>
    </row>
    <row r="542" spans="3:48" x14ac:dyDescent="0.25">
      <c r="C542" s="144"/>
      <c r="D542" s="144"/>
      <c r="E542" s="144"/>
      <c r="F542" s="144"/>
      <c r="G542" s="144"/>
      <c r="H542" s="232"/>
      <c r="I542" s="144"/>
      <c r="J542" s="144"/>
      <c r="K542" s="144"/>
      <c r="L542" s="144"/>
      <c r="M542" s="144"/>
      <c r="N542" s="144"/>
      <c r="O542" s="144"/>
      <c r="P542" s="144"/>
      <c r="Q542" s="144"/>
      <c r="R542" s="144"/>
      <c r="S542" s="144"/>
      <c r="T542" s="144"/>
      <c r="U542" s="232"/>
      <c r="V542" s="232"/>
      <c r="W542" s="144"/>
      <c r="X542" s="144"/>
      <c r="Y542" s="144"/>
      <c r="Z542" s="144"/>
      <c r="AA542" s="144"/>
      <c r="AB542" s="144"/>
      <c r="AC542" s="144"/>
      <c r="AD542" s="144"/>
      <c r="AE542" s="232"/>
      <c r="AF542" s="144"/>
      <c r="AG542" s="144"/>
      <c r="AH542" s="232"/>
      <c r="AI542" s="232"/>
      <c r="AJ542" s="144"/>
      <c r="AK542" s="144"/>
      <c r="AL542" s="144"/>
      <c r="AM542" s="144"/>
      <c r="AN542" s="144"/>
      <c r="AO542" s="144"/>
      <c r="AP542" s="144"/>
      <c r="AQ542" s="144"/>
      <c r="AR542" s="144"/>
      <c r="AS542" s="144"/>
      <c r="AT542" s="144"/>
      <c r="AU542" s="144"/>
      <c r="AV542" s="144"/>
    </row>
    <row r="543" spans="3:48" x14ac:dyDescent="0.25">
      <c r="C543" s="144"/>
      <c r="D543" s="144"/>
      <c r="E543" s="144"/>
      <c r="F543" s="144"/>
      <c r="G543" s="144"/>
      <c r="H543" s="232"/>
      <c r="I543" s="144"/>
      <c r="J543" s="144"/>
      <c r="K543" s="144"/>
      <c r="L543" s="144"/>
      <c r="M543" s="144"/>
      <c r="N543" s="144"/>
      <c r="O543" s="144"/>
      <c r="P543" s="144"/>
      <c r="Q543" s="144"/>
      <c r="R543" s="144"/>
      <c r="S543" s="144"/>
      <c r="T543" s="144"/>
      <c r="U543" s="232"/>
      <c r="V543" s="232"/>
      <c r="W543" s="144"/>
      <c r="X543" s="144"/>
      <c r="Y543" s="144"/>
      <c r="Z543" s="144"/>
      <c r="AA543" s="144"/>
      <c r="AB543" s="144"/>
      <c r="AC543" s="144"/>
      <c r="AD543" s="144"/>
      <c r="AE543" s="232"/>
      <c r="AF543" s="144"/>
      <c r="AG543" s="144"/>
      <c r="AH543" s="232"/>
      <c r="AI543" s="232"/>
      <c r="AJ543" s="144"/>
      <c r="AK543" s="144"/>
      <c r="AL543" s="144"/>
      <c r="AM543" s="144"/>
      <c r="AN543" s="144"/>
      <c r="AO543" s="144"/>
      <c r="AP543" s="144"/>
      <c r="AQ543" s="144"/>
      <c r="AR543" s="144"/>
      <c r="AS543" s="144"/>
      <c r="AT543" s="144"/>
      <c r="AU543" s="144"/>
      <c r="AV543" s="144"/>
    </row>
    <row r="544" spans="3:48" x14ac:dyDescent="0.25">
      <c r="C544" s="144"/>
      <c r="D544" s="144"/>
      <c r="E544" s="144"/>
      <c r="F544" s="144"/>
      <c r="G544" s="144"/>
      <c r="H544" s="232"/>
      <c r="I544" s="144"/>
      <c r="J544" s="144"/>
      <c r="K544" s="144"/>
      <c r="L544" s="144"/>
      <c r="M544" s="144"/>
      <c r="N544" s="144"/>
      <c r="O544" s="144"/>
      <c r="P544" s="144"/>
      <c r="Q544" s="144"/>
      <c r="R544" s="144"/>
      <c r="S544" s="144"/>
      <c r="T544" s="144"/>
      <c r="U544" s="232"/>
      <c r="V544" s="232"/>
      <c r="W544" s="144"/>
      <c r="X544" s="144"/>
      <c r="Y544" s="144"/>
      <c r="Z544" s="144"/>
      <c r="AA544" s="144"/>
      <c r="AB544" s="144"/>
      <c r="AC544" s="144"/>
      <c r="AD544" s="144"/>
      <c r="AE544" s="232"/>
      <c r="AF544" s="144"/>
      <c r="AG544" s="144"/>
      <c r="AH544" s="232"/>
      <c r="AI544" s="232"/>
      <c r="AJ544" s="144"/>
      <c r="AK544" s="144"/>
      <c r="AL544" s="144"/>
      <c r="AM544" s="144"/>
      <c r="AN544" s="144"/>
      <c r="AO544" s="144"/>
      <c r="AP544" s="144"/>
      <c r="AQ544" s="144"/>
      <c r="AR544" s="144"/>
      <c r="AS544" s="144"/>
      <c r="AT544" s="144"/>
      <c r="AU544" s="144"/>
      <c r="AV544" s="144"/>
    </row>
    <row r="545" spans="3:48" x14ac:dyDescent="0.25">
      <c r="C545" s="144"/>
      <c r="D545" s="144"/>
      <c r="E545" s="144"/>
      <c r="F545" s="144"/>
      <c r="G545" s="144"/>
      <c r="H545" s="232"/>
      <c r="I545" s="144"/>
      <c r="J545" s="144"/>
      <c r="K545" s="144"/>
      <c r="L545" s="144"/>
      <c r="M545" s="144"/>
      <c r="N545" s="144"/>
      <c r="O545" s="144"/>
      <c r="P545" s="144"/>
      <c r="Q545" s="144"/>
      <c r="R545" s="144"/>
      <c r="S545" s="144"/>
      <c r="T545" s="144"/>
      <c r="U545" s="232"/>
      <c r="V545" s="232"/>
      <c r="W545" s="144"/>
      <c r="X545" s="144"/>
      <c r="Y545" s="144"/>
      <c r="Z545" s="144"/>
      <c r="AA545" s="144"/>
      <c r="AB545" s="144"/>
      <c r="AC545" s="144"/>
      <c r="AD545" s="144"/>
      <c r="AE545" s="232"/>
      <c r="AF545" s="144"/>
      <c r="AG545" s="144"/>
      <c r="AH545" s="232"/>
      <c r="AI545" s="232"/>
      <c r="AJ545" s="144"/>
      <c r="AK545" s="144"/>
      <c r="AL545" s="144"/>
      <c r="AM545" s="144"/>
      <c r="AN545" s="144"/>
      <c r="AO545" s="144"/>
      <c r="AP545" s="144"/>
      <c r="AQ545" s="144"/>
      <c r="AR545" s="144"/>
      <c r="AS545" s="144"/>
      <c r="AT545" s="144"/>
      <c r="AU545" s="144"/>
      <c r="AV545" s="144"/>
    </row>
    <row r="546" spans="3:48" x14ac:dyDescent="0.25">
      <c r="C546" s="144"/>
      <c r="D546" s="144"/>
      <c r="E546" s="144"/>
      <c r="F546" s="144"/>
      <c r="G546" s="144"/>
      <c r="H546" s="232"/>
      <c r="I546" s="144"/>
      <c r="J546" s="144"/>
      <c r="K546" s="144"/>
      <c r="L546" s="144"/>
      <c r="M546" s="144"/>
      <c r="N546" s="144"/>
      <c r="O546" s="144"/>
      <c r="P546" s="144"/>
      <c r="Q546" s="144"/>
      <c r="R546" s="144"/>
      <c r="S546" s="144"/>
      <c r="T546" s="144"/>
      <c r="U546" s="232"/>
      <c r="V546" s="232"/>
      <c r="W546" s="144"/>
      <c r="X546" s="144"/>
      <c r="Y546" s="144"/>
      <c r="Z546" s="144"/>
      <c r="AA546" s="144"/>
      <c r="AB546" s="144"/>
      <c r="AC546" s="144"/>
      <c r="AD546" s="144"/>
      <c r="AE546" s="232"/>
      <c r="AF546" s="144"/>
      <c r="AG546" s="144"/>
      <c r="AH546" s="232"/>
      <c r="AI546" s="232"/>
      <c r="AJ546" s="144"/>
      <c r="AK546" s="144"/>
      <c r="AL546" s="144"/>
      <c r="AM546" s="144"/>
      <c r="AN546" s="144"/>
      <c r="AO546" s="144"/>
      <c r="AP546" s="144"/>
      <c r="AQ546" s="144"/>
      <c r="AR546" s="144"/>
      <c r="AS546" s="144"/>
      <c r="AT546" s="144"/>
      <c r="AU546" s="144"/>
      <c r="AV546" s="144"/>
    </row>
    <row r="547" spans="3:48" x14ac:dyDescent="0.25">
      <c r="C547" s="144"/>
      <c r="D547" s="144"/>
      <c r="E547" s="144"/>
      <c r="F547" s="144"/>
      <c r="G547" s="144"/>
      <c r="H547" s="232"/>
      <c r="I547" s="144"/>
      <c r="J547" s="144"/>
      <c r="K547" s="144"/>
      <c r="L547" s="144"/>
      <c r="M547" s="144"/>
      <c r="N547" s="144"/>
      <c r="O547" s="144"/>
      <c r="P547" s="144"/>
      <c r="Q547" s="144"/>
      <c r="R547" s="144"/>
      <c r="S547" s="144"/>
      <c r="T547" s="144"/>
      <c r="U547" s="232"/>
      <c r="V547" s="232"/>
      <c r="W547" s="144"/>
      <c r="X547" s="144"/>
      <c r="Y547" s="144"/>
      <c r="Z547" s="144"/>
      <c r="AA547" s="144"/>
      <c r="AB547" s="144"/>
      <c r="AC547" s="144"/>
      <c r="AD547" s="144"/>
      <c r="AE547" s="232"/>
      <c r="AF547" s="144"/>
      <c r="AG547" s="144"/>
      <c r="AH547" s="232"/>
      <c r="AI547" s="232"/>
      <c r="AJ547" s="144"/>
      <c r="AK547" s="144"/>
      <c r="AL547" s="144"/>
      <c r="AM547" s="144"/>
      <c r="AN547" s="144"/>
      <c r="AO547" s="144"/>
      <c r="AP547" s="144"/>
      <c r="AQ547" s="144"/>
      <c r="AR547" s="144"/>
      <c r="AS547" s="144"/>
      <c r="AT547" s="144"/>
      <c r="AU547" s="144"/>
      <c r="AV547" s="144"/>
    </row>
    <row r="548" spans="3:48" x14ac:dyDescent="0.25">
      <c r="C548" s="144"/>
      <c r="D548" s="144"/>
      <c r="E548" s="144"/>
      <c r="F548" s="144"/>
      <c r="G548" s="144"/>
      <c r="H548" s="232"/>
      <c r="I548" s="144"/>
      <c r="J548" s="144"/>
      <c r="K548" s="144"/>
      <c r="L548" s="144"/>
      <c r="M548" s="144"/>
      <c r="N548" s="144"/>
      <c r="O548" s="144"/>
      <c r="P548" s="144"/>
      <c r="Q548" s="144"/>
      <c r="R548" s="144"/>
      <c r="S548" s="144"/>
      <c r="T548" s="144"/>
      <c r="U548" s="232"/>
      <c r="V548" s="232"/>
      <c r="W548" s="144"/>
      <c r="X548" s="144"/>
      <c r="Y548" s="144"/>
      <c r="Z548" s="144"/>
      <c r="AA548" s="144"/>
      <c r="AB548" s="144"/>
      <c r="AC548" s="144"/>
      <c r="AD548" s="144"/>
      <c r="AE548" s="232"/>
      <c r="AF548" s="144"/>
      <c r="AG548" s="144"/>
      <c r="AH548" s="232"/>
      <c r="AI548" s="232"/>
      <c r="AJ548" s="144"/>
      <c r="AK548" s="144"/>
      <c r="AL548" s="144"/>
      <c r="AM548" s="144"/>
      <c r="AN548" s="144"/>
      <c r="AO548" s="144"/>
      <c r="AP548" s="144"/>
      <c r="AQ548" s="144"/>
      <c r="AR548" s="144"/>
      <c r="AS548" s="144"/>
      <c r="AT548" s="144"/>
      <c r="AU548" s="144"/>
      <c r="AV548" s="144"/>
    </row>
    <row r="549" spans="3:48" x14ac:dyDescent="0.25">
      <c r="C549" s="144"/>
      <c r="D549" s="144"/>
      <c r="E549" s="144"/>
      <c r="F549" s="144"/>
      <c r="G549" s="144"/>
      <c r="H549" s="232"/>
      <c r="I549" s="144"/>
      <c r="J549" s="144"/>
      <c r="K549" s="144"/>
      <c r="L549" s="144"/>
      <c r="M549" s="144"/>
      <c r="N549" s="144"/>
      <c r="O549" s="144"/>
      <c r="P549" s="144"/>
      <c r="Q549" s="144"/>
      <c r="R549" s="144"/>
      <c r="S549" s="144"/>
      <c r="T549" s="144"/>
      <c r="U549" s="232"/>
      <c r="V549" s="232"/>
      <c r="W549" s="144"/>
      <c r="X549" s="144"/>
      <c r="Y549" s="144"/>
      <c r="Z549" s="144"/>
      <c r="AA549" s="144"/>
      <c r="AB549" s="144"/>
      <c r="AC549" s="144"/>
      <c r="AD549" s="144"/>
      <c r="AE549" s="232"/>
      <c r="AF549" s="144"/>
      <c r="AG549" s="144"/>
      <c r="AH549" s="232"/>
      <c r="AI549" s="232"/>
      <c r="AJ549" s="144"/>
      <c r="AK549" s="144"/>
      <c r="AL549" s="144"/>
      <c r="AM549" s="144"/>
      <c r="AN549" s="144"/>
      <c r="AO549" s="144"/>
      <c r="AP549" s="144"/>
      <c r="AQ549" s="144"/>
      <c r="AR549" s="144"/>
      <c r="AS549" s="144"/>
      <c r="AT549" s="144"/>
      <c r="AU549" s="144"/>
      <c r="AV549" s="144"/>
    </row>
    <row r="550" spans="3:48" x14ac:dyDescent="0.25">
      <c r="C550" s="144"/>
      <c r="D550" s="144"/>
      <c r="E550" s="144"/>
      <c r="F550" s="144"/>
      <c r="G550" s="144"/>
      <c r="H550" s="232"/>
      <c r="I550" s="144"/>
      <c r="J550" s="144"/>
      <c r="K550" s="144"/>
      <c r="L550" s="144"/>
      <c r="M550" s="144"/>
      <c r="N550" s="144"/>
      <c r="O550" s="144"/>
      <c r="P550" s="144"/>
      <c r="Q550" s="144"/>
      <c r="R550" s="144"/>
      <c r="S550" s="144"/>
      <c r="T550" s="144"/>
      <c r="U550" s="232"/>
      <c r="V550" s="232"/>
      <c r="W550" s="144"/>
      <c r="X550" s="144"/>
      <c r="Y550" s="144"/>
      <c r="Z550" s="144"/>
      <c r="AA550" s="144"/>
      <c r="AB550" s="144"/>
      <c r="AC550" s="144"/>
      <c r="AD550" s="144"/>
      <c r="AE550" s="232"/>
      <c r="AF550" s="144"/>
      <c r="AG550" s="144"/>
      <c r="AH550" s="232"/>
      <c r="AI550" s="232"/>
      <c r="AJ550" s="144"/>
      <c r="AK550" s="144"/>
      <c r="AL550" s="144"/>
      <c r="AM550" s="144"/>
      <c r="AN550" s="144"/>
      <c r="AO550" s="144"/>
      <c r="AP550" s="144"/>
      <c r="AQ550" s="144"/>
      <c r="AR550" s="144"/>
      <c r="AS550" s="144"/>
      <c r="AT550" s="144"/>
      <c r="AU550" s="144"/>
      <c r="AV550" s="144"/>
    </row>
    <row r="551" spans="3:48" x14ac:dyDescent="0.25">
      <c r="C551" s="144"/>
      <c r="D551" s="144"/>
      <c r="E551" s="144"/>
      <c r="F551" s="144"/>
      <c r="G551" s="144"/>
      <c r="H551" s="232"/>
      <c r="I551" s="144"/>
      <c r="J551" s="144"/>
      <c r="K551" s="144"/>
      <c r="L551" s="144"/>
      <c r="M551" s="144"/>
      <c r="N551" s="144"/>
      <c r="O551" s="144"/>
      <c r="P551" s="144"/>
      <c r="Q551" s="144"/>
      <c r="R551" s="144"/>
      <c r="S551" s="144"/>
      <c r="T551" s="144"/>
      <c r="U551" s="232"/>
      <c r="V551" s="232"/>
      <c r="W551" s="144"/>
      <c r="X551" s="144"/>
      <c r="Y551" s="144"/>
      <c r="Z551" s="144"/>
      <c r="AA551" s="144"/>
      <c r="AB551" s="144"/>
      <c r="AC551" s="144"/>
      <c r="AD551" s="144"/>
      <c r="AE551" s="232"/>
      <c r="AF551" s="144"/>
      <c r="AG551" s="144"/>
      <c r="AH551" s="232"/>
      <c r="AI551" s="232"/>
      <c r="AJ551" s="144"/>
      <c r="AK551" s="144"/>
      <c r="AL551" s="144"/>
      <c r="AM551" s="144"/>
      <c r="AN551" s="144"/>
      <c r="AO551" s="144"/>
      <c r="AP551" s="144"/>
      <c r="AQ551" s="144"/>
      <c r="AR551" s="144"/>
      <c r="AS551" s="144"/>
      <c r="AT551" s="144"/>
      <c r="AU551" s="144"/>
      <c r="AV551" s="144"/>
    </row>
    <row r="552" spans="3:48" x14ac:dyDescent="0.25">
      <c r="C552" s="144"/>
      <c r="D552" s="144"/>
      <c r="E552" s="144"/>
      <c r="F552" s="144"/>
      <c r="G552" s="144"/>
      <c r="H552" s="232"/>
      <c r="I552" s="144"/>
      <c r="J552" s="144"/>
      <c r="K552" s="144"/>
      <c r="L552" s="144"/>
      <c r="M552" s="144"/>
      <c r="N552" s="144"/>
      <c r="O552" s="144"/>
      <c r="P552" s="144"/>
      <c r="Q552" s="144"/>
      <c r="R552" s="144"/>
      <c r="S552" s="144"/>
      <c r="T552" s="144"/>
      <c r="U552" s="232"/>
      <c r="V552" s="232"/>
      <c r="W552" s="144"/>
      <c r="X552" s="144"/>
      <c r="Y552" s="144"/>
      <c r="Z552" s="144"/>
      <c r="AA552" s="144"/>
      <c r="AB552" s="144"/>
      <c r="AC552" s="144"/>
      <c r="AD552" s="144"/>
      <c r="AE552" s="232"/>
      <c r="AF552" s="144"/>
      <c r="AG552" s="144"/>
      <c r="AH552" s="232"/>
      <c r="AI552" s="232"/>
      <c r="AJ552" s="144"/>
      <c r="AK552" s="144"/>
      <c r="AL552" s="144"/>
      <c r="AM552" s="144"/>
      <c r="AN552" s="144"/>
      <c r="AO552" s="144"/>
      <c r="AP552" s="144"/>
      <c r="AQ552" s="144"/>
      <c r="AR552" s="144"/>
      <c r="AS552" s="144"/>
      <c r="AT552" s="144"/>
      <c r="AU552" s="144"/>
      <c r="AV552" s="144"/>
    </row>
    <row r="553" spans="3:48" x14ac:dyDescent="0.25">
      <c r="C553" s="144"/>
      <c r="D553" s="144"/>
      <c r="E553" s="144"/>
      <c r="F553" s="144"/>
      <c r="G553" s="144"/>
      <c r="H553" s="232"/>
      <c r="I553" s="144"/>
      <c r="J553" s="144"/>
      <c r="K553" s="144"/>
      <c r="L553" s="144"/>
      <c r="M553" s="144"/>
      <c r="N553" s="144"/>
      <c r="O553" s="144"/>
      <c r="P553" s="144"/>
      <c r="Q553" s="144"/>
      <c r="R553" s="144"/>
      <c r="S553" s="144"/>
      <c r="T553" s="144"/>
      <c r="U553" s="232"/>
      <c r="V553" s="232"/>
      <c r="W553" s="144"/>
      <c r="X553" s="144"/>
      <c r="Y553" s="144"/>
      <c r="Z553" s="144"/>
      <c r="AA553" s="144"/>
      <c r="AB553" s="144"/>
      <c r="AC553" s="144"/>
      <c r="AD553" s="144"/>
      <c r="AE553" s="232"/>
      <c r="AF553" s="144"/>
      <c r="AG553" s="144"/>
      <c r="AH553" s="232"/>
      <c r="AI553" s="232"/>
      <c r="AJ553" s="144"/>
      <c r="AK553" s="144"/>
      <c r="AL553" s="144"/>
      <c r="AM553" s="144"/>
      <c r="AN553" s="144"/>
      <c r="AO553" s="144"/>
      <c r="AP553" s="144"/>
      <c r="AQ553" s="144"/>
      <c r="AR553" s="144"/>
      <c r="AS553" s="144"/>
      <c r="AT553" s="144"/>
      <c r="AU553" s="144"/>
      <c r="AV553" s="144"/>
    </row>
    <row r="554" spans="3:48" x14ac:dyDescent="0.25">
      <c r="C554" s="144"/>
      <c r="D554" s="144"/>
      <c r="E554" s="144"/>
      <c r="F554" s="144"/>
      <c r="G554" s="144"/>
      <c r="H554" s="232"/>
      <c r="I554" s="144"/>
      <c r="J554" s="144"/>
      <c r="K554" s="144"/>
      <c r="L554" s="144"/>
      <c r="M554" s="144"/>
      <c r="N554" s="144"/>
      <c r="O554" s="144"/>
      <c r="P554" s="144"/>
      <c r="Q554" s="144"/>
      <c r="R554" s="144"/>
      <c r="S554" s="144"/>
      <c r="T554" s="144"/>
      <c r="U554" s="232"/>
      <c r="V554" s="232"/>
      <c r="W554" s="144"/>
      <c r="X554" s="144"/>
      <c r="Y554" s="144"/>
      <c r="Z554" s="144"/>
      <c r="AA554" s="144"/>
      <c r="AB554" s="144"/>
      <c r="AC554" s="144"/>
      <c r="AD554" s="144"/>
      <c r="AE554" s="232"/>
      <c r="AF554" s="144"/>
      <c r="AG554" s="144"/>
      <c r="AH554" s="232"/>
      <c r="AI554" s="232"/>
      <c r="AJ554" s="144"/>
      <c r="AK554" s="144"/>
      <c r="AL554" s="144"/>
      <c r="AM554" s="144"/>
      <c r="AN554" s="144"/>
      <c r="AO554" s="144"/>
      <c r="AP554" s="144"/>
      <c r="AQ554" s="144"/>
      <c r="AR554" s="144"/>
      <c r="AS554" s="144"/>
      <c r="AT554" s="144"/>
      <c r="AU554" s="144"/>
      <c r="AV554" s="144"/>
    </row>
    <row r="555" spans="3:48" x14ac:dyDescent="0.25">
      <c r="C555" s="144"/>
      <c r="D555" s="144"/>
      <c r="E555" s="144"/>
      <c r="F555" s="144"/>
      <c r="G555" s="144"/>
      <c r="H555" s="232"/>
      <c r="I555" s="144"/>
      <c r="J555" s="144"/>
      <c r="K555" s="144"/>
      <c r="L555" s="144"/>
      <c r="M555" s="144"/>
      <c r="N555" s="144"/>
      <c r="O555" s="144"/>
      <c r="P555" s="144"/>
      <c r="Q555" s="144"/>
      <c r="R555" s="144"/>
      <c r="S555" s="144"/>
      <c r="T555" s="144"/>
      <c r="U555" s="232"/>
      <c r="V555" s="232"/>
      <c r="W555" s="144"/>
      <c r="X555" s="144"/>
      <c r="Y555" s="144"/>
      <c r="Z555" s="144"/>
      <c r="AA555" s="144"/>
      <c r="AB555" s="144"/>
      <c r="AC555" s="144"/>
      <c r="AD555" s="144"/>
      <c r="AE555" s="232"/>
      <c r="AF555" s="144"/>
      <c r="AG555" s="144"/>
      <c r="AH555" s="232"/>
      <c r="AI555" s="232"/>
      <c r="AJ555" s="144"/>
      <c r="AK555" s="144"/>
      <c r="AL555" s="144"/>
      <c r="AM555" s="144"/>
      <c r="AN555" s="144"/>
      <c r="AO555" s="144"/>
      <c r="AP555" s="144"/>
      <c r="AQ555" s="144"/>
      <c r="AR555" s="144"/>
      <c r="AS555" s="144"/>
      <c r="AT555" s="144"/>
      <c r="AU555" s="144"/>
      <c r="AV555" s="144"/>
    </row>
    <row r="556" spans="3:48" x14ac:dyDescent="0.25">
      <c r="C556" s="144"/>
      <c r="D556" s="144"/>
      <c r="E556" s="144"/>
      <c r="F556" s="144"/>
      <c r="G556" s="144"/>
      <c r="H556" s="232"/>
      <c r="I556" s="144"/>
      <c r="J556" s="144"/>
      <c r="K556" s="144"/>
      <c r="L556" s="144"/>
      <c r="M556" s="144"/>
      <c r="N556" s="144"/>
      <c r="O556" s="144"/>
      <c r="P556" s="144"/>
      <c r="Q556" s="144"/>
      <c r="R556" s="144"/>
      <c r="S556" s="144"/>
      <c r="T556" s="144"/>
      <c r="U556" s="232"/>
      <c r="V556" s="232"/>
      <c r="W556" s="144"/>
      <c r="X556" s="144"/>
      <c r="Y556" s="144"/>
      <c r="Z556" s="144"/>
      <c r="AA556" s="144"/>
      <c r="AB556" s="144"/>
      <c r="AC556" s="144"/>
      <c r="AD556" s="144"/>
      <c r="AE556" s="232"/>
      <c r="AF556" s="144"/>
      <c r="AG556" s="144"/>
      <c r="AH556" s="232"/>
      <c r="AI556" s="232"/>
      <c r="AJ556" s="144"/>
      <c r="AK556" s="144"/>
      <c r="AL556" s="144"/>
      <c r="AM556" s="144"/>
      <c r="AN556" s="144"/>
      <c r="AO556" s="144"/>
      <c r="AP556" s="144"/>
      <c r="AQ556" s="144"/>
      <c r="AR556" s="144"/>
      <c r="AS556" s="144"/>
      <c r="AT556" s="144"/>
      <c r="AU556" s="144"/>
      <c r="AV556" s="144"/>
    </row>
    <row r="557" spans="3:48" x14ac:dyDescent="0.25">
      <c r="C557" s="144"/>
      <c r="D557" s="144"/>
      <c r="E557" s="144"/>
      <c r="F557" s="144"/>
      <c r="G557" s="144"/>
      <c r="H557" s="232"/>
      <c r="I557" s="144"/>
      <c r="J557" s="144"/>
      <c r="K557" s="144"/>
      <c r="L557" s="144"/>
      <c r="M557" s="144"/>
      <c r="N557" s="144"/>
      <c r="O557" s="144"/>
      <c r="P557" s="144"/>
      <c r="Q557" s="144"/>
      <c r="R557" s="144"/>
      <c r="S557" s="144"/>
      <c r="T557" s="144"/>
      <c r="U557" s="232"/>
      <c r="V557" s="232"/>
      <c r="W557" s="144"/>
      <c r="X557" s="144"/>
      <c r="Y557" s="144"/>
      <c r="Z557" s="144"/>
      <c r="AA557" s="144"/>
      <c r="AB557" s="144"/>
      <c r="AC557" s="144"/>
      <c r="AD557" s="144"/>
      <c r="AE557" s="232"/>
      <c r="AF557" s="144"/>
      <c r="AG557" s="144"/>
      <c r="AH557" s="232"/>
      <c r="AI557" s="232"/>
      <c r="AJ557" s="144"/>
      <c r="AK557" s="144"/>
      <c r="AL557" s="144"/>
      <c r="AM557" s="144"/>
      <c r="AN557" s="144"/>
      <c r="AO557" s="144"/>
      <c r="AP557" s="144"/>
      <c r="AQ557" s="144"/>
      <c r="AR557" s="144"/>
      <c r="AS557" s="144"/>
      <c r="AT557" s="144"/>
      <c r="AU557" s="144"/>
      <c r="AV557" s="144"/>
    </row>
    <row r="558" spans="3:48" x14ac:dyDescent="0.25">
      <c r="C558" s="144"/>
      <c r="D558" s="144"/>
      <c r="E558" s="144"/>
      <c r="F558" s="144"/>
      <c r="G558" s="144"/>
      <c r="H558" s="232"/>
      <c r="I558" s="144"/>
      <c r="J558" s="144"/>
      <c r="K558" s="144"/>
      <c r="L558" s="144"/>
      <c r="M558" s="144"/>
      <c r="N558" s="144"/>
      <c r="O558" s="144"/>
      <c r="P558" s="144"/>
      <c r="Q558" s="144"/>
      <c r="R558" s="144"/>
      <c r="S558" s="144"/>
      <c r="T558" s="144"/>
      <c r="U558" s="232"/>
      <c r="V558" s="232"/>
      <c r="W558" s="144"/>
      <c r="X558" s="144"/>
      <c r="Y558" s="144"/>
      <c r="Z558" s="144"/>
      <c r="AA558" s="144"/>
      <c r="AB558" s="144"/>
      <c r="AC558" s="144"/>
      <c r="AD558" s="144"/>
      <c r="AE558" s="232"/>
      <c r="AF558" s="144"/>
      <c r="AG558" s="144"/>
      <c r="AH558" s="232"/>
      <c r="AI558" s="232"/>
      <c r="AJ558" s="144"/>
      <c r="AK558" s="144"/>
      <c r="AL558" s="144"/>
      <c r="AM558" s="144"/>
      <c r="AN558" s="144"/>
      <c r="AO558" s="144"/>
      <c r="AP558" s="144"/>
      <c r="AQ558" s="144"/>
      <c r="AR558" s="144"/>
      <c r="AS558" s="144"/>
      <c r="AT558" s="144"/>
      <c r="AU558" s="144"/>
      <c r="AV558" s="144"/>
    </row>
    <row r="559" spans="3:48" x14ac:dyDescent="0.25">
      <c r="C559" s="144"/>
      <c r="D559" s="144"/>
      <c r="E559" s="144"/>
      <c r="F559" s="144"/>
      <c r="G559" s="144"/>
      <c r="H559" s="232"/>
      <c r="I559" s="144"/>
      <c r="J559" s="144"/>
      <c r="K559" s="144"/>
      <c r="L559" s="144"/>
      <c r="M559" s="144"/>
      <c r="N559" s="144"/>
      <c r="O559" s="144"/>
      <c r="P559" s="144"/>
      <c r="Q559" s="144"/>
      <c r="R559" s="144"/>
      <c r="S559" s="144"/>
      <c r="T559" s="144"/>
      <c r="U559" s="232"/>
      <c r="V559" s="232"/>
      <c r="W559" s="144"/>
      <c r="X559" s="144"/>
      <c r="Y559" s="144"/>
      <c r="Z559" s="144"/>
      <c r="AA559" s="144"/>
      <c r="AB559" s="144"/>
      <c r="AC559" s="144"/>
      <c r="AD559" s="144"/>
      <c r="AE559" s="232"/>
      <c r="AF559" s="144"/>
      <c r="AG559" s="144"/>
      <c r="AH559" s="232"/>
      <c r="AI559" s="232"/>
      <c r="AJ559" s="144"/>
      <c r="AK559" s="144"/>
      <c r="AL559" s="144"/>
      <c r="AM559" s="144"/>
      <c r="AN559" s="144"/>
      <c r="AO559" s="144"/>
      <c r="AP559" s="144"/>
      <c r="AQ559" s="144"/>
      <c r="AR559" s="144"/>
      <c r="AS559" s="144"/>
      <c r="AT559" s="144"/>
      <c r="AU559" s="144"/>
      <c r="AV559" s="144"/>
    </row>
    <row r="560" spans="3:48" x14ac:dyDescent="0.25">
      <c r="C560" s="144"/>
      <c r="D560" s="144"/>
      <c r="E560" s="144"/>
      <c r="F560" s="144"/>
      <c r="G560" s="144"/>
      <c r="H560" s="232"/>
      <c r="I560" s="144"/>
      <c r="J560" s="144"/>
      <c r="K560" s="144"/>
      <c r="L560" s="144"/>
      <c r="M560" s="144"/>
      <c r="N560" s="144"/>
      <c r="O560" s="144"/>
      <c r="P560" s="144"/>
      <c r="Q560" s="144"/>
      <c r="R560" s="144"/>
      <c r="S560" s="144"/>
      <c r="T560" s="144"/>
      <c r="U560" s="232"/>
      <c r="V560" s="232"/>
      <c r="W560" s="144"/>
      <c r="X560" s="144"/>
      <c r="Y560" s="144"/>
      <c r="Z560" s="144"/>
      <c r="AA560" s="144"/>
      <c r="AB560" s="144"/>
      <c r="AC560" s="144"/>
      <c r="AD560" s="144"/>
      <c r="AE560" s="232"/>
      <c r="AF560" s="144"/>
      <c r="AG560" s="144"/>
      <c r="AH560" s="232"/>
      <c r="AI560" s="232"/>
      <c r="AJ560" s="144"/>
      <c r="AK560" s="144"/>
      <c r="AL560" s="144"/>
      <c r="AM560" s="144"/>
      <c r="AN560" s="144"/>
      <c r="AO560" s="144"/>
      <c r="AP560" s="144"/>
      <c r="AQ560" s="144"/>
      <c r="AR560" s="144"/>
      <c r="AS560" s="144"/>
      <c r="AT560" s="144"/>
      <c r="AU560" s="144"/>
      <c r="AV560" s="144"/>
    </row>
    <row r="561" spans="3:48" x14ac:dyDescent="0.25">
      <c r="C561" s="144"/>
      <c r="D561" s="144"/>
      <c r="E561" s="144"/>
      <c r="F561" s="144"/>
      <c r="G561" s="144"/>
      <c r="H561" s="232"/>
      <c r="I561" s="144"/>
      <c r="J561" s="144"/>
      <c r="K561" s="144"/>
      <c r="L561" s="144"/>
      <c r="M561" s="144"/>
      <c r="N561" s="144"/>
      <c r="O561" s="144"/>
      <c r="P561" s="144"/>
      <c r="Q561" s="144"/>
      <c r="R561" s="144"/>
      <c r="S561" s="144"/>
      <c r="T561" s="144"/>
      <c r="U561" s="232"/>
      <c r="V561" s="232"/>
      <c r="W561" s="144"/>
      <c r="X561" s="144"/>
      <c r="Y561" s="144"/>
      <c r="Z561" s="144"/>
      <c r="AA561" s="144"/>
      <c r="AB561" s="144"/>
      <c r="AC561" s="144"/>
      <c r="AD561" s="144"/>
      <c r="AE561" s="232"/>
      <c r="AF561" s="144"/>
      <c r="AG561" s="144"/>
      <c r="AH561" s="232"/>
      <c r="AI561" s="232"/>
      <c r="AJ561" s="144"/>
      <c r="AK561" s="144"/>
      <c r="AL561" s="144"/>
      <c r="AM561" s="144"/>
      <c r="AN561" s="144"/>
      <c r="AO561" s="144"/>
      <c r="AP561" s="144"/>
      <c r="AQ561" s="144"/>
      <c r="AR561" s="144"/>
      <c r="AS561" s="144"/>
      <c r="AT561" s="144"/>
      <c r="AU561" s="144"/>
      <c r="AV561" s="144"/>
    </row>
    <row r="562" spans="3:48" x14ac:dyDescent="0.25">
      <c r="C562" s="144"/>
      <c r="D562" s="144"/>
      <c r="E562" s="144"/>
      <c r="F562" s="144"/>
      <c r="G562" s="144"/>
      <c r="H562" s="232"/>
      <c r="I562" s="144"/>
      <c r="J562" s="144"/>
      <c r="K562" s="144"/>
      <c r="L562" s="144"/>
      <c r="M562" s="144"/>
      <c r="N562" s="144"/>
      <c r="O562" s="144"/>
      <c r="P562" s="144"/>
      <c r="Q562" s="144"/>
      <c r="R562" s="144"/>
      <c r="S562" s="144"/>
      <c r="T562" s="144"/>
      <c r="U562" s="232"/>
      <c r="V562" s="232"/>
      <c r="W562" s="144"/>
      <c r="X562" s="144"/>
      <c r="Y562" s="144"/>
      <c r="Z562" s="144"/>
      <c r="AA562" s="144"/>
      <c r="AB562" s="144"/>
      <c r="AC562" s="144"/>
      <c r="AD562" s="144"/>
      <c r="AE562" s="232"/>
      <c r="AF562" s="144"/>
      <c r="AG562" s="144"/>
      <c r="AH562" s="232"/>
      <c r="AI562" s="232"/>
      <c r="AJ562" s="144"/>
      <c r="AK562" s="144"/>
      <c r="AL562" s="144"/>
      <c r="AM562" s="144"/>
      <c r="AN562" s="144"/>
      <c r="AO562" s="144"/>
      <c r="AP562" s="144"/>
      <c r="AQ562" s="144"/>
      <c r="AR562" s="144"/>
      <c r="AS562" s="144"/>
      <c r="AT562" s="144"/>
      <c r="AU562" s="144"/>
      <c r="AV562" s="144"/>
    </row>
    <row r="563" spans="3:48" x14ac:dyDescent="0.25">
      <c r="C563" s="144"/>
      <c r="D563" s="144"/>
      <c r="E563" s="144"/>
      <c r="F563" s="144"/>
      <c r="G563" s="144"/>
      <c r="H563" s="232"/>
      <c r="I563" s="144"/>
      <c r="J563" s="144"/>
      <c r="K563" s="144"/>
      <c r="L563" s="144"/>
      <c r="M563" s="144"/>
      <c r="N563" s="144"/>
      <c r="O563" s="144"/>
      <c r="P563" s="144"/>
      <c r="Q563" s="144"/>
      <c r="R563" s="144"/>
      <c r="S563" s="144"/>
      <c r="T563" s="144"/>
      <c r="U563" s="232"/>
      <c r="V563" s="232"/>
      <c r="W563" s="144"/>
      <c r="X563" s="144"/>
      <c r="Y563" s="144"/>
      <c r="Z563" s="144"/>
      <c r="AA563" s="144"/>
      <c r="AB563" s="144"/>
      <c r="AC563" s="144"/>
      <c r="AD563" s="144"/>
      <c r="AE563" s="232"/>
      <c r="AF563" s="144"/>
      <c r="AG563" s="144"/>
      <c r="AH563" s="232"/>
      <c r="AI563" s="232"/>
      <c r="AJ563" s="144"/>
      <c r="AK563" s="144"/>
      <c r="AL563" s="144"/>
      <c r="AM563" s="144"/>
      <c r="AN563" s="144"/>
      <c r="AO563" s="144"/>
      <c r="AP563" s="144"/>
      <c r="AQ563" s="144"/>
      <c r="AR563" s="144"/>
      <c r="AS563" s="144"/>
      <c r="AT563" s="144"/>
      <c r="AU563" s="144"/>
      <c r="AV563" s="144"/>
    </row>
    <row r="564" spans="3:48" x14ac:dyDescent="0.25">
      <c r="C564" s="144"/>
      <c r="D564" s="144"/>
      <c r="E564" s="144"/>
      <c r="F564" s="144"/>
      <c r="G564" s="144"/>
      <c r="H564" s="232"/>
      <c r="I564" s="144"/>
      <c r="J564" s="144"/>
      <c r="K564" s="144"/>
      <c r="L564" s="144"/>
      <c r="M564" s="144"/>
      <c r="N564" s="144"/>
      <c r="O564" s="144"/>
      <c r="P564" s="144"/>
      <c r="Q564" s="144"/>
      <c r="R564" s="144"/>
      <c r="S564" s="144"/>
      <c r="T564" s="144"/>
      <c r="U564" s="232"/>
      <c r="V564" s="232"/>
      <c r="W564" s="144"/>
      <c r="X564" s="144"/>
      <c r="Y564" s="144"/>
      <c r="Z564" s="144"/>
      <c r="AA564" s="144"/>
      <c r="AB564" s="144"/>
      <c r="AC564" s="144"/>
      <c r="AD564" s="144"/>
      <c r="AE564" s="232"/>
      <c r="AF564" s="144"/>
      <c r="AG564" s="144"/>
      <c r="AH564" s="232"/>
      <c r="AI564" s="232"/>
      <c r="AJ564" s="144"/>
      <c r="AK564" s="144"/>
      <c r="AL564" s="144"/>
      <c r="AM564" s="144"/>
      <c r="AN564" s="144"/>
      <c r="AO564" s="144"/>
      <c r="AP564" s="144"/>
      <c r="AQ564" s="144"/>
      <c r="AR564" s="144"/>
      <c r="AS564" s="144"/>
      <c r="AT564" s="144"/>
      <c r="AU564" s="144"/>
      <c r="AV564" s="144"/>
    </row>
    <row r="565" spans="3:48" x14ac:dyDescent="0.25">
      <c r="C565" s="144"/>
      <c r="D565" s="144"/>
      <c r="E565" s="144"/>
      <c r="F565" s="144"/>
      <c r="G565" s="144"/>
      <c r="H565" s="232"/>
      <c r="I565" s="144"/>
      <c r="J565" s="144"/>
      <c r="K565" s="144"/>
      <c r="L565" s="144"/>
      <c r="M565" s="144"/>
      <c r="N565" s="144"/>
      <c r="O565" s="144"/>
      <c r="P565" s="144"/>
      <c r="Q565" s="144"/>
      <c r="R565" s="144"/>
      <c r="S565" s="144"/>
      <c r="T565" s="144"/>
      <c r="U565" s="232"/>
      <c r="V565" s="232"/>
      <c r="W565" s="144"/>
      <c r="X565" s="144"/>
      <c r="Y565" s="144"/>
      <c r="Z565" s="144"/>
      <c r="AA565" s="144"/>
      <c r="AB565" s="144"/>
      <c r="AC565" s="144"/>
      <c r="AD565" s="144"/>
      <c r="AE565" s="232"/>
      <c r="AF565" s="144"/>
      <c r="AG565" s="144"/>
      <c r="AH565" s="232"/>
      <c r="AI565" s="232"/>
      <c r="AJ565" s="144"/>
      <c r="AK565" s="144"/>
      <c r="AL565" s="144"/>
      <c r="AM565" s="144"/>
      <c r="AN565" s="144"/>
      <c r="AO565" s="144"/>
      <c r="AP565" s="144"/>
      <c r="AQ565" s="144"/>
      <c r="AR565" s="144"/>
      <c r="AS565" s="144"/>
      <c r="AT565" s="144"/>
      <c r="AU565" s="144"/>
      <c r="AV565" s="144"/>
    </row>
    <row r="566" spans="3:48" x14ac:dyDescent="0.25">
      <c r="C566" s="144"/>
      <c r="D566" s="144"/>
      <c r="E566" s="144"/>
      <c r="F566" s="144"/>
      <c r="G566" s="144"/>
      <c r="H566" s="232"/>
      <c r="I566" s="144"/>
      <c r="J566" s="144"/>
      <c r="K566" s="144"/>
      <c r="L566" s="144"/>
      <c r="M566" s="144"/>
      <c r="N566" s="144"/>
      <c r="O566" s="144"/>
      <c r="P566" s="144"/>
      <c r="Q566" s="144"/>
      <c r="R566" s="144"/>
      <c r="S566" s="144"/>
      <c r="T566" s="144"/>
      <c r="U566" s="232"/>
      <c r="V566" s="232"/>
      <c r="W566" s="144"/>
      <c r="X566" s="144"/>
      <c r="Y566" s="144"/>
      <c r="Z566" s="144"/>
      <c r="AA566" s="144"/>
      <c r="AB566" s="144"/>
      <c r="AC566" s="144"/>
      <c r="AD566" s="144"/>
      <c r="AE566" s="232"/>
      <c r="AF566" s="144"/>
      <c r="AG566" s="144"/>
      <c r="AH566" s="232"/>
      <c r="AI566" s="232"/>
      <c r="AJ566" s="144"/>
      <c r="AK566" s="144"/>
      <c r="AL566" s="144"/>
      <c r="AM566" s="144"/>
      <c r="AN566" s="144"/>
      <c r="AO566" s="144"/>
      <c r="AP566" s="144"/>
      <c r="AQ566" s="144"/>
      <c r="AR566" s="144"/>
      <c r="AS566" s="144"/>
      <c r="AT566" s="144"/>
      <c r="AU566" s="144"/>
      <c r="AV566" s="144"/>
    </row>
    <row r="567" spans="3:48" x14ac:dyDescent="0.25">
      <c r="C567" s="144"/>
      <c r="D567" s="144"/>
      <c r="E567" s="144"/>
      <c r="F567" s="144"/>
      <c r="G567" s="144"/>
      <c r="H567" s="232"/>
      <c r="I567" s="144"/>
      <c r="J567" s="144"/>
      <c r="K567" s="144"/>
      <c r="L567" s="144"/>
      <c r="M567" s="144"/>
      <c r="N567" s="144"/>
      <c r="O567" s="144"/>
      <c r="P567" s="144"/>
      <c r="Q567" s="144"/>
      <c r="R567" s="144"/>
      <c r="S567" s="144"/>
      <c r="T567" s="144"/>
      <c r="U567" s="232"/>
      <c r="V567" s="232"/>
      <c r="W567" s="144"/>
      <c r="X567" s="144"/>
      <c r="Y567" s="144"/>
      <c r="Z567" s="144"/>
      <c r="AA567" s="144"/>
      <c r="AB567" s="144"/>
      <c r="AC567" s="144"/>
      <c r="AD567" s="144"/>
      <c r="AE567" s="232"/>
      <c r="AF567" s="144"/>
      <c r="AG567" s="144"/>
      <c r="AH567" s="232"/>
      <c r="AI567" s="232"/>
      <c r="AJ567" s="144"/>
      <c r="AK567" s="144"/>
      <c r="AL567" s="144"/>
      <c r="AM567" s="144"/>
      <c r="AN567" s="144"/>
      <c r="AO567" s="144"/>
      <c r="AP567" s="144"/>
      <c r="AQ567" s="144"/>
      <c r="AR567" s="144"/>
      <c r="AS567" s="144"/>
      <c r="AT567" s="144"/>
      <c r="AU567" s="144"/>
      <c r="AV567" s="144"/>
    </row>
    <row r="568" spans="3:48" x14ac:dyDescent="0.25">
      <c r="C568" s="144"/>
      <c r="D568" s="144"/>
      <c r="E568" s="144"/>
      <c r="F568" s="144"/>
      <c r="G568" s="144"/>
      <c r="H568" s="232"/>
      <c r="I568" s="144"/>
      <c r="J568" s="144"/>
      <c r="K568" s="144"/>
      <c r="L568" s="144"/>
      <c r="M568" s="144"/>
      <c r="N568" s="144"/>
      <c r="O568" s="144"/>
      <c r="P568" s="144"/>
      <c r="Q568" s="144"/>
      <c r="R568" s="144"/>
      <c r="S568" s="144"/>
      <c r="T568" s="144"/>
      <c r="U568" s="232"/>
      <c r="V568" s="232"/>
      <c r="W568" s="144"/>
      <c r="X568" s="144"/>
      <c r="Y568" s="144"/>
      <c r="Z568" s="144"/>
      <c r="AA568" s="144"/>
      <c r="AB568" s="144"/>
      <c r="AC568" s="144"/>
      <c r="AD568" s="144"/>
      <c r="AE568" s="232"/>
      <c r="AF568" s="144"/>
      <c r="AG568" s="144"/>
      <c r="AH568" s="232"/>
      <c r="AI568" s="232"/>
      <c r="AJ568" s="144"/>
      <c r="AK568" s="144"/>
      <c r="AL568" s="144"/>
      <c r="AM568" s="144"/>
      <c r="AN568" s="144"/>
      <c r="AO568" s="144"/>
      <c r="AP568" s="144"/>
      <c r="AQ568" s="144"/>
      <c r="AR568" s="144"/>
      <c r="AS568" s="144"/>
      <c r="AT568" s="144"/>
      <c r="AU568" s="144"/>
      <c r="AV568" s="144"/>
    </row>
    <row r="569" spans="3:48" x14ac:dyDescent="0.25">
      <c r="C569" s="144"/>
      <c r="D569" s="144"/>
      <c r="E569" s="144"/>
      <c r="F569" s="144"/>
      <c r="G569" s="144"/>
      <c r="H569" s="232"/>
      <c r="I569" s="144"/>
      <c r="J569" s="144"/>
      <c r="K569" s="144"/>
      <c r="L569" s="144"/>
      <c r="M569" s="144"/>
      <c r="N569" s="144"/>
      <c r="O569" s="144"/>
      <c r="P569" s="144"/>
      <c r="Q569" s="144"/>
      <c r="R569" s="144"/>
      <c r="S569" s="144"/>
      <c r="T569" s="144"/>
      <c r="U569" s="232"/>
      <c r="V569" s="232"/>
      <c r="W569" s="144"/>
      <c r="X569" s="144"/>
      <c r="Y569" s="144"/>
      <c r="Z569" s="144"/>
      <c r="AA569" s="144"/>
      <c r="AB569" s="144"/>
      <c r="AC569" s="144"/>
      <c r="AD569" s="144"/>
      <c r="AE569" s="232"/>
      <c r="AF569" s="144"/>
      <c r="AG569" s="144"/>
      <c r="AH569" s="232"/>
      <c r="AI569" s="232"/>
      <c r="AJ569" s="144"/>
      <c r="AK569" s="144"/>
      <c r="AL569" s="144"/>
      <c r="AM569" s="144"/>
      <c r="AN569" s="144"/>
      <c r="AO569" s="144"/>
      <c r="AP569" s="144"/>
      <c r="AQ569" s="144"/>
      <c r="AR569" s="144"/>
      <c r="AS569" s="144"/>
      <c r="AT569" s="144"/>
      <c r="AU569" s="144"/>
      <c r="AV569" s="144"/>
    </row>
    <row r="570" spans="3:48" x14ac:dyDescent="0.25">
      <c r="C570" s="144"/>
      <c r="D570" s="144"/>
      <c r="E570" s="144"/>
      <c r="F570" s="144"/>
      <c r="G570" s="144"/>
      <c r="H570" s="232"/>
      <c r="I570" s="144"/>
      <c r="J570" s="144"/>
      <c r="K570" s="144"/>
      <c r="L570" s="144"/>
      <c r="M570" s="144"/>
      <c r="N570" s="144"/>
      <c r="O570" s="144"/>
      <c r="P570" s="144"/>
      <c r="Q570" s="144"/>
      <c r="R570" s="144"/>
      <c r="S570" s="144"/>
      <c r="T570" s="144"/>
      <c r="U570" s="232"/>
      <c r="V570" s="232"/>
      <c r="W570" s="144"/>
      <c r="X570" s="144"/>
      <c r="Y570" s="144"/>
      <c r="Z570" s="144"/>
      <c r="AA570" s="144"/>
      <c r="AB570" s="144"/>
      <c r="AC570" s="144"/>
      <c r="AD570" s="144"/>
      <c r="AE570" s="232"/>
      <c r="AF570" s="144"/>
      <c r="AG570" s="144"/>
      <c r="AH570" s="232"/>
      <c r="AI570" s="232"/>
      <c r="AJ570" s="144"/>
      <c r="AK570" s="144"/>
      <c r="AL570" s="144"/>
      <c r="AM570" s="144"/>
      <c r="AN570" s="144"/>
      <c r="AO570" s="144"/>
      <c r="AP570" s="144"/>
      <c r="AQ570" s="144"/>
      <c r="AR570" s="144"/>
      <c r="AS570" s="144"/>
      <c r="AT570" s="144"/>
      <c r="AU570" s="144"/>
      <c r="AV570" s="144"/>
    </row>
    <row r="571" spans="3:48" x14ac:dyDescent="0.25">
      <c r="C571" s="144"/>
      <c r="D571" s="144"/>
      <c r="E571" s="144"/>
      <c r="F571" s="144"/>
      <c r="G571" s="144"/>
      <c r="H571" s="232"/>
      <c r="I571" s="144"/>
      <c r="J571" s="144"/>
      <c r="K571" s="144"/>
      <c r="L571" s="144"/>
      <c r="M571" s="144"/>
      <c r="N571" s="144"/>
      <c r="O571" s="144"/>
      <c r="P571" s="144"/>
      <c r="Q571" s="144"/>
      <c r="R571" s="144"/>
      <c r="S571" s="144"/>
      <c r="T571" s="144"/>
      <c r="U571" s="232"/>
      <c r="V571" s="232"/>
      <c r="W571" s="144"/>
      <c r="X571" s="144"/>
      <c r="Y571" s="144"/>
      <c r="Z571" s="144"/>
      <c r="AA571" s="144"/>
      <c r="AB571" s="144"/>
      <c r="AC571" s="144"/>
      <c r="AD571" s="144"/>
      <c r="AE571" s="232"/>
      <c r="AF571" s="144"/>
      <c r="AG571" s="144"/>
      <c r="AH571" s="232"/>
      <c r="AI571" s="232"/>
      <c r="AJ571" s="144"/>
      <c r="AK571" s="144"/>
      <c r="AL571" s="144"/>
      <c r="AM571" s="144"/>
      <c r="AN571" s="144"/>
      <c r="AO571" s="144"/>
      <c r="AP571" s="144"/>
      <c r="AQ571" s="144"/>
      <c r="AR571" s="144"/>
      <c r="AS571" s="144"/>
      <c r="AT571" s="144"/>
      <c r="AU571" s="144"/>
      <c r="AV571" s="144"/>
    </row>
    <row r="572" spans="3:48" x14ac:dyDescent="0.25">
      <c r="C572" s="144"/>
      <c r="D572" s="144"/>
      <c r="E572" s="144"/>
      <c r="F572" s="144"/>
      <c r="G572" s="144"/>
      <c r="H572" s="232"/>
      <c r="I572" s="144"/>
      <c r="J572" s="144"/>
      <c r="K572" s="144"/>
      <c r="L572" s="144"/>
      <c r="M572" s="144"/>
      <c r="N572" s="144"/>
      <c r="O572" s="144"/>
      <c r="P572" s="144"/>
      <c r="Q572" s="144"/>
      <c r="R572" s="144"/>
      <c r="S572" s="144"/>
      <c r="T572" s="144"/>
      <c r="U572" s="232"/>
      <c r="V572" s="232"/>
      <c r="W572" s="144"/>
      <c r="X572" s="144"/>
      <c r="Y572" s="144"/>
      <c r="Z572" s="144"/>
      <c r="AA572" s="144"/>
      <c r="AB572" s="144"/>
      <c r="AC572" s="144"/>
      <c r="AD572" s="144"/>
      <c r="AE572" s="232"/>
      <c r="AF572" s="144"/>
      <c r="AG572" s="144"/>
      <c r="AH572" s="232"/>
      <c r="AI572" s="232"/>
      <c r="AJ572" s="144"/>
      <c r="AK572" s="144"/>
      <c r="AL572" s="144"/>
      <c r="AM572" s="144"/>
      <c r="AN572" s="144"/>
      <c r="AO572" s="144"/>
      <c r="AP572" s="144"/>
      <c r="AQ572" s="144"/>
      <c r="AR572" s="144"/>
      <c r="AS572" s="144"/>
      <c r="AT572" s="144"/>
      <c r="AU572" s="144"/>
      <c r="AV572" s="144"/>
    </row>
    <row r="573" spans="3:48" x14ac:dyDescent="0.25">
      <c r="C573" s="144"/>
      <c r="D573" s="144"/>
      <c r="E573" s="144"/>
      <c r="F573" s="144"/>
      <c r="G573" s="144"/>
      <c r="H573" s="232"/>
      <c r="I573" s="144"/>
      <c r="J573" s="144"/>
      <c r="K573" s="144"/>
      <c r="L573" s="144"/>
      <c r="M573" s="144"/>
      <c r="N573" s="144"/>
      <c r="O573" s="144"/>
      <c r="P573" s="144"/>
      <c r="Q573" s="144"/>
      <c r="R573" s="144"/>
      <c r="S573" s="144"/>
      <c r="T573" s="144"/>
      <c r="U573" s="232"/>
      <c r="V573" s="232"/>
      <c r="W573" s="144"/>
      <c r="X573" s="144"/>
      <c r="Y573" s="144"/>
      <c r="Z573" s="144"/>
      <c r="AA573" s="144"/>
      <c r="AB573" s="144"/>
      <c r="AC573" s="144"/>
      <c r="AD573" s="144"/>
      <c r="AE573" s="232"/>
      <c r="AF573" s="144"/>
      <c r="AG573" s="144"/>
      <c r="AH573" s="232"/>
      <c r="AI573" s="232"/>
      <c r="AJ573" s="144"/>
      <c r="AK573" s="144"/>
      <c r="AL573" s="144"/>
      <c r="AM573" s="144"/>
      <c r="AN573" s="144"/>
      <c r="AO573" s="144"/>
      <c r="AP573" s="144"/>
      <c r="AQ573" s="144"/>
      <c r="AR573" s="144"/>
      <c r="AS573" s="144"/>
      <c r="AT573" s="144"/>
      <c r="AU573" s="144"/>
      <c r="AV573" s="144"/>
    </row>
    <row r="574" spans="3:48" x14ac:dyDescent="0.25">
      <c r="C574" s="144"/>
      <c r="D574" s="144"/>
      <c r="E574" s="144"/>
      <c r="F574" s="144"/>
      <c r="G574" s="144"/>
      <c r="H574" s="232"/>
      <c r="I574" s="144"/>
      <c r="J574" s="144"/>
      <c r="K574" s="144"/>
      <c r="L574" s="144"/>
      <c r="M574" s="144"/>
      <c r="N574" s="144"/>
      <c r="O574" s="144"/>
      <c r="P574" s="144"/>
      <c r="Q574" s="144"/>
      <c r="R574" s="144"/>
      <c r="S574" s="144"/>
      <c r="T574" s="144"/>
      <c r="U574" s="232"/>
      <c r="V574" s="232"/>
      <c r="W574" s="144"/>
      <c r="X574" s="144"/>
      <c r="Y574" s="144"/>
      <c r="Z574" s="144"/>
      <c r="AA574" s="144"/>
      <c r="AB574" s="144"/>
      <c r="AC574" s="144"/>
      <c r="AD574" s="144"/>
      <c r="AE574" s="232"/>
      <c r="AF574" s="144"/>
      <c r="AG574" s="144"/>
      <c r="AH574" s="232"/>
      <c r="AI574" s="232"/>
      <c r="AJ574" s="144"/>
      <c r="AK574" s="144"/>
      <c r="AL574" s="144"/>
      <c r="AM574" s="144"/>
      <c r="AN574" s="144"/>
      <c r="AO574" s="144"/>
      <c r="AP574" s="144"/>
      <c r="AQ574" s="144"/>
      <c r="AR574" s="144"/>
      <c r="AS574" s="144"/>
      <c r="AT574" s="144"/>
      <c r="AU574" s="144"/>
      <c r="AV574" s="144"/>
    </row>
    <row r="575" spans="3:48" x14ac:dyDescent="0.25">
      <c r="C575" s="144"/>
      <c r="D575" s="144"/>
      <c r="E575" s="144"/>
      <c r="F575" s="144"/>
      <c r="G575" s="144"/>
      <c r="H575" s="232"/>
      <c r="I575" s="144"/>
      <c r="J575" s="144"/>
      <c r="K575" s="144"/>
      <c r="L575" s="144"/>
      <c r="M575" s="144"/>
      <c r="N575" s="144"/>
      <c r="O575" s="144"/>
      <c r="P575" s="144"/>
      <c r="Q575" s="144"/>
      <c r="R575" s="144"/>
      <c r="S575" s="144"/>
      <c r="T575" s="144"/>
      <c r="U575" s="232"/>
      <c r="V575" s="232"/>
      <c r="W575" s="144"/>
      <c r="X575" s="144"/>
      <c r="Y575" s="144"/>
      <c r="Z575" s="144"/>
      <c r="AA575" s="144"/>
      <c r="AB575" s="144"/>
      <c r="AC575" s="144"/>
      <c r="AD575" s="144"/>
      <c r="AE575" s="232"/>
      <c r="AF575" s="144"/>
      <c r="AG575" s="144"/>
      <c r="AH575" s="232"/>
      <c r="AI575" s="232"/>
      <c r="AJ575" s="144"/>
      <c r="AK575" s="144"/>
      <c r="AL575" s="144"/>
      <c r="AM575" s="144"/>
      <c r="AN575" s="144"/>
      <c r="AO575" s="144"/>
      <c r="AP575" s="144"/>
      <c r="AQ575" s="144"/>
      <c r="AR575" s="144"/>
      <c r="AS575" s="144"/>
      <c r="AT575" s="144"/>
      <c r="AU575" s="144"/>
      <c r="AV575" s="144"/>
    </row>
    <row r="576" spans="3:48" x14ac:dyDescent="0.25">
      <c r="C576" s="144"/>
      <c r="D576" s="144"/>
      <c r="E576" s="144"/>
      <c r="F576" s="144"/>
      <c r="G576" s="144"/>
      <c r="H576" s="232"/>
      <c r="I576" s="144"/>
      <c r="J576" s="144"/>
      <c r="K576" s="144"/>
      <c r="L576" s="144"/>
      <c r="M576" s="144"/>
      <c r="N576" s="144"/>
      <c r="O576" s="144"/>
      <c r="P576" s="144"/>
      <c r="Q576" s="144"/>
      <c r="R576" s="144"/>
      <c r="S576" s="144"/>
      <c r="T576" s="144"/>
      <c r="U576" s="232"/>
      <c r="V576" s="232"/>
      <c r="W576" s="144"/>
      <c r="X576" s="144"/>
      <c r="Y576" s="144"/>
      <c r="Z576" s="144"/>
      <c r="AA576" s="144"/>
      <c r="AB576" s="144"/>
      <c r="AC576" s="144"/>
      <c r="AD576" s="144"/>
      <c r="AE576" s="232"/>
      <c r="AF576" s="144"/>
      <c r="AG576" s="144"/>
      <c r="AH576" s="232"/>
      <c r="AI576" s="232"/>
      <c r="AJ576" s="144"/>
      <c r="AK576" s="144"/>
      <c r="AL576" s="144"/>
      <c r="AM576" s="144"/>
      <c r="AN576" s="144"/>
      <c r="AO576" s="144"/>
      <c r="AP576" s="144"/>
      <c r="AQ576" s="144"/>
      <c r="AR576" s="144"/>
      <c r="AS576" s="144"/>
      <c r="AT576" s="144"/>
      <c r="AU576" s="144"/>
      <c r="AV576" s="144"/>
    </row>
    <row r="577" spans="3:48" x14ac:dyDescent="0.25">
      <c r="C577" s="144"/>
      <c r="D577" s="144"/>
      <c r="E577" s="144"/>
      <c r="F577" s="144"/>
      <c r="G577" s="144"/>
      <c r="H577" s="232"/>
      <c r="I577" s="144"/>
      <c r="J577" s="144"/>
      <c r="K577" s="144"/>
      <c r="L577" s="144"/>
      <c r="M577" s="144"/>
      <c r="N577" s="144"/>
      <c r="O577" s="144"/>
      <c r="P577" s="144"/>
      <c r="Q577" s="144"/>
      <c r="R577" s="144"/>
      <c r="S577" s="144"/>
      <c r="T577" s="144"/>
      <c r="U577" s="232"/>
      <c r="V577" s="232"/>
      <c r="W577" s="144"/>
      <c r="X577" s="144"/>
      <c r="Y577" s="144"/>
      <c r="Z577" s="144"/>
      <c r="AA577" s="144"/>
      <c r="AB577" s="144"/>
      <c r="AC577" s="144"/>
      <c r="AD577" s="144"/>
      <c r="AE577" s="232"/>
      <c r="AF577" s="144"/>
      <c r="AG577" s="144"/>
      <c r="AH577" s="232"/>
      <c r="AI577" s="232"/>
      <c r="AJ577" s="144"/>
      <c r="AK577" s="144"/>
      <c r="AL577" s="144"/>
      <c r="AM577" s="144"/>
      <c r="AN577" s="144"/>
      <c r="AO577" s="144"/>
      <c r="AP577" s="144"/>
      <c r="AQ577" s="144"/>
      <c r="AR577" s="144"/>
      <c r="AS577" s="144"/>
      <c r="AT577" s="144"/>
      <c r="AU577" s="144"/>
      <c r="AV577" s="144"/>
    </row>
    <row r="578" spans="3:48" x14ac:dyDescent="0.25">
      <c r="C578" s="144"/>
      <c r="D578" s="144"/>
      <c r="E578" s="144"/>
      <c r="F578" s="144"/>
      <c r="G578" s="144"/>
      <c r="H578" s="232"/>
      <c r="I578" s="144"/>
      <c r="J578" s="144"/>
      <c r="K578" s="144"/>
      <c r="L578" s="144"/>
      <c r="M578" s="144"/>
      <c r="N578" s="144"/>
      <c r="O578" s="144"/>
      <c r="P578" s="144"/>
      <c r="Q578" s="144"/>
      <c r="R578" s="144"/>
      <c r="S578" s="144"/>
      <c r="T578" s="144"/>
      <c r="U578" s="232"/>
      <c r="V578" s="232"/>
      <c r="W578" s="144"/>
      <c r="X578" s="144"/>
      <c r="Y578" s="144"/>
      <c r="Z578" s="144"/>
      <c r="AA578" s="144"/>
      <c r="AB578" s="144"/>
      <c r="AC578" s="144"/>
      <c r="AD578" s="144"/>
      <c r="AE578" s="232"/>
      <c r="AF578" s="144"/>
      <c r="AG578" s="144"/>
      <c r="AH578" s="232"/>
      <c r="AI578" s="232"/>
      <c r="AJ578" s="144"/>
      <c r="AK578" s="144"/>
      <c r="AL578" s="144"/>
      <c r="AM578" s="144"/>
      <c r="AN578" s="144"/>
      <c r="AO578" s="144"/>
      <c r="AP578" s="144"/>
      <c r="AQ578" s="144"/>
      <c r="AR578" s="144"/>
      <c r="AS578" s="144"/>
      <c r="AT578" s="144"/>
      <c r="AU578" s="144"/>
      <c r="AV578" s="144"/>
    </row>
    <row r="579" spans="3:48" x14ac:dyDescent="0.25">
      <c r="C579" s="144"/>
      <c r="D579" s="144"/>
      <c r="E579" s="144"/>
      <c r="F579" s="144"/>
      <c r="G579" s="144"/>
      <c r="H579" s="232"/>
      <c r="I579" s="144"/>
      <c r="J579" s="144"/>
      <c r="K579" s="144"/>
      <c r="L579" s="144"/>
      <c r="M579" s="144"/>
      <c r="N579" s="144"/>
      <c r="O579" s="144"/>
      <c r="P579" s="144"/>
      <c r="Q579" s="144"/>
      <c r="R579" s="144"/>
      <c r="S579" s="144"/>
      <c r="T579" s="144"/>
      <c r="U579" s="232"/>
      <c r="V579" s="232"/>
      <c r="W579" s="144"/>
      <c r="X579" s="144"/>
      <c r="Y579" s="144"/>
      <c r="Z579" s="144"/>
      <c r="AA579" s="144"/>
      <c r="AB579" s="144"/>
      <c r="AC579" s="144"/>
      <c r="AD579" s="144"/>
      <c r="AE579" s="232"/>
      <c r="AF579" s="144"/>
      <c r="AG579" s="144"/>
      <c r="AH579" s="232"/>
      <c r="AI579" s="232"/>
      <c r="AJ579" s="144"/>
      <c r="AK579" s="144"/>
      <c r="AL579" s="144"/>
      <c r="AM579" s="144"/>
      <c r="AN579" s="144"/>
      <c r="AO579" s="144"/>
      <c r="AP579" s="144"/>
      <c r="AQ579" s="144"/>
      <c r="AR579" s="144"/>
      <c r="AS579" s="144"/>
      <c r="AT579" s="144"/>
      <c r="AU579" s="144"/>
      <c r="AV579" s="144"/>
    </row>
    <row r="580" spans="3:48" x14ac:dyDescent="0.25">
      <c r="C580" s="144"/>
      <c r="D580" s="144"/>
      <c r="E580" s="144"/>
      <c r="F580" s="144"/>
      <c r="G580" s="144"/>
      <c r="H580" s="232"/>
      <c r="I580" s="144"/>
      <c r="J580" s="144"/>
      <c r="K580" s="144"/>
      <c r="L580" s="144"/>
      <c r="M580" s="144"/>
      <c r="N580" s="144"/>
      <c r="O580" s="144"/>
      <c r="P580" s="144"/>
      <c r="Q580" s="144"/>
      <c r="R580" s="144"/>
      <c r="S580" s="144"/>
      <c r="T580" s="144"/>
      <c r="U580" s="232"/>
      <c r="V580" s="232"/>
      <c r="W580" s="144"/>
      <c r="X580" s="144"/>
      <c r="Y580" s="144"/>
      <c r="Z580" s="144"/>
      <c r="AA580" s="144"/>
      <c r="AB580" s="144"/>
      <c r="AC580" s="144"/>
      <c r="AD580" s="144"/>
      <c r="AE580" s="232"/>
      <c r="AF580" s="144"/>
      <c r="AG580" s="144"/>
      <c r="AH580" s="232"/>
      <c r="AI580" s="232"/>
      <c r="AJ580" s="144"/>
      <c r="AK580" s="144"/>
      <c r="AL580" s="144"/>
      <c r="AM580" s="144"/>
      <c r="AN580" s="144"/>
      <c r="AO580" s="144"/>
      <c r="AP580" s="144"/>
      <c r="AQ580" s="144"/>
      <c r="AR580" s="144"/>
      <c r="AS580" s="144"/>
      <c r="AT580" s="144"/>
      <c r="AU580" s="144"/>
      <c r="AV580" s="144"/>
    </row>
    <row r="581" spans="3:48" x14ac:dyDescent="0.25">
      <c r="C581" s="144"/>
      <c r="D581" s="144"/>
      <c r="E581" s="144"/>
      <c r="F581" s="144"/>
      <c r="G581" s="144"/>
      <c r="H581" s="232"/>
      <c r="I581" s="144"/>
      <c r="J581" s="144"/>
      <c r="K581" s="144"/>
      <c r="L581" s="144"/>
      <c r="M581" s="144"/>
      <c r="N581" s="144"/>
      <c r="O581" s="144"/>
      <c r="P581" s="144"/>
      <c r="Q581" s="144"/>
      <c r="R581" s="144"/>
      <c r="S581" s="144"/>
      <c r="T581" s="144"/>
      <c r="U581" s="232"/>
      <c r="V581" s="232"/>
      <c r="W581" s="144"/>
      <c r="X581" s="144"/>
      <c r="Y581" s="144"/>
      <c r="Z581" s="144"/>
      <c r="AA581" s="144"/>
      <c r="AB581" s="144"/>
      <c r="AC581" s="144"/>
      <c r="AD581" s="144"/>
      <c r="AE581" s="232"/>
      <c r="AF581" s="144"/>
      <c r="AG581" s="144"/>
      <c r="AH581" s="232"/>
      <c r="AI581" s="232"/>
      <c r="AJ581" s="144"/>
      <c r="AK581" s="144"/>
      <c r="AL581" s="144"/>
      <c r="AM581" s="144"/>
      <c r="AN581" s="144"/>
      <c r="AO581" s="144"/>
      <c r="AP581" s="144"/>
      <c r="AQ581" s="144"/>
      <c r="AR581" s="144"/>
      <c r="AS581" s="144"/>
      <c r="AT581" s="144"/>
      <c r="AU581" s="144"/>
      <c r="AV581" s="144"/>
    </row>
    <row r="582" spans="3:48" x14ac:dyDescent="0.25">
      <c r="C582" s="144"/>
      <c r="D582" s="144"/>
      <c r="E582" s="144"/>
      <c r="F582" s="144"/>
      <c r="G582" s="144"/>
      <c r="H582" s="232"/>
      <c r="I582" s="144"/>
      <c r="J582" s="144"/>
      <c r="K582" s="144"/>
      <c r="L582" s="144"/>
      <c r="M582" s="144"/>
      <c r="N582" s="144"/>
      <c r="O582" s="144"/>
      <c r="P582" s="144"/>
      <c r="Q582" s="144"/>
      <c r="R582" s="144"/>
      <c r="S582" s="144"/>
      <c r="T582" s="144"/>
      <c r="U582" s="232"/>
      <c r="V582" s="232"/>
      <c r="W582" s="144"/>
      <c r="X582" s="144"/>
      <c r="Y582" s="144"/>
      <c r="Z582" s="144"/>
      <c r="AA582" s="144"/>
      <c r="AB582" s="144"/>
      <c r="AC582" s="144"/>
      <c r="AD582" s="144"/>
      <c r="AE582" s="232"/>
      <c r="AF582" s="144"/>
      <c r="AG582" s="144"/>
      <c r="AH582" s="232"/>
      <c r="AI582" s="232"/>
      <c r="AJ582" s="144"/>
      <c r="AK582" s="144"/>
      <c r="AL582" s="144"/>
      <c r="AM582" s="144"/>
      <c r="AN582" s="144"/>
      <c r="AO582" s="144"/>
      <c r="AP582" s="144"/>
      <c r="AQ582" s="144"/>
      <c r="AR582" s="144"/>
      <c r="AS582" s="144"/>
      <c r="AT582" s="144"/>
      <c r="AU582" s="144"/>
      <c r="AV582" s="144"/>
    </row>
    <row r="583" spans="3:48" x14ac:dyDescent="0.25">
      <c r="C583" s="144"/>
      <c r="D583" s="144"/>
      <c r="E583" s="144"/>
      <c r="F583" s="144"/>
      <c r="G583" s="144"/>
      <c r="H583" s="232"/>
      <c r="I583" s="144"/>
      <c r="J583" s="144"/>
      <c r="K583" s="144"/>
      <c r="L583" s="144"/>
      <c r="M583" s="144"/>
      <c r="N583" s="144"/>
      <c r="O583" s="144"/>
      <c r="P583" s="144"/>
      <c r="Q583" s="144"/>
      <c r="R583" s="144"/>
      <c r="S583" s="144"/>
      <c r="T583" s="144"/>
      <c r="U583" s="232"/>
      <c r="V583" s="232"/>
      <c r="W583" s="144"/>
      <c r="X583" s="144"/>
      <c r="Y583" s="144"/>
      <c r="Z583" s="144"/>
      <c r="AA583" s="144"/>
      <c r="AB583" s="144"/>
      <c r="AC583" s="144"/>
      <c r="AD583" s="144"/>
      <c r="AE583" s="232"/>
      <c r="AF583" s="144"/>
      <c r="AG583" s="144"/>
      <c r="AH583" s="232"/>
      <c r="AI583" s="232"/>
      <c r="AJ583" s="144"/>
      <c r="AK583" s="144"/>
      <c r="AL583" s="144"/>
      <c r="AM583" s="144"/>
      <c r="AN583" s="144"/>
      <c r="AO583" s="144"/>
      <c r="AP583" s="144"/>
      <c r="AQ583" s="144"/>
      <c r="AR583" s="144"/>
      <c r="AS583" s="144"/>
      <c r="AT583" s="144"/>
      <c r="AU583" s="144"/>
      <c r="AV583" s="144"/>
    </row>
    <row r="584" spans="3:48" x14ac:dyDescent="0.25">
      <c r="C584" s="144"/>
      <c r="D584" s="144"/>
      <c r="E584" s="144"/>
      <c r="F584" s="144"/>
      <c r="G584" s="144"/>
      <c r="H584" s="232"/>
      <c r="I584" s="144"/>
      <c r="J584" s="144"/>
      <c r="K584" s="144"/>
      <c r="L584" s="144"/>
      <c r="M584" s="144"/>
      <c r="N584" s="144"/>
      <c r="O584" s="144"/>
      <c r="P584" s="144"/>
      <c r="Q584" s="144"/>
      <c r="R584" s="144"/>
      <c r="S584" s="144"/>
      <c r="T584" s="144"/>
      <c r="U584" s="232"/>
      <c r="V584" s="232"/>
      <c r="W584" s="144"/>
      <c r="X584" s="144"/>
      <c r="Y584" s="144"/>
      <c r="Z584" s="144"/>
      <c r="AA584" s="144"/>
      <c r="AB584" s="144"/>
      <c r="AC584" s="144"/>
      <c r="AD584" s="144"/>
      <c r="AE584" s="232"/>
      <c r="AF584" s="144"/>
      <c r="AG584" s="144"/>
      <c r="AH584" s="232"/>
      <c r="AI584" s="232"/>
      <c r="AJ584" s="144"/>
      <c r="AK584" s="144"/>
      <c r="AL584" s="144"/>
      <c r="AM584" s="144"/>
      <c r="AN584" s="144"/>
      <c r="AO584" s="144"/>
      <c r="AP584" s="144"/>
      <c r="AQ584" s="144"/>
      <c r="AR584" s="144"/>
      <c r="AS584" s="144"/>
      <c r="AT584" s="144"/>
      <c r="AU584" s="144"/>
      <c r="AV584" s="144"/>
    </row>
    <row r="585" spans="3:48" x14ac:dyDescent="0.25">
      <c r="C585" s="144"/>
      <c r="D585" s="144"/>
      <c r="E585" s="144"/>
      <c r="F585" s="144"/>
      <c r="G585" s="144"/>
      <c r="H585" s="232"/>
      <c r="I585" s="144"/>
      <c r="J585" s="144"/>
      <c r="K585" s="144"/>
      <c r="L585" s="144"/>
      <c r="M585" s="144"/>
      <c r="N585" s="144"/>
      <c r="O585" s="144"/>
      <c r="P585" s="144"/>
      <c r="Q585" s="144"/>
      <c r="R585" s="144"/>
      <c r="S585" s="144"/>
      <c r="T585" s="144"/>
      <c r="U585" s="232"/>
      <c r="V585" s="232"/>
      <c r="W585" s="144"/>
      <c r="X585" s="144"/>
      <c r="Y585" s="144"/>
      <c r="Z585" s="144"/>
      <c r="AA585" s="144"/>
      <c r="AB585" s="144"/>
      <c r="AC585" s="144"/>
      <c r="AD585" s="144"/>
      <c r="AE585" s="232"/>
      <c r="AF585" s="144"/>
      <c r="AG585" s="144"/>
      <c r="AH585" s="232"/>
      <c r="AI585" s="232"/>
      <c r="AJ585" s="144"/>
      <c r="AK585" s="144"/>
      <c r="AL585" s="144"/>
      <c r="AM585" s="144"/>
      <c r="AN585" s="144"/>
      <c r="AO585" s="144"/>
      <c r="AP585" s="144"/>
      <c r="AQ585" s="144"/>
      <c r="AR585" s="144"/>
      <c r="AS585" s="144"/>
      <c r="AT585" s="144"/>
      <c r="AU585" s="144"/>
      <c r="AV585" s="144"/>
    </row>
    <row r="586" spans="3:48" x14ac:dyDescent="0.25">
      <c r="C586" s="144"/>
      <c r="D586" s="144"/>
      <c r="E586" s="144"/>
      <c r="F586" s="144"/>
      <c r="G586" s="144"/>
      <c r="H586" s="232"/>
      <c r="I586" s="144"/>
      <c r="J586" s="144"/>
      <c r="K586" s="144"/>
      <c r="L586" s="144"/>
      <c r="M586" s="144"/>
      <c r="N586" s="144"/>
      <c r="O586" s="144"/>
      <c r="P586" s="144"/>
      <c r="Q586" s="144"/>
      <c r="R586" s="144"/>
      <c r="S586" s="144"/>
      <c r="T586" s="144"/>
      <c r="U586" s="232"/>
      <c r="V586" s="232"/>
      <c r="W586" s="144"/>
      <c r="X586" s="144"/>
      <c r="Y586" s="144"/>
      <c r="Z586" s="144"/>
      <c r="AA586" s="144"/>
      <c r="AB586" s="144"/>
      <c r="AC586" s="144"/>
      <c r="AD586" s="144"/>
      <c r="AE586" s="232"/>
      <c r="AF586" s="144"/>
      <c r="AG586" s="144"/>
      <c r="AH586" s="232"/>
      <c r="AI586" s="232"/>
      <c r="AJ586" s="144"/>
      <c r="AK586" s="144"/>
      <c r="AL586" s="144"/>
      <c r="AM586" s="144"/>
      <c r="AN586" s="144"/>
      <c r="AO586" s="144"/>
      <c r="AP586" s="144"/>
      <c r="AQ586" s="144"/>
      <c r="AR586" s="144"/>
      <c r="AS586" s="144"/>
      <c r="AT586" s="144"/>
      <c r="AU586" s="144"/>
      <c r="AV586" s="144"/>
    </row>
    <row r="587" spans="3:48" x14ac:dyDescent="0.25">
      <c r="C587" s="144"/>
      <c r="D587" s="144"/>
      <c r="E587" s="144"/>
      <c r="F587" s="144"/>
      <c r="G587" s="144"/>
      <c r="H587" s="232"/>
      <c r="I587" s="144"/>
      <c r="J587" s="144"/>
      <c r="K587" s="144"/>
      <c r="L587" s="144"/>
      <c r="M587" s="144"/>
      <c r="N587" s="144"/>
      <c r="O587" s="144"/>
      <c r="P587" s="144"/>
      <c r="Q587" s="144"/>
      <c r="R587" s="144"/>
      <c r="S587" s="144"/>
      <c r="T587" s="144"/>
      <c r="U587" s="232"/>
      <c r="V587" s="232"/>
      <c r="W587" s="144"/>
      <c r="X587" s="144"/>
      <c r="Y587" s="144"/>
      <c r="Z587" s="144"/>
      <c r="AA587" s="144"/>
      <c r="AB587" s="144"/>
      <c r="AC587" s="144"/>
      <c r="AD587" s="144"/>
      <c r="AE587" s="232"/>
      <c r="AF587" s="144"/>
      <c r="AG587" s="144"/>
      <c r="AH587" s="232"/>
      <c r="AI587" s="232"/>
      <c r="AJ587" s="144"/>
      <c r="AK587" s="144"/>
      <c r="AL587" s="144"/>
      <c r="AM587" s="144"/>
      <c r="AN587" s="144"/>
      <c r="AO587" s="144"/>
      <c r="AP587" s="144"/>
      <c r="AQ587" s="144"/>
      <c r="AR587" s="144"/>
      <c r="AS587" s="144"/>
      <c r="AT587" s="144"/>
      <c r="AU587" s="144"/>
      <c r="AV587" s="144"/>
    </row>
    <row r="588" spans="3:48" x14ac:dyDescent="0.25">
      <c r="C588" s="144"/>
      <c r="D588" s="144"/>
      <c r="E588" s="144"/>
      <c r="F588" s="144"/>
      <c r="G588" s="144"/>
      <c r="H588" s="232"/>
      <c r="I588" s="144"/>
      <c r="J588" s="144"/>
      <c r="K588" s="144"/>
      <c r="L588" s="144"/>
      <c r="M588" s="144"/>
      <c r="N588" s="144"/>
      <c r="O588" s="144"/>
      <c r="P588" s="144"/>
      <c r="Q588" s="144"/>
      <c r="R588" s="144"/>
      <c r="S588" s="144"/>
      <c r="T588" s="144"/>
      <c r="U588" s="232"/>
      <c r="V588" s="232"/>
      <c r="W588" s="144"/>
      <c r="X588" s="144"/>
      <c r="Y588" s="144"/>
      <c r="Z588" s="144"/>
      <c r="AA588" s="144"/>
      <c r="AB588" s="144"/>
      <c r="AC588" s="144"/>
      <c r="AD588" s="144"/>
      <c r="AE588" s="232"/>
      <c r="AF588" s="144"/>
      <c r="AG588" s="144"/>
      <c r="AH588" s="232"/>
      <c r="AI588" s="232"/>
      <c r="AJ588" s="144"/>
      <c r="AK588" s="144"/>
      <c r="AL588" s="144"/>
      <c r="AM588" s="144"/>
      <c r="AN588" s="144"/>
      <c r="AO588" s="144"/>
      <c r="AP588" s="144"/>
      <c r="AQ588" s="144"/>
      <c r="AR588" s="144"/>
      <c r="AS588" s="144"/>
      <c r="AT588" s="144"/>
      <c r="AU588" s="144"/>
      <c r="AV588" s="144"/>
    </row>
    <row r="589" spans="3:48" x14ac:dyDescent="0.25">
      <c r="C589" s="144"/>
      <c r="D589" s="144"/>
      <c r="E589" s="144"/>
      <c r="F589" s="144"/>
      <c r="G589" s="144"/>
      <c r="H589" s="232"/>
      <c r="I589" s="144"/>
      <c r="J589" s="144"/>
      <c r="K589" s="144"/>
      <c r="L589" s="144"/>
      <c r="M589" s="144"/>
      <c r="N589" s="144"/>
      <c r="O589" s="144"/>
      <c r="P589" s="144"/>
      <c r="Q589" s="144"/>
      <c r="R589" s="144"/>
      <c r="S589" s="144"/>
      <c r="T589" s="144"/>
      <c r="U589" s="232"/>
      <c r="V589" s="232"/>
      <c r="W589" s="144"/>
      <c r="X589" s="144"/>
      <c r="Y589" s="144"/>
      <c r="Z589" s="144"/>
      <c r="AA589" s="144"/>
      <c r="AB589" s="144"/>
      <c r="AC589" s="144"/>
      <c r="AD589" s="144"/>
      <c r="AE589" s="232"/>
      <c r="AF589" s="144"/>
      <c r="AG589" s="144"/>
      <c r="AH589" s="232"/>
      <c r="AI589" s="232"/>
      <c r="AJ589" s="144"/>
      <c r="AK589" s="144"/>
      <c r="AL589" s="144"/>
      <c r="AM589" s="144"/>
      <c r="AN589" s="144"/>
      <c r="AO589" s="144"/>
      <c r="AP589" s="144"/>
      <c r="AQ589" s="144"/>
      <c r="AR589" s="144"/>
      <c r="AS589" s="144"/>
      <c r="AT589" s="144"/>
      <c r="AU589" s="144"/>
      <c r="AV589" s="144"/>
    </row>
    <row r="590" spans="3:48" x14ac:dyDescent="0.25">
      <c r="C590" s="144"/>
      <c r="D590" s="144"/>
      <c r="E590" s="144"/>
      <c r="F590" s="144"/>
      <c r="G590" s="144"/>
      <c r="H590" s="232"/>
      <c r="I590" s="144"/>
      <c r="J590" s="144"/>
      <c r="K590" s="144"/>
      <c r="L590" s="144"/>
      <c r="M590" s="144"/>
      <c r="N590" s="144"/>
      <c r="O590" s="144"/>
      <c r="P590" s="144"/>
      <c r="Q590" s="144"/>
      <c r="R590" s="144"/>
      <c r="S590" s="144"/>
      <c r="T590" s="144"/>
      <c r="U590" s="232"/>
      <c r="V590" s="232"/>
      <c r="W590" s="144"/>
      <c r="X590" s="144"/>
      <c r="Y590" s="144"/>
      <c r="Z590" s="144"/>
      <c r="AA590" s="144"/>
      <c r="AB590" s="144"/>
      <c r="AC590" s="144"/>
      <c r="AD590" s="144"/>
      <c r="AE590" s="232"/>
      <c r="AF590" s="144"/>
      <c r="AG590" s="144"/>
      <c r="AH590" s="232"/>
      <c r="AI590" s="232"/>
      <c r="AJ590" s="144"/>
      <c r="AK590" s="144"/>
      <c r="AL590" s="144"/>
      <c r="AM590" s="144"/>
      <c r="AN590" s="144"/>
      <c r="AO590" s="144"/>
      <c r="AP590" s="144"/>
      <c r="AQ590" s="144"/>
      <c r="AR590" s="144"/>
      <c r="AS590" s="144"/>
      <c r="AT590" s="144"/>
      <c r="AU590" s="144"/>
      <c r="AV590" s="144"/>
    </row>
    <row r="591" spans="3:48" x14ac:dyDescent="0.25">
      <c r="C591" s="144"/>
      <c r="D591" s="144"/>
      <c r="E591" s="144"/>
      <c r="F591" s="144"/>
      <c r="G591" s="144"/>
      <c r="H591" s="232"/>
      <c r="I591" s="144"/>
      <c r="J591" s="144"/>
      <c r="K591" s="144"/>
      <c r="L591" s="144"/>
      <c r="M591" s="144"/>
      <c r="N591" s="144"/>
      <c r="O591" s="144"/>
      <c r="P591" s="144"/>
      <c r="Q591" s="144"/>
      <c r="R591" s="144"/>
      <c r="S591" s="144"/>
      <c r="T591" s="144"/>
      <c r="U591" s="232"/>
      <c r="V591" s="232"/>
      <c r="W591" s="144"/>
      <c r="X591" s="144"/>
      <c r="Y591" s="144"/>
      <c r="Z591" s="144"/>
      <c r="AA591" s="144"/>
      <c r="AB591" s="144"/>
      <c r="AC591" s="144"/>
      <c r="AD591" s="144"/>
      <c r="AE591" s="232"/>
      <c r="AF591" s="144"/>
      <c r="AG591" s="144"/>
      <c r="AH591" s="232"/>
      <c r="AI591" s="232"/>
      <c r="AJ591" s="144"/>
      <c r="AK591" s="144"/>
      <c r="AL591" s="144"/>
      <c r="AM591" s="144"/>
      <c r="AN591" s="144"/>
      <c r="AO591" s="144"/>
      <c r="AP591" s="144"/>
      <c r="AQ591" s="144"/>
      <c r="AR591" s="144"/>
      <c r="AS591" s="144"/>
      <c r="AT591" s="144"/>
      <c r="AU591" s="144"/>
      <c r="AV591" s="144"/>
    </row>
    <row r="592" spans="3:48" x14ac:dyDescent="0.25">
      <c r="C592" s="144"/>
      <c r="D592" s="144"/>
      <c r="E592" s="144"/>
      <c r="F592" s="144"/>
      <c r="G592" s="144"/>
      <c r="H592" s="232"/>
      <c r="I592" s="144"/>
      <c r="J592" s="144"/>
      <c r="K592" s="144"/>
      <c r="L592" s="144"/>
      <c r="M592" s="144"/>
      <c r="N592" s="144"/>
      <c r="O592" s="144"/>
      <c r="P592" s="144"/>
      <c r="Q592" s="144"/>
      <c r="R592" s="144"/>
      <c r="S592" s="144"/>
      <c r="T592" s="144"/>
      <c r="U592" s="232"/>
      <c r="V592" s="232"/>
      <c r="W592" s="144"/>
      <c r="X592" s="144"/>
      <c r="Y592" s="144"/>
      <c r="Z592" s="144"/>
      <c r="AA592" s="144"/>
      <c r="AB592" s="144"/>
      <c r="AC592" s="144"/>
      <c r="AD592" s="144"/>
      <c r="AE592" s="232"/>
      <c r="AF592" s="144"/>
      <c r="AG592" s="144"/>
      <c r="AH592" s="232"/>
      <c r="AI592" s="232"/>
      <c r="AJ592" s="144"/>
      <c r="AK592" s="144"/>
      <c r="AL592" s="144"/>
      <c r="AM592" s="144"/>
      <c r="AN592" s="144"/>
      <c r="AO592" s="144"/>
      <c r="AP592" s="144"/>
      <c r="AQ592" s="144"/>
      <c r="AR592" s="144"/>
      <c r="AS592" s="144"/>
      <c r="AT592" s="144"/>
      <c r="AU592" s="144"/>
      <c r="AV592" s="144"/>
    </row>
    <row r="593" spans="3:48" x14ac:dyDescent="0.25">
      <c r="C593" s="144"/>
      <c r="D593" s="144"/>
      <c r="E593" s="144"/>
      <c r="F593" s="144"/>
      <c r="G593" s="144"/>
      <c r="H593" s="232"/>
      <c r="I593" s="144"/>
      <c r="J593" s="144"/>
      <c r="K593" s="144"/>
      <c r="L593" s="144"/>
      <c r="M593" s="144"/>
      <c r="N593" s="144"/>
      <c r="O593" s="144"/>
      <c r="P593" s="144"/>
      <c r="Q593" s="144"/>
      <c r="R593" s="144"/>
      <c r="S593" s="144"/>
      <c r="T593" s="144"/>
      <c r="U593" s="232"/>
      <c r="V593" s="232"/>
      <c r="W593" s="144"/>
      <c r="X593" s="144"/>
      <c r="Y593" s="144"/>
      <c r="Z593" s="144"/>
      <c r="AA593" s="144"/>
      <c r="AB593" s="144"/>
      <c r="AC593" s="144"/>
      <c r="AD593" s="144"/>
      <c r="AE593" s="232"/>
      <c r="AF593" s="144"/>
      <c r="AG593" s="144"/>
      <c r="AH593" s="232"/>
      <c r="AI593" s="232"/>
      <c r="AJ593" s="144"/>
      <c r="AK593" s="144"/>
      <c r="AL593" s="144"/>
      <c r="AM593" s="144"/>
      <c r="AN593" s="144"/>
      <c r="AO593" s="144"/>
      <c r="AP593" s="144"/>
      <c r="AQ593" s="144"/>
      <c r="AR593" s="144"/>
      <c r="AS593" s="144"/>
      <c r="AT593" s="144"/>
      <c r="AU593" s="144"/>
      <c r="AV593" s="144"/>
    </row>
    <row r="594" spans="3:48" x14ac:dyDescent="0.25">
      <c r="C594" s="144"/>
      <c r="D594" s="144"/>
      <c r="E594" s="144"/>
      <c r="F594" s="144"/>
      <c r="G594" s="144"/>
      <c r="H594" s="232"/>
      <c r="I594" s="144"/>
      <c r="J594" s="144"/>
      <c r="K594" s="144"/>
      <c r="L594" s="144"/>
      <c r="M594" s="144"/>
      <c r="N594" s="144"/>
      <c r="O594" s="144"/>
      <c r="P594" s="144"/>
      <c r="Q594" s="144"/>
      <c r="R594" s="144"/>
      <c r="S594" s="144"/>
      <c r="T594" s="144"/>
      <c r="U594" s="232"/>
      <c r="V594" s="232"/>
      <c r="W594" s="144"/>
      <c r="X594" s="144"/>
      <c r="Y594" s="144"/>
      <c r="Z594" s="144"/>
      <c r="AA594" s="144"/>
      <c r="AB594" s="144"/>
      <c r="AC594" s="144"/>
      <c r="AD594" s="144"/>
      <c r="AE594" s="232"/>
      <c r="AF594" s="144"/>
      <c r="AG594" s="144"/>
      <c r="AH594" s="232"/>
      <c r="AI594" s="232"/>
      <c r="AJ594" s="144"/>
      <c r="AK594" s="144"/>
      <c r="AL594" s="144"/>
      <c r="AM594" s="144"/>
      <c r="AN594" s="144"/>
      <c r="AO594" s="144"/>
      <c r="AP594" s="144"/>
      <c r="AQ594" s="144"/>
      <c r="AR594" s="144"/>
      <c r="AS594" s="144"/>
      <c r="AT594" s="144"/>
      <c r="AU594" s="144"/>
      <c r="AV594" s="144"/>
    </row>
    <row r="595" spans="3:48" x14ac:dyDescent="0.25">
      <c r="C595" s="144"/>
      <c r="D595" s="144"/>
      <c r="E595" s="144"/>
      <c r="F595" s="144"/>
      <c r="G595" s="144"/>
      <c r="H595" s="232"/>
      <c r="I595" s="144"/>
      <c r="J595" s="144"/>
      <c r="K595" s="144"/>
      <c r="L595" s="144"/>
      <c r="M595" s="144"/>
      <c r="N595" s="144"/>
      <c r="O595" s="144"/>
      <c r="P595" s="144"/>
      <c r="Q595" s="144"/>
      <c r="R595" s="144"/>
      <c r="S595" s="144"/>
      <c r="T595" s="144"/>
      <c r="U595" s="232"/>
      <c r="V595" s="232"/>
      <c r="W595" s="144"/>
      <c r="X595" s="144"/>
      <c r="Y595" s="144"/>
      <c r="Z595" s="144"/>
      <c r="AA595" s="144"/>
      <c r="AB595" s="144"/>
      <c r="AC595" s="144"/>
      <c r="AD595" s="144"/>
      <c r="AE595" s="232"/>
      <c r="AF595" s="144"/>
      <c r="AG595" s="144"/>
      <c r="AH595" s="232"/>
      <c r="AI595" s="232"/>
      <c r="AJ595" s="144"/>
      <c r="AK595" s="144"/>
      <c r="AL595" s="144"/>
      <c r="AM595" s="144"/>
      <c r="AN595" s="144"/>
      <c r="AO595" s="144"/>
      <c r="AP595" s="144"/>
      <c r="AQ595" s="144"/>
      <c r="AR595" s="144"/>
      <c r="AS595" s="144"/>
      <c r="AT595" s="144"/>
      <c r="AU595" s="144"/>
      <c r="AV595" s="144"/>
    </row>
    <row r="596" spans="3:48" x14ac:dyDescent="0.25">
      <c r="C596" s="144"/>
      <c r="D596" s="144"/>
      <c r="E596" s="144"/>
      <c r="F596" s="144"/>
      <c r="G596" s="144"/>
      <c r="H596" s="232"/>
      <c r="I596" s="144"/>
      <c r="J596" s="144"/>
      <c r="K596" s="144"/>
      <c r="L596" s="144"/>
      <c r="M596" s="144"/>
      <c r="N596" s="144"/>
      <c r="O596" s="144"/>
      <c r="P596" s="144"/>
      <c r="Q596" s="144"/>
      <c r="R596" s="144"/>
      <c r="S596" s="144"/>
      <c r="T596" s="144"/>
      <c r="U596" s="232"/>
      <c r="V596" s="232"/>
      <c r="W596" s="144"/>
      <c r="X596" s="144"/>
      <c r="Y596" s="144"/>
      <c r="Z596" s="144"/>
      <c r="AA596" s="144"/>
      <c r="AB596" s="144"/>
      <c r="AC596" s="144"/>
      <c r="AD596" s="144"/>
      <c r="AE596" s="232"/>
      <c r="AF596" s="144"/>
      <c r="AG596" s="144"/>
      <c r="AH596" s="232"/>
      <c r="AI596" s="232"/>
      <c r="AJ596" s="144"/>
      <c r="AK596" s="144"/>
      <c r="AL596" s="144"/>
      <c r="AM596" s="144"/>
      <c r="AN596" s="144"/>
      <c r="AO596" s="144"/>
      <c r="AP596" s="144"/>
      <c r="AQ596" s="144"/>
      <c r="AR596" s="144"/>
      <c r="AS596" s="144"/>
      <c r="AT596" s="144"/>
      <c r="AU596" s="144"/>
      <c r="AV596" s="144"/>
    </row>
    <row r="597" spans="3:48" x14ac:dyDescent="0.25">
      <c r="C597" s="144"/>
      <c r="D597" s="144"/>
      <c r="E597" s="144"/>
      <c r="F597" s="144"/>
      <c r="G597" s="144"/>
      <c r="H597" s="232"/>
      <c r="I597" s="144"/>
      <c r="J597" s="144"/>
      <c r="K597" s="144"/>
      <c r="L597" s="144"/>
      <c r="M597" s="144"/>
      <c r="N597" s="144"/>
      <c r="O597" s="144"/>
      <c r="P597" s="144"/>
      <c r="Q597" s="144"/>
      <c r="R597" s="144"/>
      <c r="S597" s="144"/>
      <c r="T597" s="144"/>
      <c r="U597" s="232"/>
      <c r="V597" s="232"/>
      <c r="W597" s="144"/>
      <c r="X597" s="144"/>
      <c r="Y597" s="144"/>
      <c r="Z597" s="144"/>
      <c r="AA597" s="144"/>
      <c r="AB597" s="144"/>
      <c r="AC597" s="144"/>
      <c r="AD597" s="144"/>
      <c r="AE597" s="232"/>
      <c r="AF597" s="144"/>
      <c r="AG597" s="144"/>
      <c r="AH597" s="232"/>
      <c r="AI597" s="232"/>
      <c r="AJ597" s="144"/>
      <c r="AK597" s="144"/>
      <c r="AL597" s="144"/>
      <c r="AM597" s="144"/>
      <c r="AN597" s="144"/>
      <c r="AO597" s="144"/>
      <c r="AP597" s="144"/>
      <c r="AQ597" s="144"/>
      <c r="AR597" s="144"/>
      <c r="AS597" s="144"/>
      <c r="AT597" s="144"/>
      <c r="AU597" s="144"/>
      <c r="AV597" s="144"/>
    </row>
    <row r="598" spans="3:48" x14ac:dyDescent="0.25">
      <c r="C598" s="144"/>
      <c r="D598" s="144"/>
      <c r="E598" s="144"/>
      <c r="F598" s="144"/>
      <c r="G598" s="144"/>
      <c r="H598" s="232"/>
      <c r="I598" s="144"/>
      <c r="J598" s="144"/>
      <c r="K598" s="144"/>
      <c r="L598" s="144"/>
      <c r="M598" s="144"/>
      <c r="N598" s="144"/>
      <c r="O598" s="144"/>
      <c r="P598" s="144"/>
      <c r="Q598" s="144"/>
      <c r="R598" s="144"/>
      <c r="S598" s="144"/>
      <c r="T598" s="144"/>
      <c r="U598" s="232"/>
      <c r="V598" s="232"/>
      <c r="W598" s="144"/>
      <c r="X598" s="144"/>
      <c r="Y598" s="144"/>
      <c r="Z598" s="144"/>
      <c r="AA598" s="144"/>
      <c r="AB598" s="144"/>
      <c r="AC598" s="144"/>
      <c r="AD598" s="144"/>
      <c r="AE598" s="232"/>
      <c r="AF598" s="144"/>
      <c r="AG598" s="144"/>
      <c r="AH598" s="232"/>
      <c r="AI598" s="232"/>
      <c r="AJ598" s="144"/>
      <c r="AK598" s="144"/>
      <c r="AL598" s="144"/>
      <c r="AM598" s="144"/>
      <c r="AN598" s="144"/>
      <c r="AO598" s="144"/>
      <c r="AP598" s="144"/>
      <c r="AQ598" s="144"/>
      <c r="AR598" s="144"/>
      <c r="AS598" s="144"/>
      <c r="AT598" s="144"/>
      <c r="AU598" s="144"/>
      <c r="AV598" s="144"/>
    </row>
    <row r="599" spans="3:48" x14ac:dyDescent="0.25">
      <c r="C599" s="144"/>
      <c r="D599" s="144"/>
      <c r="E599" s="144"/>
      <c r="F599" s="144"/>
      <c r="G599" s="144"/>
      <c r="H599" s="232"/>
      <c r="I599" s="144"/>
      <c r="J599" s="144"/>
      <c r="K599" s="144"/>
      <c r="L599" s="144"/>
      <c r="M599" s="144"/>
      <c r="N599" s="144"/>
      <c r="O599" s="144"/>
      <c r="P599" s="144"/>
      <c r="Q599" s="144"/>
      <c r="R599" s="144"/>
      <c r="S599" s="144"/>
      <c r="T599" s="144"/>
      <c r="U599" s="232"/>
      <c r="V599" s="232"/>
      <c r="W599" s="144"/>
      <c r="X599" s="144"/>
      <c r="Y599" s="144"/>
      <c r="Z599" s="144"/>
      <c r="AA599" s="144"/>
      <c r="AB599" s="144"/>
      <c r="AC599" s="144"/>
      <c r="AD599" s="144"/>
      <c r="AE599" s="232"/>
      <c r="AF599" s="144"/>
      <c r="AG599" s="144"/>
      <c r="AH599" s="232"/>
      <c r="AI599" s="232"/>
      <c r="AJ599" s="144"/>
      <c r="AK599" s="144"/>
      <c r="AL599" s="144"/>
      <c r="AM599" s="144"/>
      <c r="AN599" s="144"/>
      <c r="AO599" s="144"/>
      <c r="AP599" s="144"/>
      <c r="AQ599" s="144"/>
      <c r="AR599" s="144"/>
      <c r="AS599" s="144"/>
      <c r="AT599" s="144"/>
      <c r="AU599" s="144"/>
      <c r="AV599" s="144"/>
    </row>
    <row r="600" spans="3:48" x14ac:dyDescent="0.25">
      <c r="C600" s="144"/>
      <c r="D600" s="144"/>
      <c r="E600" s="144"/>
      <c r="F600" s="144"/>
      <c r="G600" s="144"/>
      <c r="H600" s="232"/>
      <c r="I600" s="144"/>
      <c r="J600" s="144"/>
      <c r="K600" s="144"/>
      <c r="L600" s="144"/>
      <c r="M600" s="144"/>
      <c r="N600" s="144"/>
      <c r="O600" s="144"/>
      <c r="P600" s="144"/>
      <c r="Q600" s="144"/>
      <c r="R600" s="144"/>
      <c r="S600" s="144"/>
      <c r="T600" s="144"/>
      <c r="U600" s="232"/>
      <c r="V600" s="232"/>
      <c r="W600" s="144"/>
      <c r="X600" s="144"/>
      <c r="Y600" s="144"/>
      <c r="Z600" s="144"/>
      <c r="AA600" s="144"/>
      <c r="AB600" s="144"/>
      <c r="AC600" s="144"/>
      <c r="AD600" s="144"/>
      <c r="AE600" s="232"/>
      <c r="AF600" s="144"/>
      <c r="AG600" s="144"/>
      <c r="AH600" s="232"/>
      <c r="AI600" s="232"/>
      <c r="AJ600" s="144"/>
      <c r="AK600" s="144"/>
      <c r="AL600" s="144"/>
      <c r="AM600" s="144"/>
      <c r="AN600" s="144"/>
      <c r="AO600" s="144"/>
      <c r="AP600" s="144"/>
      <c r="AQ600" s="144"/>
      <c r="AR600" s="144"/>
      <c r="AS600" s="144"/>
      <c r="AT600" s="144"/>
      <c r="AU600" s="144"/>
      <c r="AV600" s="144"/>
    </row>
    <row r="601" spans="3:48" x14ac:dyDescent="0.25">
      <c r="C601" s="144"/>
      <c r="D601" s="144"/>
      <c r="E601" s="144"/>
      <c r="F601" s="144"/>
      <c r="G601" s="144"/>
      <c r="H601" s="232"/>
      <c r="I601" s="144"/>
      <c r="J601" s="144"/>
      <c r="K601" s="144"/>
      <c r="L601" s="144"/>
      <c r="M601" s="144"/>
      <c r="N601" s="144"/>
      <c r="O601" s="144"/>
      <c r="P601" s="144"/>
      <c r="Q601" s="144"/>
      <c r="R601" s="144"/>
      <c r="S601" s="144"/>
      <c r="T601" s="144"/>
      <c r="U601" s="232"/>
      <c r="V601" s="232"/>
      <c r="W601" s="144"/>
      <c r="X601" s="144"/>
      <c r="Y601" s="144"/>
      <c r="Z601" s="144"/>
      <c r="AA601" s="144"/>
      <c r="AB601" s="144"/>
      <c r="AC601" s="144"/>
      <c r="AD601" s="144"/>
      <c r="AE601" s="232"/>
      <c r="AF601" s="144"/>
      <c r="AG601" s="144"/>
      <c r="AH601" s="232"/>
      <c r="AI601" s="232"/>
      <c r="AJ601" s="144"/>
      <c r="AK601" s="144"/>
      <c r="AL601" s="144"/>
      <c r="AM601" s="144"/>
      <c r="AN601" s="144"/>
      <c r="AO601" s="144"/>
      <c r="AP601" s="144"/>
      <c r="AQ601" s="144"/>
      <c r="AR601" s="144"/>
      <c r="AS601" s="144"/>
      <c r="AT601" s="144"/>
      <c r="AU601" s="144"/>
      <c r="AV601" s="144"/>
    </row>
    <row r="602" spans="3:48" x14ac:dyDescent="0.25">
      <c r="C602" s="144"/>
      <c r="D602" s="144"/>
      <c r="E602" s="144"/>
      <c r="F602" s="144"/>
      <c r="G602" s="144"/>
      <c r="H602" s="232"/>
      <c r="I602" s="144"/>
      <c r="J602" s="144"/>
      <c r="K602" s="144"/>
      <c r="L602" s="144"/>
      <c r="M602" s="144"/>
      <c r="N602" s="144"/>
      <c r="O602" s="144"/>
      <c r="P602" s="144"/>
      <c r="Q602" s="144"/>
      <c r="R602" s="144"/>
      <c r="S602" s="144"/>
      <c r="T602" s="144"/>
      <c r="U602" s="232"/>
      <c r="V602" s="232"/>
      <c r="W602" s="144"/>
      <c r="X602" s="144"/>
      <c r="Y602" s="144"/>
      <c r="Z602" s="144"/>
      <c r="AA602" s="144"/>
      <c r="AB602" s="144"/>
      <c r="AC602" s="144"/>
      <c r="AD602" s="144"/>
      <c r="AE602" s="232"/>
      <c r="AF602" s="144"/>
      <c r="AG602" s="144"/>
      <c r="AH602" s="232"/>
      <c r="AI602" s="232"/>
      <c r="AJ602" s="144"/>
      <c r="AK602" s="144"/>
      <c r="AL602" s="144"/>
      <c r="AM602" s="144"/>
      <c r="AN602" s="144"/>
      <c r="AO602" s="144"/>
      <c r="AP602" s="144"/>
      <c r="AQ602" s="144"/>
      <c r="AR602" s="144"/>
      <c r="AS602" s="144"/>
      <c r="AT602" s="144"/>
      <c r="AU602" s="144"/>
      <c r="AV602" s="144"/>
    </row>
    <row r="603" spans="3:48" x14ac:dyDescent="0.25">
      <c r="C603" s="144"/>
      <c r="D603" s="144"/>
      <c r="E603" s="144"/>
      <c r="F603" s="144"/>
      <c r="G603" s="144"/>
      <c r="H603" s="232"/>
      <c r="I603" s="144"/>
      <c r="J603" s="144"/>
      <c r="K603" s="144"/>
      <c r="L603" s="144"/>
      <c r="M603" s="144"/>
      <c r="N603" s="144"/>
      <c r="O603" s="144"/>
      <c r="P603" s="144"/>
      <c r="Q603" s="144"/>
      <c r="R603" s="144"/>
      <c r="S603" s="144"/>
      <c r="T603" s="144"/>
      <c r="U603" s="232"/>
      <c r="V603" s="232"/>
      <c r="W603" s="144"/>
      <c r="X603" s="144"/>
      <c r="Y603" s="144"/>
      <c r="Z603" s="144"/>
      <c r="AA603" s="144"/>
      <c r="AB603" s="144"/>
      <c r="AC603" s="144"/>
      <c r="AD603" s="144"/>
      <c r="AE603" s="232"/>
      <c r="AF603" s="144"/>
      <c r="AG603" s="144"/>
      <c r="AH603" s="232"/>
      <c r="AI603" s="232"/>
      <c r="AJ603" s="144"/>
      <c r="AK603" s="144"/>
      <c r="AL603" s="144"/>
      <c r="AM603" s="144"/>
      <c r="AN603" s="144"/>
      <c r="AO603" s="144"/>
      <c r="AP603" s="144"/>
      <c r="AQ603" s="144"/>
      <c r="AR603" s="144"/>
      <c r="AS603" s="144"/>
      <c r="AT603" s="144"/>
      <c r="AU603" s="144"/>
      <c r="AV603" s="144"/>
    </row>
    <row r="604" spans="3:48" x14ac:dyDescent="0.25">
      <c r="C604" s="144"/>
      <c r="D604" s="144"/>
      <c r="E604" s="144"/>
      <c r="F604" s="144"/>
      <c r="G604" s="144"/>
      <c r="H604" s="232"/>
      <c r="I604" s="144"/>
      <c r="J604" s="144"/>
      <c r="K604" s="144"/>
      <c r="L604" s="144"/>
      <c r="M604" s="144"/>
      <c r="N604" s="144"/>
      <c r="O604" s="144"/>
      <c r="P604" s="144"/>
      <c r="Q604" s="144"/>
      <c r="R604" s="144"/>
      <c r="S604" s="144"/>
      <c r="T604" s="144"/>
      <c r="U604" s="232"/>
      <c r="V604" s="232"/>
      <c r="W604" s="144"/>
      <c r="X604" s="144"/>
      <c r="Y604" s="144"/>
      <c r="Z604" s="144"/>
      <c r="AA604" s="144"/>
      <c r="AB604" s="144"/>
      <c r="AC604" s="144"/>
      <c r="AD604" s="144"/>
      <c r="AE604" s="232"/>
      <c r="AF604" s="144"/>
      <c r="AG604" s="144"/>
      <c r="AH604" s="232"/>
      <c r="AI604" s="232"/>
      <c r="AJ604" s="144"/>
      <c r="AK604" s="144"/>
      <c r="AL604" s="144"/>
      <c r="AM604" s="144"/>
      <c r="AN604" s="144"/>
      <c r="AO604" s="144"/>
      <c r="AP604" s="144"/>
      <c r="AQ604" s="144"/>
      <c r="AR604" s="144"/>
      <c r="AS604" s="144"/>
      <c r="AT604" s="144"/>
      <c r="AU604" s="144"/>
      <c r="AV604" s="144"/>
    </row>
    <row r="605" spans="3:48" x14ac:dyDescent="0.25">
      <c r="C605" s="144"/>
      <c r="D605" s="144"/>
      <c r="E605" s="144"/>
      <c r="F605" s="144"/>
      <c r="G605" s="144"/>
      <c r="H605" s="232"/>
      <c r="I605" s="144"/>
      <c r="J605" s="144"/>
      <c r="K605" s="144"/>
      <c r="L605" s="144"/>
      <c r="M605" s="144"/>
      <c r="N605" s="144"/>
      <c r="O605" s="144"/>
      <c r="P605" s="144"/>
      <c r="Q605" s="144"/>
      <c r="R605" s="144"/>
      <c r="S605" s="144"/>
      <c r="T605" s="144"/>
      <c r="U605" s="232"/>
      <c r="V605" s="232"/>
      <c r="W605" s="144"/>
      <c r="X605" s="144"/>
      <c r="Y605" s="144"/>
      <c r="Z605" s="144"/>
      <c r="AA605" s="144"/>
      <c r="AB605" s="144"/>
      <c r="AC605" s="144"/>
      <c r="AD605" s="144"/>
      <c r="AE605" s="232"/>
      <c r="AF605" s="144"/>
      <c r="AG605" s="144"/>
      <c r="AH605" s="232"/>
      <c r="AI605" s="232"/>
      <c r="AJ605" s="144"/>
      <c r="AK605" s="144"/>
      <c r="AL605" s="144"/>
      <c r="AM605" s="144"/>
      <c r="AN605" s="144"/>
      <c r="AO605" s="144"/>
      <c r="AP605" s="144"/>
      <c r="AQ605" s="144"/>
      <c r="AR605" s="144"/>
      <c r="AS605" s="144"/>
      <c r="AT605" s="144"/>
      <c r="AU605" s="144"/>
      <c r="AV605" s="144"/>
    </row>
    <row r="606" spans="3:48" x14ac:dyDescent="0.25">
      <c r="C606" s="144"/>
      <c r="D606" s="144"/>
      <c r="E606" s="144"/>
      <c r="F606" s="144"/>
      <c r="G606" s="144"/>
      <c r="H606" s="232"/>
      <c r="I606" s="144"/>
      <c r="J606" s="144"/>
      <c r="K606" s="144"/>
      <c r="L606" s="144"/>
      <c r="M606" s="144"/>
      <c r="N606" s="144"/>
      <c r="O606" s="144"/>
      <c r="P606" s="144"/>
      <c r="Q606" s="144"/>
      <c r="R606" s="144"/>
      <c r="S606" s="144"/>
      <c r="T606" s="144"/>
      <c r="U606" s="232"/>
      <c r="V606" s="232"/>
      <c r="W606" s="144"/>
      <c r="X606" s="144"/>
      <c r="Y606" s="144"/>
      <c r="Z606" s="144"/>
      <c r="AA606" s="144"/>
      <c r="AB606" s="144"/>
      <c r="AC606" s="144"/>
      <c r="AD606" s="144"/>
      <c r="AE606" s="232"/>
      <c r="AF606" s="144"/>
      <c r="AG606" s="144"/>
      <c r="AH606" s="232"/>
      <c r="AI606" s="232"/>
      <c r="AJ606" s="144"/>
      <c r="AK606" s="144"/>
      <c r="AL606" s="144"/>
      <c r="AM606" s="144"/>
      <c r="AN606" s="144"/>
      <c r="AO606" s="144"/>
      <c r="AP606" s="144"/>
      <c r="AQ606" s="144"/>
      <c r="AR606" s="144"/>
      <c r="AS606" s="144"/>
      <c r="AT606" s="144"/>
      <c r="AU606" s="144"/>
      <c r="AV606" s="144"/>
    </row>
    <row r="607" spans="3:48" x14ac:dyDescent="0.25">
      <c r="C607" s="144"/>
      <c r="D607" s="144"/>
      <c r="E607" s="144"/>
      <c r="F607" s="144"/>
      <c r="G607" s="144"/>
      <c r="H607" s="232"/>
      <c r="I607" s="144"/>
      <c r="J607" s="144"/>
      <c r="K607" s="144"/>
      <c r="L607" s="144"/>
      <c r="M607" s="144"/>
      <c r="N607" s="144"/>
      <c r="O607" s="144"/>
      <c r="P607" s="144"/>
      <c r="Q607" s="144"/>
      <c r="R607" s="144"/>
      <c r="S607" s="144"/>
      <c r="T607" s="144"/>
      <c r="U607" s="232"/>
      <c r="V607" s="232"/>
      <c r="W607" s="144"/>
      <c r="X607" s="144"/>
      <c r="Y607" s="144"/>
      <c r="Z607" s="144"/>
      <c r="AA607" s="144"/>
      <c r="AB607" s="144"/>
      <c r="AC607" s="144"/>
      <c r="AD607" s="144"/>
      <c r="AE607" s="232"/>
      <c r="AF607" s="144"/>
      <c r="AG607" s="144"/>
      <c r="AH607" s="232"/>
      <c r="AI607" s="232"/>
      <c r="AJ607" s="144"/>
      <c r="AK607" s="144"/>
      <c r="AL607" s="144"/>
      <c r="AM607" s="144"/>
      <c r="AN607" s="144"/>
      <c r="AO607" s="144"/>
      <c r="AP607" s="144"/>
      <c r="AQ607" s="144"/>
      <c r="AR607" s="144"/>
      <c r="AS607" s="144"/>
      <c r="AT607" s="144"/>
      <c r="AU607" s="144"/>
      <c r="AV607" s="144"/>
    </row>
    <row r="608" spans="3:48" x14ac:dyDescent="0.25">
      <c r="C608" s="144"/>
      <c r="D608" s="144"/>
      <c r="E608" s="144"/>
      <c r="F608" s="144"/>
      <c r="G608" s="144"/>
      <c r="H608" s="232"/>
      <c r="I608" s="144"/>
      <c r="J608" s="144"/>
      <c r="K608" s="144"/>
      <c r="L608" s="144"/>
      <c r="M608" s="144"/>
      <c r="N608" s="144"/>
      <c r="O608" s="144"/>
      <c r="P608" s="144"/>
      <c r="Q608" s="144"/>
      <c r="R608" s="144"/>
      <c r="S608" s="144"/>
      <c r="T608" s="144"/>
      <c r="U608" s="232"/>
      <c r="V608" s="232"/>
      <c r="W608" s="144"/>
      <c r="X608" s="144"/>
      <c r="Y608" s="144"/>
      <c r="Z608" s="144"/>
      <c r="AA608" s="144"/>
      <c r="AB608" s="144"/>
      <c r="AC608" s="144"/>
      <c r="AD608" s="144"/>
      <c r="AE608" s="232"/>
      <c r="AF608" s="144"/>
      <c r="AG608" s="144"/>
      <c r="AH608" s="232"/>
      <c r="AI608" s="232"/>
      <c r="AJ608" s="144"/>
      <c r="AK608" s="144"/>
      <c r="AL608" s="144"/>
      <c r="AM608" s="144"/>
      <c r="AN608" s="144"/>
      <c r="AO608" s="144"/>
      <c r="AP608" s="144"/>
      <c r="AQ608" s="144"/>
      <c r="AR608" s="144"/>
      <c r="AS608" s="144"/>
      <c r="AT608" s="144"/>
      <c r="AU608" s="144"/>
      <c r="AV608" s="144"/>
    </row>
    <row r="609" spans="3:48" x14ac:dyDescent="0.25">
      <c r="C609" s="144"/>
      <c r="D609" s="144"/>
      <c r="E609" s="144"/>
      <c r="F609" s="144"/>
      <c r="G609" s="144"/>
      <c r="H609" s="232"/>
      <c r="I609" s="144"/>
      <c r="J609" s="144"/>
      <c r="K609" s="144"/>
      <c r="L609" s="144"/>
      <c r="M609" s="144"/>
      <c r="N609" s="144"/>
      <c r="O609" s="144"/>
      <c r="P609" s="144"/>
      <c r="Q609" s="144"/>
      <c r="R609" s="144"/>
      <c r="S609" s="144"/>
      <c r="T609" s="144"/>
      <c r="U609" s="232"/>
      <c r="V609" s="232"/>
      <c r="W609" s="144"/>
      <c r="X609" s="144"/>
      <c r="Y609" s="144"/>
      <c r="Z609" s="144"/>
      <c r="AA609" s="144"/>
      <c r="AB609" s="144"/>
      <c r="AC609" s="144"/>
      <c r="AD609" s="144"/>
      <c r="AE609" s="232"/>
      <c r="AF609" s="144"/>
      <c r="AG609" s="144"/>
      <c r="AH609" s="232"/>
      <c r="AI609" s="232"/>
      <c r="AJ609" s="144"/>
      <c r="AK609" s="144"/>
      <c r="AL609" s="144"/>
      <c r="AM609" s="144"/>
      <c r="AN609" s="144"/>
      <c r="AO609" s="144"/>
      <c r="AP609" s="144"/>
      <c r="AQ609" s="144"/>
      <c r="AR609" s="144"/>
      <c r="AS609" s="144"/>
      <c r="AT609" s="144"/>
      <c r="AU609" s="144"/>
      <c r="AV609" s="144"/>
    </row>
    <row r="610" spans="3:48" x14ac:dyDescent="0.25">
      <c r="C610" s="144"/>
      <c r="D610" s="144"/>
      <c r="E610" s="144"/>
      <c r="F610" s="144"/>
      <c r="G610" s="144"/>
      <c r="H610" s="232"/>
      <c r="I610" s="144"/>
      <c r="J610" s="144"/>
      <c r="K610" s="144"/>
      <c r="L610" s="144"/>
      <c r="M610" s="144"/>
      <c r="N610" s="144"/>
      <c r="O610" s="144"/>
      <c r="P610" s="144"/>
      <c r="Q610" s="144"/>
      <c r="R610" s="144"/>
      <c r="S610" s="144"/>
      <c r="T610" s="144"/>
      <c r="U610" s="232"/>
      <c r="V610" s="232"/>
      <c r="W610" s="144"/>
      <c r="X610" s="144"/>
      <c r="Y610" s="144"/>
      <c r="Z610" s="144"/>
      <c r="AA610" s="144"/>
      <c r="AB610" s="144"/>
      <c r="AC610" s="144"/>
      <c r="AD610" s="144"/>
      <c r="AE610" s="232"/>
      <c r="AF610" s="144"/>
      <c r="AG610" s="144"/>
      <c r="AH610" s="232"/>
      <c r="AI610" s="232"/>
      <c r="AJ610" s="144"/>
      <c r="AK610" s="144"/>
      <c r="AL610" s="144"/>
      <c r="AM610" s="144"/>
      <c r="AN610" s="144"/>
      <c r="AO610" s="144"/>
      <c r="AP610" s="144"/>
      <c r="AQ610" s="144"/>
      <c r="AR610" s="144"/>
      <c r="AS610" s="144"/>
      <c r="AT610" s="144"/>
      <c r="AU610" s="144"/>
      <c r="AV610" s="144"/>
    </row>
    <row r="611" spans="3:48" x14ac:dyDescent="0.25">
      <c r="C611" s="144"/>
      <c r="D611" s="144"/>
      <c r="E611" s="144"/>
      <c r="F611" s="144"/>
      <c r="G611" s="144"/>
      <c r="H611" s="232"/>
      <c r="I611" s="144"/>
      <c r="J611" s="144"/>
      <c r="K611" s="144"/>
      <c r="L611" s="144"/>
      <c r="M611" s="144"/>
      <c r="N611" s="144"/>
      <c r="O611" s="144"/>
      <c r="P611" s="144"/>
      <c r="Q611" s="144"/>
      <c r="R611" s="144"/>
      <c r="S611" s="144"/>
      <c r="T611" s="144"/>
      <c r="U611" s="232"/>
      <c r="V611" s="232"/>
      <c r="W611" s="144"/>
      <c r="X611" s="144"/>
      <c r="Y611" s="144"/>
      <c r="Z611" s="144"/>
      <c r="AA611" s="144"/>
      <c r="AB611" s="144"/>
      <c r="AC611" s="144"/>
      <c r="AD611" s="144"/>
      <c r="AE611" s="232"/>
      <c r="AF611" s="144"/>
      <c r="AG611" s="144"/>
      <c r="AH611" s="232"/>
      <c r="AI611" s="232"/>
      <c r="AJ611" s="144"/>
      <c r="AK611" s="144"/>
      <c r="AL611" s="144"/>
      <c r="AM611" s="144"/>
      <c r="AN611" s="144"/>
      <c r="AO611" s="144"/>
      <c r="AP611" s="144"/>
      <c r="AQ611" s="144"/>
      <c r="AR611" s="144"/>
      <c r="AS611" s="144"/>
      <c r="AT611" s="144"/>
      <c r="AU611" s="144"/>
      <c r="AV611" s="144"/>
    </row>
    <row r="612" spans="3:48" x14ac:dyDescent="0.25">
      <c r="C612" s="144"/>
      <c r="D612" s="144"/>
      <c r="E612" s="144"/>
      <c r="F612" s="144"/>
      <c r="G612" s="144"/>
      <c r="H612" s="232"/>
      <c r="I612" s="144"/>
      <c r="J612" s="144"/>
      <c r="K612" s="144"/>
      <c r="L612" s="144"/>
      <c r="M612" s="144"/>
      <c r="N612" s="144"/>
      <c r="O612" s="144"/>
      <c r="P612" s="144"/>
      <c r="Q612" s="144"/>
      <c r="R612" s="144"/>
      <c r="S612" s="144"/>
      <c r="T612" s="144"/>
      <c r="U612" s="232"/>
      <c r="V612" s="232"/>
      <c r="W612" s="144"/>
      <c r="X612" s="144"/>
      <c r="Y612" s="144"/>
      <c r="Z612" s="144"/>
      <c r="AA612" s="144"/>
      <c r="AB612" s="144"/>
      <c r="AC612" s="144"/>
      <c r="AD612" s="144"/>
      <c r="AE612" s="232"/>
      <c r="AF612" s="144"/>
      <c r="AG612" s="144"/>
      <c r="AH612" s="232"/>
      <c r="AI612" s="232"/>
      <c r="AJ612" s="144"/>
      <c r="AK612" s="144"/>
      <c r="AL612" s="144"/>
      <c r="AM612" s="144"/>
      <c r="AN612" s="144"/>
      <c r="AO612" s="144"/>
      <c r="AP612" s="144"/>
      <c r="AQ612" s="144"/>
      <c r="AR612" s="144"/>
      <c r="AS612" s="144"/>
      <c r="AT612" s="144"/>
      <c r="AU612" s="144"/>
      <c r="AV612" s="144"/>
    </row>
    <row r="613" spans="3:48" x14ac:dyDescent="0.25">
      <c r="C613" s="144"/>
      <c r="D613" s="144"/>
      <c r="E613" s="144"/>
      <c r="F613" s="144"/>
      <c r="G613" s="144"/>
      <c r="H613" s="232"/>
      <c r="I613" s="144"/>
      <c r="J613" s="144"/>
      <c r="K613" s="144"/>
      <c r="L613" s="144"/>
      <c r="M613" s="144"/>
      <c r="N613" s="144"/>
      <c r="O613" s="144"/>
      <c r="P613" s="144"/>
      <c r="Q613" s="144"/>
      <c r="R613" s="144"/>
      <c r="S613" s="144"/>
      <c r="T613" s="144"/>
      <c r="U613" s="232"/>
      <c r="V613" s="232"/>
      <c r="W613" s="144"/>
      <c r="X613" s="144"/>
      <c r="Y613" s="144"/>
      <c r="Z613" s="144"/>
      <c r="AA613" s="144"/>
      <c r="AB613" s="144"/>
      <c r="AC613" s="144"/>
      <c r="AD613" s="144"/>
      <c r="AE613" s="232"/>
      <c r="AF613" s="144"/>
      <c r="AG613" s="144"/>
      <c r="AH613" s="232"/>
      <c r="AI613" s="232"/>
      <c r="AJ613" s="144"/>
      <c r="AK613" s="144"/>
      <c r="AL613" s="144"/>
      <c r="AM613" s="144"/>
      <c r="AN613" s="144"/>
      <c r="AO613" s="144"/>
      <c r="AP613" s="144"/>
      <c r="AQ613" s="144"/>
      <c r="AR613" s="144"/>
      <c r="AS613" s="144"/>
      <c r="AT613" s="144"/>
      <c r="AU613" s="144"/>
      <c r="AV613" s="144"/>
    </row>
    <row r="614" spans="3:48" x14ac:dyDescent="0.25">
      <c r="C614" s="144"/>
      <c r="D614" s="144"/>
      <c r="E614" s="144"/>
      <c r="F614" s="144"/>
      <c r="G614" s="144"/>
      <c r="H614" s="232"/>
      <c r="I614" s="144"/>
      <c r="J614" s="144"/>
      <c r="K614" s="144"/>
      <c r="L614" s="144"/>
      <c r="M614" s="144"/>
      <c r="N614" s="144"/>
      <c r="O614" s="144"/>
      <c r="P614" s="144"/>
      <c r="Q614" s="144"/>
      <c r="R614" s="144"/>
      <c r="S614" s="144"/>
      <c r="T614" s="144"/>
      <c r="U614" s="232"/>
      <c r="V614" s="232"/>
      <c r="W614" s="144"/>
      <c r="X614" s="144"/>
      <c r="Y614" s="144"/>
      <c r="Z614" s="144"/>
      <c r="AA614" s="144"/>
      <c r="AB614" s="144"/>
      <c r="AC614" s="144"/>
      <c r="AD614" s="144"/>
      <c r="AE614" s="232"/>
      <c r="AF614" s="144"/>
      <c r="AG614" s="144"/>
      <c r="AH614" s="232"/>
      <c r="AI614" s="232"/>
      <c r="AJ614" s="144"/>
      <c r="AK614" s="144"/>
      <c r="AL614" s="144"/>
      <c r="AM614" s="144"/>
      <c r="AN614" s="144"/>
      <c r="AO614" s="144"/>
      <c r="AP614" s="144"/>
      <c r="AQ614" s="144"/>
      <c r="AR614" s="144"/>
      <c r="AS614" s="144"/>
      <c r="AT614" s="144"/>
      <c r="AU614" s="144"/>
      <c r="AV614" s="144"/>
    </row>
    <row r="615" spans="3:48" x14ac:dyDescent="0.25">
      <c r="C615" s="144"/>
      <c r="D615" s="144"/>
      <c r="E615" s="144"/>
      <c r="F615" s="144"/>
      <c r="G615" s="144"/>
      <c r="H615" s="232"/>
      <c r="I615" s="144"/>
      <c r="J615" s="144"/>
      <c r="K615" s="144"/>
      <c r="L615" s="144"/>
      <c r="M615" s="144"/>
      <c r="N615" s="144"/>
      <c r="O615" s="144"/>
      <c r="P615" s="144"/>
      <c r="Q615" s="144"/>
      <c r="R615" s="144"/>
      <c r="S615" s="144"/>
      <c r="T615" s="144"/>
      <c r="U615" s="232"/>
      <c r="V615" s="232"/>
      <c r="W615" s="144"/>
      <c r="X615" s="144"/>
      <c r="Y615" s="144"/>
      <c r="Z615" s="144"/>
      <c r="AA615" s="144"/>
      <c r="AB615" s="144"/>
      <c r="AC615" s="144"/>
      <c r="AD615" s="144"/>
      <c r="AE615" s="232"/>
      <c r="AF615" s="144"/>
      <c r="AG615" s="144"/>
      <c r="AH615" s="232"/>
      <c r="AI615" s="232"/>
      <c r="AJ615" s="144"/>
      <c r="AK615" s="144"/>
      <c r="AL615" s="144"/>
      <c r="AM615" s="144"/>
      <c r="AN615" s="144"/>
      <c r="AO615" s="144"/>
      <c r="AP615" s="144"/>
      <c r="AQ615" s="144"/>
      <c r="AR615" s="144"/>
      <c r="AS615" s="144"/>
      <c r="AT615" s="144"/>
      <c r="AU615" s="144"/>
      <c r="AV615" s="144"/>
    </row>
    <row r="616" spans="3:48" x14ac:dyDescent="0.25">
      <c r="C616" s="144"/>
      <c r="D616" s="144"/>
      <c r="E616" s="144"/>
      <c r="F616" s="144"/>
      <c r="G616" s="144"/>
      <c r="H616" s="232"/>
      <c r="I616" s="144"/>
      <c r="J616" s="144"/>
      <c r="K616" s="144"/>
      <c r="L616" s="144"/>
      <c r="M616" s="144"/>
      <c r="N616" s="144"/>
      <c r="O616" s="144"/>
      <c r="P616" s="144"/>
      <c r="Q616" s="144"/>
      <c r="R616" s="144"/>
      <c r="S616" s="144"/>
      <c r="T616" s="144"/>
      <c r="U616" s="232"/>
      <c r="V616" s="232"/>
      <c r="W616" s="144"/>
      <c r="X616" s="144"/>
      <c r="Y616" s="144"/>
      <c r="Z616" s="144"/>
      <c r="AA616" s="144"/>
      <c r="AB616" s="144"/>
      <c r="AC616" s="144"/>
      <c r="AD616" s="144"/>
      <c r="AE616" s="232"/>
      <c r="AF616" s="144"/>
      <c r="AG616" s="144"/>
      <c r="AH616" s="232"/>
      <c r="AI616" s="232"/>
      <c r="AJ616" s="144"/>
      <c r="AK616" s="144"/>
      <c r="AL616" s="144"/>
      <c r="AM616" s="144"/>
      <c r="AN616" s="144"/>
      <c r="AO616" s="144"/>
      <c r="AP616" s="144"/>
      <c r="AQ616" s="144"/>
      <c r="AR616" s="144"/>
      <c r="AS616" s="144"/>
      <c r="AT616" s="144"/>
      <c r="AU616" s="144"/>
      <c r="AV616" s="144"/>
    </row>
    <row r="617" spans="3:48" x14ac:dyDescent="0.25">
      <c r="C617" s="144"/>
      <c r="D617" s="144"/>
      <c r="E617" s="144"/>
      <c r="F617" s="144"/>
      <c r="G617" s="144"/>
      <c r="H617" s="232"/>
      <c r="I617" s="144"/>
      <c r="J617" s="144"/>
      <c r="K617" s="144"/>
      <c r="L617" s="144"/>
      <c r="M617" s="144"/>
      <c r="N617" s="144"/>
      <c r="O617" s="144"/>
      <c r="P617" s="144"/>
      <c r="Q617" s="144"/>
      <c r="R617" s="144"/>
      <c r="S617" s="144"/>
      <c r="T617" s="144"/>
      <c r="U617" s="232"/>
      <c r="V617" s="232"/>
      <c r="W617" s="144"/>
      <c r="X617" s="144"/>
      <c r="Y617" s="144"/>
      <c r="Z617" s="144"/>
      <c r="AA617" s="144"/>
      <c r="AB617" s="144"/>
      <c r="AC617" s="144"/>
      <c r="AD617" s="144"/>
      <c r="AE617" s="232"/>
      <c r="AF617" s="144"/>
      <c r="AG617" s="144"/>
      <c r="AH617" s="232"/>
      <c r="AI617" s="232"/>
      <c r="AJ617" s="144"/>
      <c r="AK617" s="144"/>
      <c r="AL617" s="144"/>
      <c r="AM617" s="144"/>
      <c r="AN617" s="144"/>
      <c r="AO617" s="144"/>
      <c r="AP617" s="144"/>
      <c r="AQ617" s="144"/>
      <c r="AR617" s="144"/>
      <c r="AS617" s="144"/>
      <c r="AT617" s="144"/>
      <c r="AU617" s="144"/>
      <c r="AV617" s="144"/>
    </row>
    <row r="618" spans="3:48" x14ac:dyDescent="0.25">
      <c r="C618" s="144"/>
      <c r="D618" s="144"/>
      <c r="E618" s="144"/>
      <c r="F618" s="144"/>
      <c r="G618" s="144"/>
      <c r="H618" s="232"/>
      <c r="I618" s="144"/>
      <c r="J618" s="144"/>
      <c r="K618" s="144"/>
      <c r="L618" s="144"/>
      <c r="M618" s="144"/>
      <c r="N618" s="144"/>
      <c r="O618" s="144"/>
      <c r="P618" s="144"/>
      <c r="Q618" s="144"/>
      <c r="R618" s="144"/>
      <c r="S618" s="144"/>
      <c r="T618" s="144"/>
      <c r="U618" s="232"/>
      <c r="V618" s="232"/>
      <c r="W618" s="144"/>
      <c r="X618" s="144"/>
      <c r="Y618" s="144"/>
      <c r="Z618" s="144"/>
      <c r="AA618" s="144"/>
      <c r="AB618" s="144"/>
      <c r="AC618" s="144"/>
      <c r="AD618" s="144"/>
      <c r="AE618" s="232"/>
      <c r="AF618" s="144"/>
      <c r="AG618" s="144"/>
      <c r="AH618" s="232"/>
      <c r="AI618" s="232"/>
      <c r="AJ618" s="144"/>
      <c r="AK618" s="144"/>
      <c r="AL618" s="144"/>
      <c r="AM618" s="144"/>
      <c r="AN618" s="144"/>
      <c r="AO618" s="144"/>
      <c r="AP618" s="144"/>
      <c r="AQ618" s="144"/>
      <c r="AR618" s="144"/>
      <c r="AS618" s="144"/>
      <c r="AT618" s="144"/>
      <c r="AU618" s="144"/>
      <c r="AV618" s="144"/>
    </row>
    <row r="619" spans="3:48" x14ac:dyDescent="0.25">
      <c r="C619" s="144"/>
      <c r="D619" s="144"/>
      <c r="E619" s="144"/>
      <c r="F619" s="144"/>
      <c r="G619" s="144"/>
      <c r="H619" s="232"/>
      <c r="I619" s="144"/>
      <c r="J619" s="144"/>
      <c r="K619" s="144"/>
      <c r="L619" s="144"/>
      <c r="M619" s="144"/>
      <c r="N619" s="144"/>
      <c r="O619" s="144"/>
      <c r="P619" s="144"/>
      <c r="Q619" s="144"/>
      <c r="R619" s="144"/>
      <c r="S619" s="144"/>
      <c r="T619" s="144"/>
      <c r="U619" s="232"/>
      <c r="V619" s="232"/>
      <c r="W619" s="144"/>
      <c r="X619" s="144"/>
      <c r="Y619" s="144"/>
      <c r="Z619" s="144"/>
      <c r="AA619" s="144"/>
      <c r="AB619" s="144"/>
      <c r="AC619" s="144"/>
      <c r="AD619" s="144"/>
      <c r="AE619" s="232"/>
      <c r="AF619" s="144"/>
      <c r="AG619" s="144"/>
      <c r="AH619" s="232"/>
      <c r="AI619" s="232"/>
      <c r="AJ619" s="144"/>
      <c r="AK619" s="144"/>
      <c r="AL619" s="144"/>
      <c r="AM619" s="144"/>
      <c r="AN619" s="144"/>
      <c r="AO619" s="144"/>
      <c r="AP619" s="144"/>
      <c r="AQ619" s="144"/>
      <c r="AR619" s="144"/>
      <c r="AS619" s="144"/>
      <c r="AT619" s="144"/>
      <c r="AU619" s="144"/>
      <c r="AV619" s="144"/>
    </row>
    <row r="620" spans="3:48" x14ac:dyDescent="0.25">
      <c r="C620" s="144"/>
      <c r="D620" s="144"/>
      <c r="E620" s="144"/>
      <c r="F620" s="144"/>
      <c r="G620" s="144"/>
      <c r="H620" s="232"/>
      <c r="I620" s="144"/>
      <c r="J620" s="144"/>
      <c r="K620" s="144"/>
      <c r="L620" s="144"/>
      <c r="M620" s="144"/>
      <c r="N620" s="144"/>
      <c r="O620" s="144"/>
      <c r="P620" s="144"/>
      <c r="Q620" s="144"/>
      <c r="R620" s="144"/>
      <c r="S620" s="144"/>
      <c r="T620" s="144"/>
      <c r="U620" s="232"/>
      <c r="V620" s="232"/>
      <c r="W620" s="144"/>
      <c r="X620" s="144"/>
      <c r="Y620" s="144"/>
      <c r="Z620" s="144"/>
      <c r="AA620" s="144"/>
      <c r="AB620" s="144"/>
      <c r="AC620" s="144"/>
      <c r="AD620" s="144"/>
      <c r="AE620" s="232"/>
      <c r="AF620" s="144"/>
      <c r="AG620" s="144"/>
      <c r="AH620" s="232"/>
      <c r="AI620" s="232"/>
      <c r="AJ620" s="144"/>
      <c r="AK620" s="144"/>
      <c r="AL620" s="144"/>
      <c r="AM620" s="144"/>
      <c r="AN620" s="144"/>
      <c r="AO620" s="144"/>
      <c r="AP620" s="144"/>
      <c r="AQ620" s="144"/>
      <c r="AR620" s="144"/>
      <c r="AS620" s="144"/>
      <c r="AT620" s="144"/>
      <c r="AU620" s="144"/>
      <c r="AV620" s="144"/>
    </row>
    <row r="621" spans="3:48" x14ac:dyDescent="0.25">
      <c r="C621" s="144"/>
      <c r="D621" s="144"/>
      <c r="E621" s="144"/>
      <c r="F621" s="144"/>
      <c r="G621" s="144"/>
      <c r="H621" s="232"/>
      <c r="I621" s="144"/>
      <c r="J621" s="144"/>
      <c r="K621" s="144"/>
      <c r="L621" s="144"/>
      <c r="M621" s="144"/>
      <c r="N621" s="144"/>
      <c r="O621" s="144"/>
      <c r="P621" s="144"/>
      <c r="Q621" s="144"/>
      <c r="R621" s="144"/>
      <c r="S621" s="144"/>
      <c r="T621" s="144"/>
      <c r="U621" s="232"/>
      <c r="V621" s="232"/>
      <c r="W621" s="144"/>
      <c r="X621" s="144"/>
      <c r="Y621" s="144"/>
      <c r="Z621" s="144"/>
      <c r="AA621" s="144"/>
      <c r="AB621" s="144"/>
      <c r="AC621" s="144"/>
      <c r="AD621" s="144"/>
      <c r="AE621" s="232"/>
      <c r="AF621" s="144"/>
      <c r="AG621" s="144"/>
      <c r="AH621" s="232"/>
      <c r="AI621" s="232"/>
      <c r="AJ621" s="144"/>
      <c r="AK621" s="144"/>
      <c r="AL621" s="144"/>
      <c r="AM621" s="144"/>
      <c r="AN621" s="144"/>
      <c r="AO621" s="144"/>
      <c r="AP621" s="144"/>
      <c r="AQ621" s="144"/>
      <c r="AR621" s="144"/>
      <c r="AS621" s="144"/>
      <c r="AT621" s="144"/>
      <c r="AU621" s="144"/>
      <c r="AV621" s="144"/>
    </row>
    <row r="622" spans="3:48" x14ac:dyDescent="0.25">
      <c r="C622" s="144"/>
      <c r="D622" s="144"/>
      <c r="E622" s="144"/>
      <c r="F622" s="144"/>
      <c r="G622" s="144"/>
      <c r="H622" s="232"/>
      <c r="I622" s="144"/>
      <c r="J622" s="144"/>
      <c r="K622" s="144"/>
      <c r="L622" s="144"/>
      <c r="M622" s="144"/>
      <c r="N622" s="144"/>
      <c r="O622" s="144"/>
      <c r="P622" s="144"/>
      <c r="Q622" s="144"/>
      <c r="R622" s="144"/>
      <c r="S622" s="144"/>
      <c r="T622" s="144"/>
      <c r="U622" s="232"/>
      <c r="V622" s="232"/>
      <c r="W622" s="144"/>
      <c r="X622" s="144"/>
      <c r="Y622" s="144"/>
      <c r="Z622" s="144"/>
      <c r="AA622" s="144"/>
      <c r="AB622" s="144"/>
      <c r="AC622" s="144"/>
      <c r="AD622" s="144"/>
      <c r="AE622" s="232"/>
      <c r="AF622" s="144"/>
      <c r="AG622" s="144"/>
      <c r="AH622" s="232"/>
      <c r="AI622" s="232"/>
      <c r="AJ622" s="144"/>
      <c r="AK622" s="144"/>
      <c r="AL622" s="144"/>
      <c r="AM622" s="144"/>
      <c r="AN622" s="144"/>
      <c r="AO622" s="144"/>
      <c r="AP622" s="144"/>
      <c r="AQ622" s="144"/>
      <c r="AR622" s="144"/>
      <c r="AS622" s="144"/>
      <c r="AT622" s="144"/>
      <c r="AU622" s="144"/>
      <c r="AV622" s="144"/>
    </row>
    <row r="623" spans="3:48" x14ac:dyDescent="0.25">
      <c r="C623" s="144"/>
      <c r="D623" s="144"/>
      <c r="E623" s="144"/>
      <c r="F623" s="144"/>
      <c r="G623" s="144"/>
      <c r="H623" s="232"/>
      <c r="I623" s="144"/>
      <c r="J623" s="144"/>
      <c r="K623" s="144"/>
      <c r="L623" s="144"/>
      <c r="M623" s="144"/>
      <c r="N623" s="144"/>
      <c r="O623" s="144"/>
      <c r="P623" s="144"/>
      <c r="Q623" s="144"/>
      <c r="R623" s="144"/>
      <c r="S623" s="144"/>
      <c r="T623" s="144"/>
      <c r="U623" s="232"/>
      <c r="V623" s="232"/>
      <c r="W623" s="144"/>
      <c r="X623" s="144"/>
      <c r="Y623" s="144"/>
      <c r="Z623" s="144"/>
      <c r="AA623" s="144"/>
      <c r="AB623" s="144"/>
      <c r="AC623" s="144"/>
      <c r="AD623" s="144"/>
      <c r="AE623" s="232"/>
      <c r="AF623" s="144"/>
      <c r="AG623" s="144"/>
      <c r="AH623" s="232"/>
      <c r="AI623" s="232"/>
      <c r="AJ623" s="144"/>
      <c r="AK623" s="144"/>
      <c r="AL623" s="144"/>
      <c r="AM623" s="144"/>
      <c r="AN623" s="144"/>
      <c r="AO623" s="144"/>
      <c r="AP623" s="144"/>
      <c r="AQ623" s="144"/>
      <c r="AR623" s="144"/>
      <c r="AS623" s="144"/>
      <c r="AT623" s="144"/>
      <c r="AU623" s="144"/>
      <c r="AV623" s="144"/>
    </row>
    <row r="624" spans="3:48" x14ac:dyDescent="0.25">
      <c r="C624" s="144"/>
      <c r="D624" s="144"/>
      <c r="E624" s="144"/>
      <c r="F624" s="144"/>
      <c r="G624" s="144"/>
      <c r="H624" s="232"/>
      <c r="I624" s="144"/>
      <c r="J624" s="144"/>
      <c r="K624" s="144"/>
      <c r="L624" s="144"/>
      <c r="M624" s="144"/>
      <c r="N624" s="144"/>
      <c r="O624" s="144"/>
      <c r="P624" s="144"/>
      <c r="Q624" s="144"/>
      <c r="R624" s="144"/>
      <c r="S624" s="144"/>
      <c r="T624" s="144"/>
      <c r="U624" s="232"/>
      <c r="V624" s="232"/>
      <c r="W624" s="144"/>
      <c r="X624" s="144"/>
      <c r="Y624" s="144"/>
      <c r="Z624" s="144"/>
      <c r="AA624" s="144"/>
      <c r="AB624" s="144"/>
      <c r="AC624" s="144"/>
      <c r="AD624" s="144"/>
      <c r="AE624" s="232"/>
      <c r="AF624" s="144"/>
      <c r="AG624" s="144"/>
      <c r="AH624" s="232"/>
      <c r="AI624" s="232"/>
      <c r="AJ624" s="144"/>
      <c r="AK624" s="144"/>
      <c r="AL624" s="144"/>
      <c r="AM624" s="144"/>
      <c r="AN624" s="144"/>
      <c r="AO624" s="144"/>
      <c r="AP624" s="144"/>
      <c r="AQ624" s="144"/>
      <c r="AR624" s="144"/>
      <c r="AS624" s="144"/>
      <c r="AT624" s="144"/>
      <c r="AU624" s="144"/>
      <c r="AV624" s="144"/>
    </row>
    <row r="625" spans="3:48" x14ac:dyDescent="0.25">
      <c r="C625" s="144"/>
      <c r="D625" s="144"/>
      <c r="E625" s="144"/>
      <c r="F625" s="144"/>
      <c r="G625" s="144"/>
      <c r="H625" s="232"/>
      <c r="I625" s="144"/>
      <c r="J625" s="144"/>
      <c r="K625" s="144"/>
      <c r="L625" s="144"/>
      <c r="M625" s="144"/>
      <c r="N625" s="144"/>
      <c r="O625" s="144"/>
      <c r="P625" s="144"/>
      <c r="Q625" s="144"/>
      <c r="R625" s="144"/>
      <c r="S625" s="144"/>
      <c r="T625" s="144"/>
      <c r="U625" s="232"/>
      <c r="V625" s="232"/>
      <c r="W625" s="144"/>
      <c r="X625" s="144"/>
      <c r="Y625" s="144"/>
      <c r="Z625" s="144"/>
      <c r="AA625" s="144"/>
      <c r="AB625" s="144"/>
      <c r="AC625" s="144"/>
      <c r="AD625" s="144"/>
      <c r="AE625" s="232"/>
      <c r="AF625" s="144"/>
      <c r="AG625" s="144"/>
      <c r="AH625" s="232"/>
      <c r="AI625" s="232"/>
      <c r="AJ625" s="144"/>
      <c r="AK625" s="144"/>
      <c r="AL625" s="144"/>
      <c r="AM625" s="144"/>
      <c r="AN625" s="144"/>
      <c r="AO625" s="144"/>
      <c r="AP625" s="144"/>
      <c r="AQ625" s="144"/>
      <c r="AR625" s="144"/>
      <c r="AS625" s="144"/>
      <c r="AT625" s="144"/>
      <c r="AU625" s="144"/>
      <c r="AV625" s="144"/>
    </row>
    <row r="626" spans="3:48" x14ac:dyDescent="0.25">
      <c r="C626" s="144"/>
      <c r="D626" s="144"/>
      <c r="E626" s="144"/>
      <c r="F626" s="144"/>
      <c r="G626" s="144"/>
      <c r="H626" s="232"/>
      <c r="I626" s="144"/>
      <c r="J626" s="144"/>
      <c r="K626" s="144"/>
      <c r="L626" s="144"/>
      <c r="M626" s="144"/>
      <c r="N626" s="144"/>
      <c r="O626" s="144"/>
      <c r="P626" s="144"/>
      <c r="Q626" s="144"/>
      <c r="R626" s="144"/>
      <c r="S626" s="144"/>
      <c r="T626" s="144"/>
      <c r="U626" s="232"/>
      <c r="V626" s="232"/>
      <c r="W626" s="144"/>
      <c r="X626" s="144"/>
      <c r="Y626" s="144"/>
      <c r="Z626" s="144"/>
      <c r="AA626" s="144"/>
      <c r="AB626" s="144"/>
      <c r="AC626" s="144"/>
      <c r="AD626" s="144"/>
      <c r="AE626" s="232"/>
      <c r="AF626" s="144"/>
      <c r="AG626" s="144"/>
      <c r="AH626" s="232"/>
      <c r="AI626" s="232"/>
      <c r="AJ626" s="144"/>
      <c r="AK626" s="144"/>
      <c r="AL626" s="144"/>
      <c r="AM626" s="144"/>
      <c r="AN626" s="144"/>
      <c r="AO626" s="144"/>
      <c r="AP626" s="144"/>
      <c r="AQ626" s="144"/>
      <c r="AR626" s="144"/>
      <c r="AS626" s="144"/>
      <c r="AT626" s="144"/>
      <c r="AU626" s="144"/>
      <c r="AV626" s="144"/>
    </row>
    <row r="627" spans="3:48" x14ac:dyDescent="0.25">
      <c r="C627" s="144"/>
      <c r="D627" s="144"/>
      <c r="E627" s="144"/>
      <c r="F627" s="144"/>
      <c r="G627" s="144"/>
      <c r="H627" s="232"/>
      <c r="I627" s="144"/>
      <c r="J627" s="144"/>
      <c r="K627" s="144"/>
      <c r="L627" s="144"/>
      <c r="M627" s="144"/>
      <c r="N627" s="144"/>
      <c r="O627" s="144"/>
      <c r="P627" s="144"/>
      <c r="Q627" s="144"/>
      <c r="R627" s="144"/>
      <c r="S627" s="144"/>
      <c r="T627" s="144"/>
      <c r="U627" s="232"/>
      <c r="V627" s="232"/>
      <c r="W627" s="144"/>
      <c r="X627" s="144"/>
      <c r="Y627" s="144"/>
      <c r="Z627" s="144"/>
      <c r="AA627" s="144"/>
      <c r="AB627" s="144"/>
      <c r="AC627" s="144"/>
      <c r="AD627" s="144"/>
      <c r="AE627" s="232"/>
      <c r="AF627" s="144"/>
      <c r="AG627" s="144"/>
      <c r="AH627" s="232"/>
      <c r="AI627" s="232"/>
      <c r="AJ627" s="144"/>
      <c r="AK627" s="144"/>
      <c r="AL627" s="144"/>
      <c r="AM627" s="144"/>
      <c r="AN627" s="144"/>
      <c r="AO627" s="144"/>
      <c r="AP627" s="144"/>
      <c r="AQ627" s="144"/>
      <c r="AR627" s="144"/>
      <c r="AS627" s="144"/>
      <c r="AT627" s="144"/>
      <c r="AU627" s="144"/>
      <c r="AV627" s="144"/>
    </row>
    <row r="628" spans="3:48" x14ac:dyDescent="0.25">
      <c r="C628" s="144"/>
      <c r="D628" s="144"/>
      <c r="E628" s="144"/>
      <c r="F628" s="144"/>
      <c r="G628" s="144"/>
      <c r="H628" s="232"/>
      <c r="I628" s="144"/>
      <c r="J628" s="144"/>
      <c r="K628" s="144"/>
      <c r="L628" s="144"/>
      <c r="M628" s="144"/>
      <c r="N628" s="144"/>
      <c r="O628" s="144"/>
      <c r="P628" s="144"/>
      <c r="Q628" s="144"/>
      <c r="R628" s="144"/>
      <c r="S628" s="144"/>
      <c r="T628" s="144"/>
      <c r="U628" s="232"/>
      <c r="V628" s="232"/>
      <c r="W628" s="144"/>
      <c r="X628" s="144"/>
      <c r="Y628" s="144"/>
      <c r="Z628" s="144"/>
      <c r="AA628" s="144"/>
      <c r="AB628" s="144"/>
      <c r="AC628" s="144"/>
      <c r="AD628" s="144"/>
      <c r="AE628" s="232"/>
      <c r="AF628" s="144"/>
      <c r="AG628" s="144"/>
      <c r="AH628" s="232"/>
      <c r="AI628" s="232"/>
      <c r="AJ628" s="144"/>
      <c r="AK628" s="144"/>
      <c r="AL628" s="144"/>
      <c r="AM628" s="144"/>
      <c r="AN628" s="144"/>
      <c r="AO628" s="144"/>
      <c r="AP628" s="144"/>
      <c r="AQ628" s="144"/>
      <c r="AR628" s="144"/>
      <c r="AS628" s="144"/>
      <c r="AT628" s="144"/>
      <c r="AU628" s="144"/>
      <c r="AV628" s="144"/>
    </row>
    <row r="629" spans="3:48" x14ac:dyDescent="0.25">
      <c r="C629" s="144"/>
      <c r="D629" s="144"/>
      <c r="E629" s="144"/>
      <c r="F629" s="144"/>
      <c r="G629" s="144"/>
      <c r="H629" s="232"/>
      <c r="I629" s="144"/>
      <c r="J629" s="144"/>
      <c r="K629" s="144"/>
      <c r="L629" s="144"/>
      <c r="M629" s="144"/>
      <c r="N629" s="144"/>
      <c r="O629" s="144"/>
      <c r="P629" s="144"/>
      <c r="Q629" s="144"/>
      <c r="R629" s="144"/>
      <c r="S629" s="144"/>
      <c r="T629" s="144"/>
      <c r="U629" s="232"/>
      <c r="V629" s="232"/>
      <c r="W629" s="144"/>
      <c r="X629" s="144"/>
      <c r="Y629" s="144"/>
      <c r="Z629" s="144"/>
      <c r="AA629" s="144"/>
      <c r="AB629" s="144"/>
      <c r="AC629" s="144"/>
      <c r="AD629" s="144"/>
      <c r="AE629" s="232"/>
      <c r="AF629" s="144"/>
      <c r="AG629" s="144"/>
      <c r="AH629" s="232"/>
      <c r="AI629" s="232"/>
      <c r="AJ629" s="144"/>
      <c r="AK629" s="144"/>
      <c r="AL629" s="144"/>
      <c r="AM629" s="144"/>
      <c r="AN629" s="144"/>
      <c r="AO629" s="144"/>
      <c r="AP629" s="144"/>
      <c r="AQ629" s="144"/>
      <c r="AR629" s="144"/>
      <c r="AS629" s="144"/>
      <c r="AT629" s="144"/>
      <c r="AU629" s="144"/>
      <c r="AV629" s="144"/>
    </row>
    <row r="630" spans="3:48" x14ac:dyDescent="0.25">
      <c r="C630" s="144"/>
      <c r="D630" s="144"/>
      <c r="E630" s="144"/>
      <c r="F630" s="144"/>
      <c r="G630" s="144"/>
      <c r="H630" s="232"/>
      <c r="I630" s="144"/>
      <c r="J630" s="144"/>
      <c r="K630" s="144"/>
      <c r="L630" s="144"/>
      <c r="M630" s="144"/>
      <c r="N630" s="144"/>
      <c r="O630" s="144"/>
      <c r="P630" s="144"/>
      <c r="Q630" s="144"/>
      <c r="R630" s="144"/>
      <c r="S630" s="144"/>
      <c r="T630" s="144"/>
      <c r="U630" s="232"/>
      <c r="V630" s="232"/>
      <c r="W630" s="144"/>
      <c r="X630" s="144"/>
      <c r="Y630" s="144"/>
      <c r="Z630" s="144"/>
      <c r="AA630" s="144"/>
      <c r="AB630" s="144"/>
      <c r="AC630" s="144"/>
      <c r="AD630" s="144"/>
      <c r="AE630" s="232"/>
      <c r="AF630" s="144"/>
      <c r="AG630" s="144"/>
      <c r="AH630" s="232"/>
      <c r="AI630" s="232"/>
      <c r="AJ630" s="144"/>
      <c r="AK630" s="144"/>
      <c r="AL630" s="144"/>
      <c r="AM630" s="144"/>
      <c r="AN630" s="144"/>
      <c r="AO630" s="144"/>
      <c r="AP630" s="144"/>
      <c r="AQ630" s="144"/>
      <c r="AR630" s="144"/>
      <c r="AS630" s="144"/>
      <c r="AT630" s="144"/>
      <c r="AU630" s="144"/>
      <c r="AV630" s="144"/>
    </row>
    <row r="631" spans="3:48" x14ac:dyDescent="0.25">
      <c r="C631" s="144"/>
      <c r="D631" s="144"/>
      <c r="E631" s="144"/>
      <c r="F631" s="144"/>
      <c r="G631" s="144"/>
      <c r="H631" s="232"/>
      <c r="I631" s="144"/>
      <c r="J631" s="144"/>
      <c r="K631" s="144"/>
      <c r="L631" s="144"/>
      <c r="M631" s="144"/>
      <c r="N631" s="144"/>
      <c r="O631" s="144"/>
      <c r="P631" s="144"/>
      <c r="Q631" s="144"/>
      <c r="R631" s="144"/>
      <c r="S631" s="144"/>
      <c r="T631" s="144"/>
      <c r="U631" s="232"/>
      <c r="V631" s="232"/>
      <c r="W631" s="144"/>
      <c r="X631" s="144"/>
      <c r="Y631" s="144"/>
      <c r="Z631" s="144"/>
      <c r="AA631" s="144"/>
      <c r="AB631" s="144"/>
      <c r="AC631" s="144"/>
      <c r="AD631" s="144"/>
      <c r="AE631" s="232"/>
      <c r="AF631" s="144"/>
      <c r="AG631" s="144"/>
      <c r="AH631" s="232"/>
      <c r="AI631" s="232"/>
      <c r="AJ631" s="144"/>
      <c r="AK631" s="144"/>
      <c r="AL631" s="144"/>
      <c r="AM631" s="144"/>
      <c r="AN631" s="144"/>
      <c r="AO631" s="144"/>
      <c r="AP631" s="144"/>
      <c r="AQ631" s="144"/>
      <c r="AR631" s="144"/>
      <c r="AS631" s="144"/>
      <c r="AT631" s="144"/>
      <c r="AU631" s="144"/>
      <c r="AV631" s="144"/>
    </row>
    <row r="632" spans="3:48" x14ac:dyDescent="0.25">
      <c r="C632" s="144"/>
      <c r="D632" s="144"/>
      <c r="E632" s="144"/>
      <c r="F632" s="144"/>
      <c r="G632" s="144"/>
      <c r="H632" s="232"/>
      <c r="I632" s="144"/>
      <c r="J632" s="144"/>
      <c r="K632" s="144"/>
      <c r="L632" s="144"/>
      <c r="M632" s="144"/>
      <c r="N632" s="144"/>
      <c r="O632" s="144"/>
      <c r="P632" s="144"/>
      <c r="Q632" s="144"/>
      <c r="R632" s="144"/>
      <c r="S632" s="144"/>
      <c r="T632" s="144"/>
      <c r="U632" s="232"/>
      <c r="V632" s="232"/>
      <c r="W632" s="144"/>
      <c r="X632" s="144"/>
      <c r="Y632" s="144"/>
      <c r="Z632" s="144"/>
      <c r="AA632" s="144"/>
      <c r="AB632" s="144"/>
      <c r="AC632" s="144"/>
      <c r="AD632" s="144"/>
      <c r="AE632" s="232"/>
      <c r="AF632" s="144"/>
      <c r="AG632" s="144"/>
      <c r="AH632" s="232"/>
      <c r="AI632" s="232"/>
      <c r="AJ632" s="144"/>
      <c r="AK632" s="144"/>
      <c r="AL632" s="144"/>
      <c r="AM632" s="144"/>
      <c r="AN632" s="144"/>
      <c r="AO632" s="144"/>
      <c r="AP632" s="144"/>
      <c r="AQ632" s="144"/>
      <c r="AR632" s="144"/>
      <c r="AS632" s="144"/>
      <c r="AT632" s="144"/>
      <c r="AU632" s="144"/>
      <c r="AV632" s="144"/>
    </row>
    <row r="633" spans="3:48" x14ac:dyDescent="0.25">
      <c r="C633" s="144"/>
      <c r="D633" s="144"/>
      <c r="E633" s="144"/>
      <c r="F633" s="144"/>
      <c r="G633" s="144"/>
      <c r="H633" s="232"/>
      <c r="I633" s="144"/>
      <c r="J633" s="144"/>
      <c r="K633" s="144"/>
      <c r="L633" s="144"/>
      <c r="M633" s="144"/>
      <c r="N633" s="144"/>
      <c r="O633" s="144"/>
      <c r="P633" s="144"/>
      <c r="Q633" s="144"/>
      <c r="R633" s="144"/>
      <c r="S633" s="144"/>
      <c r="T633" s="144"/>
      <c r="U633" s="232"/>
      <c r="V633" s="232"/>
      <c r="W633" s="144"/>
      <c r="X633" s="144"/>
      <c r="Y633" s="144"/>
      <c r="Z633" s="144"/>
      <c r="AA633" s="144"/>
      <c r="AB633" s="144"/>
      <c r="AC633" s="144"/>
      <c r="AD633" s="144"/>
      <c r="AE633" s="232"/>
      <c r="AF633" s="144"/>
      <c r="AG633" s="144"/>
      <c r="AH633" s="232"/>
      <c r="AI633" s="232"/>
      <c r="AJ633" s="144"/>
      <c r="AK633" s="144"/>
      <c r="AL633" s="144"/>
      <c r="AM633" s="144"/>
      <c r="AN633" s="144"/>
      <c r="AO633" s="144"/>
      <c r="AP633" s="144"/>
      <c r="AQ633" s="144"/>
      <c r="AR633" s="144"/>
      <c r="AS633" s="144"/>
      <c r="AT633" s="144"/>
      <c r="AU633" s="144"/>
      <c r="AV633" s="144"/>
    </row>
    <row r="634" spans="3:48" x14ac:dyDescent="0.25">
      <c r="C634" s="144"/>
      <c r="D634" s="144"/>
      <c r="E634" s="144"/>
      <c r="F634" s="144"/>
      <c r="G634" s="144"/>
      <c r="H634" s="232"/>
      <c r="I634" s="144"/>
      <c r="J634" s="144"/>
      <c r="K634" s="144"/>
      <c r="L634" s="144"/>
      <c r="M634" s="144"/>
      <c r="N634" s="144"/>
      <c r="O634" s="144"/>
      <c r="P634" s="144"/>
      <c r="Q634" s="144"/>
      <c r="R634" s="144"/>
      <c r="S634" s="144"/>
      <c r="T634" s="144"/>
      <c r="U634" s="232"/>
      <c r="V634" s="232"/>
      <c r="W634" s="144"/>
      <c r="X634" s="144"/>
      <c r="Y634" s="144"/>
      <c r="Z634" s="144"/>
      <c r="AA634" s="144"/>
      <c r="AB634" s="144"/>
      <c r="AC634" s="144"/>
      <c r="AD634" s="144"/>
      <c r="AE634" s="232"/>
      <c r="AF634" s="144"/>
      <c r="AG634" s="144"/>
      <c r="AH634" s="232"/>
      <c r="AI634" s="232"/>
      <c r="AJ634" s="144"/>
      <c r="AK634" s="144"/>
      <c r="AL634" s="144"/>
      <c r="AM634" s="144"/>
      <c r="AN634" s="144"/>
      <c r="AO634" s="144"/>
      <c r="AP634" s="144"/>
      <c r="AQ634" s="144"/>
      <c r="AR634" s="144"/>
      <c r="AS634" s="144"/>
      <c r="AT634" s="144"/>
      <c r="AU634" s="144"/>
      <c r="AV634" s="144"/>
    </row>
    <row r="635" spans="3:48" x14ac:dyDescent="0.25">
      <c r="C635" s="144"/>
      <c r="D635" s="144"/>
      <c r="E635" s="144"/>
      <c r="F635" s="144"/>
      <c r="G635" s="144"/>
      <c r="H635" s="232"/>
      <c r="I635" s="144"/>
      <c r="J635" s="144"/>
      <c r="K635" s="144"/>
      <c r="L635" s="144"/>
      <c r="M635" s="144"/>
      <c r="N635" s="144"/>
      <c r="O635" s="144"/>
      <c r="P635" s="144"/>
      <c r="Q635" s="144"/>
      <c r="R635" s="144"/>
      <c r="S635" s="144"/>
      <c r="T635" s="144"/>
      <c r="U635" s="232"/>
      <c r="V635" s="232"/>
      <c r="W635" s="144"/>
      <c r="X635" s="144"/>
      <c r="Y635" s="144"/>
      <c r="Z635" s="144"/>
      <c r="AA635" s="144"/>
      <c r="AB635" s="144"/>
      <c r="AC635" s="144"/>
      <c r="AD635" s="144"/>
      <c r="AE635" s="232"/>
      <c r="AF635" s="144"/>
      <c r="AG635" s="144"/>
      <c r="AH635" s="232"/>
      <c r="AI635" s="232"/>
      <c r="AJ635" s="144"/>
      <c r="AK635" s="144"/>
      <c r="AL635" s="144"/>
      <c r="AM635" s="144"/>
      <c r="AN635" s="144"/>
      <c r="AO635" s="144"/>
      <c r="AP635" s="144"/>
      <c r="AQ635" s="144"/>
      <c r="AR635" s="144"/>
      <c r="AS635" s="144"/>
      <c r="AT635" s="144"/>
      <c r="AU635" s="144"/>
      <c r="AV635" s="144"/>
    </row>
    <row r="636" spans="3:48" x14ac:dyDescent="0.25">
      <c r="C636" s="144"/>
      <c r="D636" s="144"/>
      <c r="E636" s="144"/>
      <c r="F636" s="144"/>
      <c r="G636" s="144"/>
      <c r="H636" s="232"/>
      <c r="I636" s="144"/>
      <c r="J636" s="144"/>
      <c r="K636" s="144"/>
      <c r="L636" s="144"/>
      <c r="M636" s="144"/>
      <c r="N636" s="144"/>
      <c r="O636" s="144"/>
      <c r="P636" s="144"/>
      <c r="Q636" s="144"/>
      <c r="R636" s="144"/>
      <c r="S636" s="144"/>
      <c r="T636" s="144"/>
      <c r="U636" s="232"/>
      <c r="V636" s="232"/>
      <c r="W636" s="144"/>
      <c r="X636" s="144"/>
      <c r="Y636" s="144"/>
      <c r="Z636" s="144"/>
      <c r="AA636" s="144"/>
      <c r="AB636" s="144"/>
      <c r="AC636" s="144"/>
      <c r="AD636" s="144"/>
      <c r="AE636" s="232"/>
      <c r="AF636" s="144"/>
      <c r="AG636" s="144"/>
      <c r="AH636" s="232"/>
      <c r="AI636" s="232"/>
      <c r="AJ636" s="144"/>
      <c r="AK636" s="144"/>
      <c r="AL636" s="144"/>
      <c r="AM636" s="144"/>
      <c r="AN636" s="144"/>
      <c r="AO636" s="144"/>
      <c r="AP636" s="144"/>
      <c r="AQ636" s="144"/>
      <c r="AR636" s="144"/>
      <c r="AS636" s="144"/>
      <c r="AT636" s="144"/>
      <c r="AU636" s="144"/>
      <c r="AV636" s="144"/>
    </row>
    <row r="637" spans="3:48" x14ac:dyDescent="0.25">
      <c r="C637" s="144"/>
      <c r="D637" s="144"/>
      <c r="E637" s="144"/>
      <c r="F637" s="144"/>
      <c r="G637" s="144"/>
      <c r="H637" s="232"/>
      <c r="I637" s="144"/>
      <c r="J637" s="144"/>
      <c r="K637" s="144"/>
      <c r="L637" s="144"/>
      <c r="M637" s="144"/>
      <c r="N637" s="144"/>
      <c r="O637" s="144"/>
      <c r="P637" s="144"/>
      <c r="Q637" s="144"/>
      <c r="R637" s="144"/>
      <c r="S637" s="144"/>
      <c r="T637" s="144"/>
      <c r="U637" s="232"/>
      <c r="V637" s="232"/>
      <c r="W637" s="144"/>
      <c r="X637" s="144"/>
      <c r="Y637" s="144"/>
      <c r="Z637" s="144"/>
      <c r="AA637" s="144"/>
      <c r="AB637" s="144"/>
      <c r="AC637" s="144"/>
      <c r="AD637" s="144"/>
      <c r="AE637" s="232"/>
      <c r="AF637" s="144"/>
      <c r="AG637" s="144"/>
      <c r="AH637" s="232"/>
      <c r="AI637" s="232"/>
      <c r="AJ637" s="144"/>
      <c r="AK637" s="144"/>
      <c r="AL637" s="144"/>
      <c r="AM637" s="144"/>
      <c r="AN637" s="144"/>
      <c r="AO637" s="144"/>
      <c r="AP637" s="144"/>
      <c r="AQ637" s="144"/>
      <c r="AR637" s="144"/>
      <c r="AS637" s="144"/>
      <c r="AT637" s="144"/>
      <c r="AU637" s="144"/>
      <c r="AV637" s="144"/>
    </row>
    <row r="638" spans="3:48" x14ac:dyDescent="0.25">
      <c r="C638" s="144"/>
      <c r="D638" s="144"/>
      <c r="E638" s="144"/>
      <c r="F638" s="144"/>
      <c r="G638" s="144"/>
      <c r="H638" s="232"/>
      <c r="I638" s="144"/>
      <c r="J638" s="144"/>
      <c r="K638" s="144"/>
      <c r="L638" s="144"/>
      <c r="M638" s="144"/>
      <c r="N638" s="144"/>
      <c r="O638" s="144"/>
      <c r="P638" s="144"/>
      <c r="Q638" s="144"/>
      <c r="R638" s="144"/>
      <c r="S638" s="144"/>
      <c r="T638" s="144"/>
      <c r="U638" s="232"/>
      <c r="V638" s="232"/>
      <c r="W638" s="144"/>
      <c r="X638" s="144"/>
      <c r="Y638" s="144"/>
      <c r="Z638" s="144"/>
      <c r="AA638" s="144"/>
      <c r="AB638" s="144"/>
      <c r="AC638" s="144"/>
      <c r="AD638" s="144"/>
      <c r="AE638" s="232"/>
      <c r="AF638" s="144"/>
      <c r="AG638" s="144"/>
      <c r="AH638" s="232"/>
      <c r="AI638" s="232"/>
      <c r="AJ638" s="144"/>
      <c r="AK638" s="144"/>
      <c r="AL638" s="144"/>
      <c r="AM638" s="144"/>
      <c r="AN638" s="144"/>
      <c r="AO638" s="144"/>
      <c r="AP638" s="144"/>
      <c r="AQ638" s="144"/>
      <c r="AR638" s="144"/>
      <c r="AS638" s="144"/>
      <c r="AT638" s="144"/>
      <c r="AU638" s="144"/>
      <c r="AV638" s="144"/>
    </row>
    <row r="639" spans="3:48" x14ac:dyDescent="0.25">
      <c r="C639" s="144"/>
      <c r="D639" s="144"/>
      <c r="E639" s="144"/>
      <c r="F639" s="144"/>
      <c r="G639" s="144"/>
      <c r="H639" s="232"/>
      <c r="I639" s="144"/>
      <c r="J639" s="144"/>
      <c r="K639" s="144"/>
      <c r="L639" s="144"/>
      <c r="M639" s="144"/>
      <c r="N639" s="144"/>
      <c r="O639" s="144"/>
      <c r="P639" s="144"/>
      <c r="Q639" s="144"/>
      <c r="R639" s="144"/>
      <c r="S639" s="144"/>
      <c r="T639" s="144"/>
      <c r="U639" s="232"/>
      <c r="V639" s="232"/>
      <c r="W639" s="144"/>
      <c r="X639" s="144"/>
      <c r="Y639" s="144"/>
      <c r="Z639" s="144"/>
      <c r="AA639" s="144"/>
      <c r="AB639" s="144"/>
      <c r="AC639" s="144"/>
      <c r="AD639" s="144"/>
      <c r="AE639" s="232"/>
      <c r="AF639" s="144"/>
      <c r="AG639" s="144"/>
      <c r="AH639" s="232"/>
      <c r="AI639" s="232"/>
      <c r="AJ639" s="144"/>
      <c r="AK639" s="144"/>
      <c r="AL639" s="144"/>
      <c r="AM639" s="144"/>
      <c r="AN639" s="144"/>
      <c r="AO639" s="144"/>
      <c r="AP639" s="144"/>
      <c r="AQ639" s="144"/>
      <c r="AR639" s="144"/>
      <c r="AS639" s="144"/>
      <c r="AT639" s="144"/>
      <c r="AU639" s="144"/>
      <c r="AV639" s="144"/>
    </row>
    <row r="640" spans="3:48" x14ac:dyDescent="0.25">
      <c r="C640" s="144"/>
      <c r="D640" s="144"/>
      <c r="E640" s="144"/>
      <c r="F640" s="144"/>
      <c r="G640" s="144"/>
      <c r="H640" s="232"/>
      <c r="I640" s="144"/>
      <c r="J640" s="144"/>
      <c r="K640" s="144"/>
      <c r="L640" s="144"/>
      <c r="M640" s="144"/>
      <c r="N640" s="144"/>
      <c r="O640" s="144"/>
      <c r="P640" s="144"/>
      <c r="Q640" s="144"/>
      <c r="R640" s="144"/>
      <c r="S640" s="144"/>
      <c r="T640" s="144"/>
      <c r="U640" s="232"/>
      <c r="V640" s="232"/>
      <c r="W640" s="144"/>
      <c r="X640" s="144"/>
      <c r="Y640" s="144"/>
      <c r="Z640" s="144"/>
      <c r="AA640" s="144"/>
      <c r="AB640" s="144"/>
      <c r="AC640" s="144"/>
      <c r="AD640" s="144"/>
      <c r="AE640" s="232"/>
      <c r="AF640" s="144"/>
      <c r="AG640" s="144"/>
      <c r="AH640" s="232"/>
      <c r="AI640" s="232"/>
      <c r="AJ640" s="144"/>
      <c r="AK640" s="144"/>
      <c r="AL640" s="144"/>
      <c r="AM640" s="144"/>
      <c r="AN640" s="144"/>
      <c r="AO640" s="144"/>
      <c r="AP640" s="144"/>
      <c r="AQ640" s="144"/>
      <c r="AR640" s="144"/>
      <c r="AS640" s="144"/>
      <c r="AT640" s="144"/>
      <c r="AU640" s="144"/>
      <c r="AV640" s="144"/>
    </row>
    <row r="641" spans="3:48" x14ac:dyDescent="0.25">
      <c r="C641" s="144"/>
      <c r="D641" s="144"/>
      <c r="E641" s="144"/>
      <c r="F641" s="144"/>
      <c r="G641" s="144"/>
      <c r="H641" s="232"/>
      <c r="I641" s="144"/>
      <c r="J641" s="144"/>
      <c r="K641" s="144"/>
      <c r="L641" s="144"/>
      <c r="M641" s="144"/>
      <c r="N641" s="144"/>
      <c r="O641" s="144"/>
      <c r="P641" s="144"/>
      <c r="Q641" s="144"/>
      <c r="R641" s="144"/>
      <c r="S641" s="144"/>
      <c r="T641" s="144"/>
      <c r="U641" s="232"/>
      <c r="V641" s="232"/>
      <c r="W641" s="144"/>
      <c r="X641" s="144"/>
      <c r="Y641" s="144"/>
      <c r="Z641" s="144"/>
      <c r="AA641" s="144"/>
      <c r="AB641" s="144"/>
      <c r="AC641" s="144"/>
      <c r="AD641" s="144"/>
      <c r="AE641" s="232"/>
      <c r="AF641" s="144"/>
      <c r="AG641" s="144"/>
      <c r="AH641" s="232"/>
      <c r="AI641" s="232"/>
      <c r="AJ641" s="144"/>
      <c r="AK641" s="144"/>
      <c r="AL641" s="144"/>
      <c r="AM641" s="144"/>
      <c r="AN641" s="144"/>
      <c r="AO641" s="144"/>
      <c r="AP641" s="144"/>
      <c r="AQ641" s="144"/>
      <c r="AR641" s="144"/>
      <c r="AS641" s="144"/>
      <c r="AT641" s="144"/>
      <c r="AU641" s="144"/>
      <c r="AV641" s="144"/>
    </row>
    <row r="642" spans="3:48" x14ac:dyDescent="0.25">
      <c r="C642" s="144"/>
      <c r="D642" s="144"/>
      <c r="E642" s="144"/>
      <c r="F642" s="144"/>
      <c r="G642" s="144"/>
      <c r="H642" s="232"/>
      <c r="I642" s="144"/>
      <c r="J642" s="144"/>
      <c r="K642" s="144"/>
      <c r="L642" s="144"/>
      <c r="M642" s="144"/>
      <c r="N642" s="144"/>
      <c r="O642" s="144"/>
      <c r="P642" s="144"/>
      <c r="Q642" s="144"/>
      <c r="R642" s="144"/>
      <c r="S642" s="144"/>
      <c r="T642" s="144"/>
      <c r="U642" s="232"/>
      <c r="V642" s="232"/>
      <c r="W642" s="144"/>
      <c r="X642" s="144"/>
      <c r="Y642" s="144"/>
      <c r="Z642" s="144"/>
      <c r="AA642" s="144"/>
      <c r="AB642" s="144"/>
      <c r="AC642" s="144"/>
      <c r="AD642" s="144"/>
      <c r="AE642" s="232"/>
      <c r="AF642" s="144"/>
      <c r="AG642" s="144"/>
      <c r="AH642" s="232"/>
      <c r="AI642" s="232"/>
      <c r="AJ642" s="144"/>
      <c r="AK642" s="144"/>
      <c r="AL642" s="144"/>
      <c r="AM642" s="144"/>
      <c r="AN642" s="144"/>
      <c r="AO642" s="144"/>
      <c r="AP642" s="144"/>
      <c r="AQ642" s="144"/>
      <c r="AR642" s="144"/>
      <c r="AS642" s="144"/>
      <c r="AT642" s="144"/>
      <c r="AU642" s="144"/>
      <c r="AV642" s="144"/>
    </row>
    <row r="643" spans="3:48" x14ac:dyDescent="0.25">
      <c r="C643" s="144"/>
      <c r="D643" s="144"/>
      <c r="E643" s="144"/>
      <c r="F643" s="144"/>
      <c r="G643" s="144"/>
      <c r="H643" s="232"/>
      <c r="I643" s="144"/>
      <c r="J643" s="144"/>
      <c r="K643" s="144"/>
      <c r="L643" s="144"/>
      <c r="M643" s="144"/>
      <c r="N643" s="144"/>
      <c r="O643" s="144"/>
      <c r="P643" s="144"/>
      <c r="Q643" s="144"/>
      <c r="R643" s="144"/>
      <c r="S643" s="144"/>
      <c r="T643" s="144"/>
      <c r="U643" s="232"/>
      <c r="V643" s="232"/>
      <c r="W643" s="144"/>
      <c r="X643" s="144"/>
      <c r="Y643" s="144"/>
      <c r="Z643" s="144"/>
      <c r="AA643" s="144"/>
      <c r="AB643" s="144"/>
      <c r="AC643" s="144"/>
      <c r="AD643" s="144"/>
      <c r="AE643" s="232"/>
      <c r="AF643" s="144"/>
      <c r="AG643" s="144"/>
      <c r="AH643" s="232"/>
      <c r="AI643" s="232"/>
      <c r="AJ643" s="144"/>
      <c r="AK643" s="144"/>
      <c r="AL643" s="144"/>
      <c r="AM643" s="144"/>
      <c r="AN643" s="144"/>
      <c r="AO643" s="144"/>
      <c r="AP643" s="144"/>
      <c r="AQ643" s="144"/>
      <c r="AR643" s="144"/>
      <c r="AS643" s="144"/>
      <c r="AT643" s="144"/>
      <c r="AU643" s="144"/>
      <c r="AV643" s="144"/>
    </row>
    <row r="644" spans="3:48" x14ac:dyDescent="0.25">
      <c r="C644" s="144"/>
      <c r="D644" s="144"/>
      <c r="E644" s="144"/>
      <c r="F644" s="144"/>
      <c r="G644" s="144"/>
      <c r="H644" s="232"/>
      <c r="I644" s="144"/>
      <c r="J644" s="144"/>
      <c r="K644" s="144"/>
      <c r="L644" s="144"/>
      <c r="M644" s="144"/>
      <c r="N644" s="144"/>
      <c r="O644" s="144"/>
      <c r="P644" s="144"/>
      <c r="Q644" s="144"/>
      <c r="R644" s="144"/>
      <c r="S644" s="144"/>
      <c r="T644" s="144"/>
      <c r="U644" s="232"/>
      <c r="V644" s="232"/>
      <c r="W644" s="144"/>
      <c r="X644" s="144"/>
      <c r="Y644" s="144"/>
      <c r="Z644" s="144"/>
      <c r="AA644" s="144"/>
      <c r="AB644" s="144"/>
      <c r="AC644" s="144"/>
      <c r="AD644" s="144"/>
      <c r="AE644" s="232"/>
      <c r="AF644" s="144"/>
      <c r="AG644" s="144"/>
      <c r="AH644" s="232"/>
      <c r="AI644" s="232"/>
      <c r="AJ644" s="144"/>
      <c r="AK644" s="144"/>
      <c r="AL644" s="144"/>
      <c r="AM644" s="144"/>
      <c r="AN644" s="144"/>
      <c r="AO644" s="144"/>
      <c r="AP644" s="144"/>
      <c r="AQ644" s="144"/>
      <c r="AR644" s="144"/>
      <c r="AS644" s="144"/>
      <c r="AT644" s="144"/>
      <c r="AU644" s="144"/>
      <c r="AV644" s="144"/>
    </row>
    <row r="645" spans="3:48" x14ac:dyDescent="0.25">
      <c r="C645" s="144"/>
      <c r="D645" s="144"/>
      <c r="E645" s="144"/>
      <c r="F645" s="144"/>
      <c r="G645" s="144"/>
      <c r="H645" s="232"/>
      <c r="I645" s="144"/>
      <c r="J645" s="144"/>
      <c r="K645" s="144"/>
      <c r="L645" s="144"/>
      <c r="M645" s="144"/>
      <c r="N645" s="144"/>
      <c r="O645" s="144"/>
      <c r="P645" s="144"/>
      <c r="Q645" s="144"/>
      <c r="R645" s="144"/>
      <c r="S645" s="144"/>
      <c r="T645" s="144"/>
      <c r="U645" s="232"/>
      <c r="V645" s="232"/>
      <c r="W645" s="144"/>
      <c r="X645" s="144"/>
      <c r="Y645" s="144"/>
      <c r="Z645" s="144"/>
      <c r="AA645" s="144"/>
      <c r="AB645" s="144"/>
      <c r="AC645" s="144"/>
      <c r="AD645" s="144"/>
      <c r="AE645" s="232"/>
      <c r="AF645" s="144"/>
      <c r="AG645" s="144"/>
      <c r="AH645" s="232"/>
      <c r="AI645" s="232"/>
      <c r="AJ645" s="144"/>
      <c r="AK645" s="144"/>
      <c r="AL645" s="144"/>
      <c r="AM645" s="144"/>
      <c r="AN645" s="144"/>
      <c r="AO645" s="144"/>
      <c r="AP645" s="144"/>
      <c r="AQ645" s="144"/>
      <c r="AR645" s="144"/>
      <c r="AS645" s="144"/>
      <c r="AT645" s="144"/>
      <c r="AU645" s="144"/>
      <c r="AV645" s="144"/>
    </row>
    <row r="646" spans="3:48" x14ac:dyDescent="0.25">
      <c r="C646" s="144"/>
      <c r="D646" s="144"/>
      <c r="E646" s="144"/>
      <c r="F646" s="144"/>
      <c r="G646" s="144"/>
      <c r="H646" s="232"/>
      <c r="I646" s="144"/>
      <c r="J646" s="144"/>
      <c r="K646" s="144"/>
      <c r="L646" s="144"/>
      <c r="M646" s="144"/>
      <c r="N646" s="144"/>
      <c r="O646" s="144"/>
      <c r="P646" s="144"/>
      <c r="Q646" s="144"/>
      <c r="R646" s="144"/>
      <c r="S646" s="144"/>
      <c r="T646" s="144"/>
      <c r="U646" s="232"/>
      <c r="V646" s="232"/>
      <c r="W646" s="144"/>
      <c r="X646" s="144"/>
      <c r="Y646" s="144"/>
      <c r="Z646" s="144"/>
      <c r="AA646" s="144"/>
      <c r="AB646" s="144"/>
      <c r="AC646" s="144"/>
      <c r="AD646" s="144"/>
      <c r="AE646" s="232"/>
      <c r="AF646" s="144"/>
      <c r="AG646" s="144"/>
      <c r="AH646" s="232"/>
      <c r="AI646" s="232"/>
      <c r="AJ646" s="144"/>
      <c r="AK646" s="144"/>
      <c r="AL646" s="144"/>
      <c r="AM646" s="144"/>
      <c r="AN646" s="144"/>
      <c r="AO646" s="144"/>
      <c r="AP646" s="144"/>
      <c r="AQ646" s="144"/>
      <c r="AR646" s="144"/>
      <c r="AS646" s="144"/>
      <c r="AT646" s="144"/>
      <c r="AU646" s="144"/>
      <c r="AV646" s="144"/>
    </row>
    <row r="647" spans="3:48" x14ac:dyDescent="0.25">
      <c r="C647" s="144"/>
      <c r="D647" s="144"/>
      <c r="E647" s="144"/>
      <c r="F647" s="144"/>
      <c r="G647" s="144"/>
      <c r="H647" s="232"/>
      <c r="I647" s="144"/>
      <c r="J647" s="144"/>
      <c r="K647" s="144"/>
      <c r="L647" s="144"/>
      <c r="M647" s="144"/>
      <c r="N647" s="144"/>
      <c r="O647" s="144"/>
      <c r="P647" s="144"/>
      <c r="Q647" s="144"/>
      <c r="R647" s="144"/>
      <c r="S647" s="144"/>
      <c r="T647" s="144"/>
      <c r="U647" s="232"/>
      <c r="V647" s="232"/>
      <c r="W647" s="144"/>
      <c r="X647" s="144"/>
      <c r="Y647" s="144"/>
      <c r="Z647" s="144"/>
      <c r="AA647" s="144"/>
      <c r="AB647" s="144"/>
      <c r="AC647" s="144"/>
      <c r="AD647" s="144"/>
      <c r="AE647" s="232"/>
      <c r="AF647" s="144"/>
      <c r="AG647" s="144"/>
      <c r="AH647" s="232"/>
      <c r="AI647" s="232"/>
      <c r="AJ647" s="144"/>
      <c r="AK647" s="144"/>
      <c r="AL647" s="144"/>
      <c r="AM647" s="144"/>
      <c r="AN647" s="144"/>
      <c r="AO647" s="144"/>
      <c r="AP647" s="144"/>
      <c r="AQ647" s="144"/>
      <c r="AR647" s="144"/>
      <c r="AS647" s="144"/>
      <c r="AT647" s="144"/>
      <c r="AU647" s="144"/>
      <c r="AV647" s="144"/>
    </row>
    <row r="648" spans="3:48" x14ac:dyDescent="0.25">
      <c r="C648" s="144"/>
      <c r="D648" s="144"/>
      <c r="E648" s="144"/>
      <c r="F648" s="144"/>
      <c r="G648" s="144"/>
      <c r="H648" s="232"/>
      <c r="I648" s="144"/>
      <c r="J648" s="144"/>
      <c r="K648" s="144"/>
      <c r="L648" s="144"/>
      <c r="M648" s="144"/>
      <c r="N648" s="144"/>
      <c r="O648" s="144"/>
      <c r="P648" s="144"/>
      <c r="Q648" s="144"/>
      <c r="R648" s="144"/>
      <c r="S648" s="144"/>
      <c r="T648" s="144"/>
      <c r="U648" s="232"/>
      <c r="V648" s="232"/>
      <c r="W648" s="144"/>
      <c r="X648" s="144"/>
      <c r="Y648" s="144"/>
      <c r="Z648" s="144"/>
      <c r="AA648" s="144"/>
      <c r="AB648" s="144"/>
      <c r="AC648" s="144"/>
      <c r="AD648" s="144"/>
      <c r="AE648" s="232"/>
      <c r="AF648" s="144"/>
      <c r="AG648" s="144"/>
      <c r="AH648" s="232"/>
      <c r="AI648" s="232"/>
      <c r="AJ648" s="144"/>
      <c r="AK648" s="144"/>
      <c r="AL648" s="144"/>
      <c r="AM648" s="144"/>
      <c r="AN648" s="144"/>
      <c r="AO648" s="144"/>
      <c r="AP648" s="144"/>
      <c r="AQ648" s="144"/>
      <c r="AR648" s="144"/>
      <c r="AS648" s="144"/>
      <c r="AT648" s="144"/>
      <c r="AU648" s="144"/>
      <c r="AV648" s="144"/>
    </row>
    <row r="649" spans="3:48" x14ac:dyDescent="0.25">
      <c r="C649" s="144"/>
      <c r="D649" s="144"/>
      <c r="E649" s="144"/>
      <c r="F649" s="144"/>
      <c r="G649" s="144"/>
      <c r="H649" s="232"/>
      <c r="I649" s="144"/>
      <c r="J649" s="144"/>
      <c r="K649" s="144"/>
      <c r="L649" s="144"/>
      <c r="M649" s="144"/>
      <c r="N649" s="144"/>
      <c r="O649" s="144"/>
      <c r="P649" s="144"/>
      <c r="Q649" s="144"/>
      <c r="R649" s="144"/>
      <c r="S649" s="144"/>
      <c r="T649" s="144"/>
      <c r="U649" s="232"/>
      <c r="V649" s="232"/>
      <c r="W649" s="144"/>
      <c r="X649" s="144"/>
      <c r="Y649" s="144"/>
      <c r="Z649" s="144"/>
      <c r="AA649" s="144"/>
      <c r="AB649" s="144"/>
      <c r="AC649" s="144"/>
      <c r="AD649" s="144"/>
      <c r="AE649" s="232"/>
      <c r="AF649" s="144"/>
      <c r="AG649" s="144"/>
      <c r="AH649" s="232"/>
      <c r="AI649" s="232"/>
      <c r="AJ649" s="144"/>
      <c r="AK649" s="144"/>
      <c r="AL649" s="144"/>
      <c r="AM649" s="144"/>
      <c r="AN649" s="144"/>
      <c r="AO649" s="144"/>
      <c r="AP649" s="144"/>
      <c r="AQ649" s="144"/>
      <c r="AR649" s="144"/>
      <c r="AS649" s="144"/>
      <c r="AT649" s="144"/>
      <c r="AU649" s="144"/>
      <c r="AV649" s="144"/>
    </row>
    <row r="650" spans="3:48" x14ac:dyDescent="0.25">
      <c r="C650" s="144"/>
      <c r="D650" s="144"/>
      <c r="E650" s="144"/>
      <c r="F650" s="144"/>
      <c r="G650" s="144"/>
      <c r="H650" s="232"/>
      <c r="I650" s="144"/>
      <c r="J650" s="144"/>
      <c r="K650" s="144"/>
      <c r="L650" s="144"/>
      <c r="M650" s="144"/>
      <c r="N650" s="144"/>
      <c r="O650" s="144"/>
      <c r="P650" s="144"/>
      <c r="Q650" s="144"/>
      <c r="R650" s="144"/>
      <c r="S650" s="144"/>
      <c r="T650" s="144"/>
      <c r="U650" s="232"/>
      <c r="V650" s="232"/>
      <c r="W650" s="144"/>
      <c r="X650" s="144"/>
      <c r="Y650" s="144"/>
      <c r="Z650" s="144"/>
      <c r="AA650" s="144"/>
      <c r="AB650" s="144"/>
      <c r="AC650" s="144"/>
      <c r="AD650" s="144"/>
      <c r="AE650" s="232"/>
      <c r="AF650" s="144"/>
      <c r="AG650" s="144"/>
      <c r="AH650" s="232"/>
      <c r="AI650" s="232"/>
      <c r="AJ650" s="144"/>
      <c r="AK650" s="144"/>
      <c r="AL650" s="144"/>
      <c r="AM650" s="144"/>
      <c r="AN650" s="144"/>
      <c r="AO650" s="144"/>
      <c r="AP650" s="144"/>
      <c r="AQ650" s="144"/>
      <c r="AR650" s="144"/>
      <c r="AS650" s="144"/>
      <c r="AT650" s="144"/>
      <c r="AU650" s="144"/>
      <c r="AV650" s="144"/>
    </row>
    <row r="651" spans="3:48" x14ac:dyDescent="0.25">
      <c r="C651" s="144"/>
      <c r="D651" s="144"/>
      <c r="E651" s="144"/>
      <c r="F651" s="144"/>
      <c r="G651" s="144"/>
      <c r="H651" s="232"/>
      <c r="I651" s="144"/>
      <c r="J651" s="144"/>
      <c r="K651" s="144"/>
      <c r="L651" s="144"/>
      <c r="M651" s="144"/>
      <c r="N651" s="144"/>
      <c r="O651" s="144"/>
      <c r="P651" s="144"/>
      <c r="Q651" s="144"/>
      <c r="R651" s="144"/>
      <c r="S651" s="144"/>
      <c r="T651" s="144"/>
      <c r="U651" s="232"/>
      <c r="V651" s="232"/>
      <c r="W651" s="144"/>
      <c r="X651" s="144"/>
      <c r="Y651" s="144"/>
      <c r="Z651" s="144"/>
      <c r="AA651" s="144"/>
      <c r="AB651" s="144"/>
      <c r="AC651" s="144"/>
      <c r="AD651" s="144"/>
      <c r="AE651" s="232"/>
      <c r="AF651" s="144"/>
      <c r="AG651" s="144"/>
      <c r="AH651" s="232"/>
      <c r="AI651" s="232"/>
      <c r="AJ651" s="144"/>
      <c r="AK651" s="144"/>
      <c r="AL651" s="144"/>
      <c r="AM651" s="144"/>
      <c r="AN651" s="144"/>
      <c r="AO651" s="144"/>
      <c r="AP651" s="144"/>
      <c r="AQ651" s="144"/>
      <c r="AR651" s="144"/>
      <c r="AS651" s="144"/>
      <c r="AT651" s="144"/>
      <c r="AU651" s="144"/>
      <c r="AV651" s="144"/>
    </row>
    <row r="652" spans="3:48" x14ac:dyDescent="0.25">
      <c r="C652" s="144"/>
      <c r="D652" s="144"/>
      <c r="E652" s="144"/>
      <c r="F652" s="144"/>
      <c r="G652" s="144"/>
      <c r="H652" s="232"/>
      <c r="I652" s="144"/>
      <c r="J652" s="144"/>
      <c r="K652" s="144"/>
      <c r="L652" s="144"/>
      <c r="M652" s="144"/>
      <c r="N652" s="144"/>
      <c r="O652" s="144"/>
      <c r="P652" s="144"/>
      <c r="Q652" s="144"/>
      <c r="R652" s="144"/>
      <c r="S652" s="144"/>
      <c r="T652" s="144"/>
      <c r="U652" s="232"/>
      <c r="V652" s="232"/>
      <c r="W652" s="144"/>
      <c r="X652" s="144"/>
      <c r="Y652" s="144"/>
      <c r="Z652" s="144"/>
      <c r="AA652" s="144"/>
      <c r="AB652" s="144"/>
      <c r="AC652" s="144"/>
      <c r="AD652" s="144"/>
      <c r="AE652" s="232"/>
      <c r="AF652" s="144"/>
      <c r="AG652" s="144"/>
      <c r="AH652" s="232"/>
      <c r="AI652" s="232"/>
      <c r="AJ652" s="144"/>
      <c r="AK652" s="144"/>
      <c r="AL652" s="144"/>
      <c r="AM652" s="144"/>
      <c r="AN652" s="144"/>
      <c r="AO652" s="144"/>
      <c r="AP652" s="144"/>
      <c r="AQ652" s="144"/>
      <c r="AR652" s="144"/>
      <c r="AS652" s="144"/>
      <c r="AT652" s="144"/>
      <c r="AU652" s="144"/>
      <c r="AV652" s="144"/>
    </row>
    <row r="653" spans="3:48" x14ac:dyDescent="0.25">
      <c r="C653" s="144"/>
      <c r="D653" s="144"/>
      <c r="E653" s="144"/>
      <c r="F653" s="144"/>
      <c r="G653" s="144"/>
      <c r="H653" s="232"/>
      <c r="I653" s="144"/>
      <c r="J653" s="144"/>
      <c r="K653" s="144"/>
      <c r="L653" s="144"/>
      <c r="M653" s="144"/>
      <c r="N653" s="144"/>
      <c r="O653" s="144"/>
      <c r="P653" s="144"/>
      <c r="Q653" s="144"/>
      <c r="R653" s="144"/>
      <c r="S653" s="144"/>
      <c r="T653" s="144"/>
      <c r="U653" s="232"/>
      <c r="V653" s="232"/>
      <c r="W653" s="144"/>
      <c r="X653" s="144"/>
      <c r="Y653" s="144"/>
      <c r="Z653" s="144"/>
      <c r="AA653" s="144"/>
      <c r="AB653" s="144"/>
      <c r="AC653" s="144"/>
      <c r="AD653" s="144"/>
      <c r="AE653" s="232"/>
      <c r="AF653" s="144"/>
      <c r="AG653" s="144"/>
      <c r="AH653" s="232"/>
      <c r="AI653" s="232"/>
      <c r="AJ653" s="144"/>
      <c r="AK653" s="144"/>
      <c r="AL653" s="144"/>
      <c r="AM653" s="144"/>
      <c r="AN653" s="144"/>
      <c r="AO653" s="144"/>
      <c r="AP653" s="144"/>
      <c r="AQ653" s="144"/>
      <c r="AR653" s="144"/>
      <c r="AS653" s="144"/>
      <c r="AT653" s="144"/>
      <c r="AU653" s="144"/>
      <c r="AV653" s="144"/>
    </row>
    <row r="654" spans="3:48" x14ac:dyDescent="0.25">
      <c r="C654" s="144"/>
      <c r="D654" s="144"/>
      <c r="E654" s="144"/>
      <c r="F654" s="144"/>
      <c r="G654" s="144"/>
      <c r="H654" s="232"/>
      <c r="I654" s="144"/>
      <c r="J654" s="144"/>
      <c r="K654" s="144"/>
      <c r="L654" s="144"/>
      <c r="M654" s="144"/>
      <c r="N654" s="144"/>
      <c r="O654" s="144"/>
      <c r="P654" s="144"/>
      <c r="Q654" s="144"/>
      <c r="R654" s="144"/>
      <c r="S654" s="144"/>
      <c r="T654" s="144"/>
      <c r="U654" s="232"/>
      <c r="V654" s="232"/>
      <c r="W654" s="144"/>
      <c r="X654" s="144"/>
      <c r="Y654" s="144"/>
      <c r="Z654" s="144"/>
      <c r="AA654" s="144"/>
      <c r="AB654" s="144"/>
      <c r="AC654" s="144"/>
      <c r="AD654" s="144"/>
      <c r="AE654" s="232"/>
      <c r="AF654" s="144"/>
      <c r="AG654" s="144"/>
      <c r="AH654" s="232"/>
      <c r="AI654" s="232"/>
      <c r="AJ654" s="144"/>
      <c r="AK654" s="144"/>
      <c r="AL654" s="144"/>
      <c r="AM654" s="144"/>
      <c r="AN654" s="144"/>
      <c r="AO654" s="144"/>
      <c r="AP654" s="144"/>
      <c r="AQ654" s="144"/>
      <c r="AR654" s="144"/>
      <c r="AS654" s="144"/>
      <c r="AT654" s="144"/>
      <c r="AU654" s="144"/>
      <c r="AV654" s="144"/>
    </row>
    <row r="655" spans="3:48" x14ac:dyDescent="0.25">
      <c r="C655" s="144"/>
      <c r="D655" s="144"/>
      <c r="E655" s="144"/>
      <c r="F655" s="144"/>
      <c r="G655" s="144"/>
      <c r="H655" s="232"/>
      <c r="I655" s="144"/>
      <c r="J655" s="144"/>
      <c r="K655" s="144"/>
      <c r="L655" s="144"/>
      <c r="M655" s="144"/>
      <c r="N655" s="144"/>
      <c r="O655" s="144"/>
      <c r="P655" s="144"/>
      <c r="Q655" s="144"/>
      <c r="R655" s="144"/>
      <c r="S655" s="144"/>
      <c r="T655" s="144"/>
      <c r="U655" s="232"/>
      <c r="V655" s="232"/>
      <c r="W655" s="144"/>
      <c r="X655" s="144"/>
      <c r="Y655" s="144"/>
      <c r="Z655" s="144"/>
      <c r="AA655" s="144"/>
      <c r="AB655" s="144"/>
      <c r="AC655" s="144"/>
      <c r="AD655" s="144"/>
      <c r="AE655" s="232"/>
      <c r="AF655" s="144"/>
      <c r="AG655" s="144"/>
      <c r="AH655" s="232"/>
      <c r="AI655" s="232"/>
      <c r="AJ655" s="144"/>
      <c r="AK655" s="144"/>
      <c r="AL655" s="144"/>
      <c r="AM655" s="144"/>
      <c r="AN655" s="144"/>
      <c r="AO655" s="144"/>
      <c r="AP655" s="144"/>
      <c r="AQ655" s="144"/>
      <c r="AR655" s="144"/>
      <c r="AS655" s="144"/>
      <c r="AT655" s="144"/>
      <c r="AU655" s="144"/>
      <c r="AV655" s="144"/>
    </row>
    <row r="656" spans="3:48" x14ac:dyDescent="0.25">
      <c r="C656" s="144"/>
      <c r="D656" s="144"/>
      <c r="E656" s="144"/>
      <c r="F656" s="144"/>
      <c r="G656" s="144"/>
      <c r="H656" s="232"/>
      <c r="I656" s="144"/>
      <c r="J656" s="144"/>
      <c r="K656" s="144"/>
      <c r="L656" s="144"/>
      <c r="M656" s="144"/>
      <c r="N656" s="144"/>
      <c r="O656" s="144"/>
      <c r="P656" s="144"/>
      <c r="Q656" s="144"/>
      <c r="R656" s="144"/>
      <c r="S656" s="144"/>
      <c r="T656" s="144"/>
      <c r="U656" s="232"/>
      <c r="V656" s="232"/>
      <c r="W656" s="144"/>
      <c r="X656" s="144"/>
      <c r="Y656" s="144"/>
      <c r="Z656" s="144"/>
      <c r="AA656" s="144"/>
      <c r="AB656" s="144"/>
      <c r="AC656" s="144"/>
      <c r="AD656" s="144"/>
      <c r="AE656" s="232"/>
      <c r="AF656" s="144"/>
      <c r="AG656" s="144"/>
      <c r="AH656" s="232"/>
      <c r="AI656" s="232"/>
      <c r="AJ656" s="144"/>
      <c r="AK656" s="144"/>
      <c r="AL656" s="144"/>
      <c r="AM656" s="144"/>
      <c r="AN656" s="144"/>
      <c r="AO656" s="144"/>
      <c r="AP656" s="144"/>
      <c r="AQ656" s="144"/>
      <c r="AR656" s="144"/>
      <c r="AS656" s="144"/>
      <c r="AT656" s="144"/>
      <c r="AU656" s="144"/>
      <c r="AV656" s="144"/>
    </row>
    <row r="657" spans="3:48" x14ac:dyDescent="0.25">
      <c r="C657" s="144"/>
      <c r="D657" s="144"/>
      <c r="E657" s="144"/>
      <c r="F657" s="144"/>
      <c r="G657" s="144"/>
      <c r="H657" s="232"/>
      <c r="I657" s="144"/>
      <c r="J657" s="144"/>
      <c r="K657" s="144"/>
      <c r="L657" s="144"/>
      <c r="M657" s="144"/>
      <c r="N657" s="144"/>
      <c r="O657" s="144"/>
      <c r="P657" s="144"/>
      <c r="Q657" s="144"/>
      <c r="R657" s="144"/>
      <c r="S657" s="144"/>
      <c r="T657" s="144"/>
      <c r="U657" s="232"/>
      <c r="V657" s="232"/>
      <c r="W657" s="144"/>
      <c r="X657" s="144"/>
      <c r="Y657" s="144"/>
      <c r="Z657" s="144"/>
      <c r="AA657" s="144"/>
      <c r="AB657" s="144"/>
      <c r="AC657" s="144"/>
      <c r="AD657" s="144"/>
      <c r="AE657" s="232"/>
      <c r="AF657" s="144"/>
      <c r="AG657" s="144"/>
      <c r="AH657" s="232"/>
      <c r="AI657" s="232"/>
      <c r="AJ657" s="144"/>
      <c r="AK657" s="144"/>
      <c r="AL657" s="144"/>
      <c r="AM657" s="144"/>
      <c r="AN657" s="144"/>
      <c r="AO657" s="144"/>
      <c r="AP657" s="144"/>
      <c r="AQ657" s="144"/>
      <c r="AR657" s="144"/>
      <c r="AS657" s="144"/>
      <c r="AT657" s="144"/>
      <c r="AU657" s="144"/>
      <c r="AV657" s="144"/>
    </row>
    <row r="658" spans="3:48" x14ac:dyDescent="0.25">
      <c r="C658" s="144"/>
      <c r="D658" s="144"/>
      <c r="E658" s="144"/>
      <c r="F658" s="144"/>
      <c r="G658" s="144"/>
      <c r="H658" s="232"/>
      <c r="I658" s="144"/>
      <c r="J658" s="144"/>
      <c r="K658" s="144"/>
      <c r="L658" s="144"/>
      <c r="M658" s="144"/>
      <c r="N658" s="144"/>
      <c r="O658" s="144"/>
      <c r="P658" s="144"/>
      <c r="Q658" s="144"/>
      <c r="R658" s="144"/>
      <c r="S658" s="144"/>
      <c r="T658" s="144"/>
      <c r="U658" s="232"/>
      <c r="V658" s="232"/>
      <c r="W658" s="144"/>
      <c r="X658" s="144"/>
      <c r="Y658" s="144"/>
      <c r="Z658" s="144"/>
      <c r="AA658" s="144"/>
      <c r="AB658" s="144"/>
      <c r="AC658" s="144"/>
      <c r="AD658" s="144"/>
      <c r="AE658" s="232"/>
      <c r="AF658" s="144"/>
      <c r="AG658" s="144"/>
      <c r="AH658" s="232"/>
      <c r="AI658" s="232"/>
      <c r="AJ658" s="144"/>
      <c r="AK658" s="144"/>
      <c r="AL658" s="144"/>
      <c r="AM658" s="144"/>
      <c r="AN658" s="144"/>
      <c r="AO658" s="144"/>
      <c r="AP658" s="144"/>
      <c r="AQ658" s="144"/>
      <c r="AR658" s="144"/>
      <c r="AS658" s="144"/>
      <c r="AT658" s="144"/>
      <c r="AU658" s="144"/>
      <c r="AV658" s="144"/>
    </row>
    <row r="659" spans="3:48" x14ac:dyDescent="0.25">
      <c r="C659" s="144"/>
      <c r="D659" s="144"/>
      <c r="E659" s="144"/>
      <c r="F659" s="144"/>
      <c r="G659" s="144"/>
      <c r="H659" s="232"/>
      <c r="I659" s="144"/>
      <c r="J659" s="144"/>
      <c r="K659" s="144"/>
      <c r="L659" s="144"/>
      <c r="M659" s="144"/>
      <c r="N659" s="144"/>
      <c r="O659" s="144"/>
      <c r="P659" s="144"/>
      <c r="Q659" s="144"/>
      <c r="R659" s="144"/>
      <c r="S659" s="144"/>
      <c r="T659" s="144"/>
      <c r="U659" s="232"/>
      <c r="V659" s="232"/>
      <c r="W659" s="144"/>
      <c r="X659" s="144"/>
      <c r="Y659" s="144"/>
      <c r="Z659" s="144"/>
      <c r="AA659" s="144"/>
      <c r="AB659" s="144"/>
      <c r="AC659" s="144"/>
      <c r="AD659" s="144"/>
      <c r="AE659" s="232"/>
      <c r="AF659" s="144"/>
      <c r="AG659" s="144"/>
      <c r="AH659" s="232"/>
      <c r="AI659" s="232"/>
      <c r="AJ659" s="144"/>
      <c r="AK659" s="144"/>
      <c r="AL659" s="144"/>
      <c r="AM659" s="144"/>
      <c r="AN659" s="144"/>
      <c r="AO659" s="144"/>
      <c r="AP659" s="144"/>
      <c r="AQ659" s="144"/>
      <c r="AR659" s="144"/>
      <c r="AS659" s="144"/>
      <c r="AT659" s="144"/>
      <c r="AU659" s="144"/>
      <c r="AV659" s="144"/>
    </row>
    <row r="660" spans="3:48" x14ac:dyDescent="0.25">
      <c r="C660" s="144"/>
      <c r="D660" s="144"/>
      <c r="E660" s="144"/>
      <c r="F660" s="144"/>
      <c r="G660" s="144"/>
      <c r="H660" s="232"/>
      <c r="I660" s="144"/>
      <c r="J660" s="144"/>
      <c r="K660" s="144"/>
      <c r="L660" s="144"/>
      <c r="M660" s="144"/>
      <c r="N660" s="144"/>
      <c r="O660" s="144"/>
      <c r="P660" s="144"/>
      <c r="Q660" s="144"/>
      <c r="R660" s="144"/>
      <c r="S660" s="144"/>
      <c r="T660" s="144"/>
      <c r="U660" s="232"/>
      <c r="V660" s="232"/>
      <c r="W660" s="144"/>
      <c r="X660" s="144"/>
      <c r="Y660" s="144"/>
      <c r="Z660" s="144"/>
      <c r="AA660" s="144"/>
      <c r="AB660" s="144"/>
      <c r="AC660" s="144"/>
      <c r="AD660" s="144"/>
      <c r="AE660" s="232"/>
      <c r="AF660" s="144"/>
      <c r="AG660" s="144"/>
      <c r="AH660" s="232"/>
      <c r="AI660" s="232"/>
      <c r="AJ660" s="144"/>
      <c r="AK660" s="144"/>
      <c r="AL660" s="144"/>
      <c r="AM660" s="144"/>
      <c r="AN660" s="144"/>
      <c r="AO660" s="144"/>
      <c r="AP660" s="144"/>
      <c r="AQ660" s="144"/>
      <c r="AR660" s="144"/>
      <c r="AS660" s="144"/>
      <c r="AT660" s="144"/>
      <c r="AU660" s="144"/>
      <c r="AV660" s="144"/>
    </row>
    <row r="661" spans="3:48" x14ac:dyDescent="0.25">
      <c r="C661" s="144"/>
      <c r="D661" s="144"/>
      <c r="E661" s="144"/>
      <c r="F661" s="144"/>
      <c r="G661" s="144"/>
      <c r="H661" s="232"/>
      <c r="I661" s="144"/>
      <c r="J661" s="144"/>
      <c r="K661" s="144"/>
      <c r="L661" s="144"/>
      <c r="M661" s="144"/>
      <c r="N661" s="144"/>
      <c r="O661" s="144"/>
      <c r="P661" s="144"/>
      <c r="Q661" s="144"/>
      <c r="R661" s="144"/>
      <c r="S661" s="144"/>
      <c r="T661" s="144"/>
      <c r="U661" s="232"/>
      <c r="V661" s="232"/>
      <c r="W661" s="144"/>
      <c r="X661" s="144"/>
      <c r="Y661" s="144"/>
      <c r="Z661" s="144"/>
      <c r="AA661" s="144"/>
      <c r="AB661" s="144"/>
      <c r="AC661" s="144"/>
      <c r="AD661" s="144"/>
      <c r="AE661" s="232"/>
      <c r="AF661" s="144"/>
      <c r="AG661" s="144"/>
      <c r="AH661" s="232"/>
      <c r="AI661" s="232"/>
      <c r="AJ661" s="144"/>
      <c r="AK661" s="144"/>
      <c r="AL661" s="144"/>
      <c r="AM661" s="144"/>
      <c r="AN661" s="144"/>
      <c r="AO661" s="144"/>
      <c r="AP661" s="144"/>
      <c r="AQ661" s="144"/>
      <c r="AR661" s="144"/>
      <c r="AS661" s="144"/>
      <c r="AT661" s="144"/>
      <c r="AU661" s="144"/>
      <c r="AV661" s="144"/>
    </row>
    <row r="662" spans="3:48" x14ac:dyDescent="0.25">
      <c r="C662" s="144"/>
      <c r="D662" s="144"/>
      <c r="E662" s="144"/>
      <c r="F662" s="144"/>
      <c r="G662" s="144"/>
      <c r="H662" s="232"/>
      <c r="I662" s="144"/>
      <c r="J662" s="144"/>
      <c r="K662" s="144"/>
      <c r="L662" s="144"/>
      <c r="M662" s="144"/>
      <c r="N662" s="144"/>
      <c r="O662" s="144"/>
      <c r="P662" s="144"/>
      <c r="Q662" s="144"/>
      <c r="R662" s="144"/>
      <c r="S662" s="144"/>
      <c r="T662" s="144"/>
      <c r="U662" s="232"/>
      <c r="V662" s="232"/>
      <c r="W662" s="144"/>
      <c r="X662" s="144"/>
      <c r="Y662" s="144"/>
      <c r="Z662" s="144"/>
      <c r="AA662" s="144"/>
      <c r="AB662" s="144"/>
      <c r="AC662" s="144"/>
      <c r="AD662" s="144"/>
      <c r="AE662" s="232"/>
      <c r="AF662" s="144"/>
      <c r="AG662" s="144"/>
      <c r="AH662" s="232"/>
      <c r="AI662" s="232"/>
      <c r="AJ662" s="144"/>
      <c r="AK662" s="144"/>
      <c r="AL662" s="144"/>
      <c r="AM662" s="144"/>
      <c r="AN662" s="144"/>
      <c r="AO662" s="144"/>
      <c r="AP662" s="144"/>
      <c r="AQ662" s="144"/>
      <c r="AR662" s="144"/>
      <c r="AS662" s="144"/>
      <c r="AT662" s="144"/>
      <c r="AU662" s="144"/>
      <c r="AV662" s="144"/>
    </row>
    <row r="663" spans="3:48" x14ac:dyDescent="0.25">
      <c r="C663" s="144"/>
      <c r="D663" s="144"/>
      <c r="E663" s="144"/>
      <c r="F663" s="144"/>
      <c r="G663" s="144"/>
      <c r="H663" s="232"/>
      <c r="I663" s="144"/>
      <c r="J663" s="144"/>
      <c r="K663" s="144"/>
      <c r="L663" s="144"/>
      <c r="M663" s="144"/>
      <c r="N663" s="144"/>
      <c r="O663" s="144"/>
      <c r="P663" s="144"/>
      <c r="Q663" s="144"/>
      <c r="R663" s="144"/>
      <c r="S663" s="144"/>
      <c r="T663" s="144"/>
      <c r="U663" s="232"/>
      <c r="V663" s="232"/>
      <c r="W663" s="144"/>
      <c r="X663" s="144"/>
      <c r="Y663" s="144"/>
      <c r="Z663" s="144"/>
      <c r="AA663" s="144"/>
      <c r="AB663" s="144"/>
      <c r="AC663" s="144"/>
      <c r="AD663" s="144"/>
      <c r="AE663" s="232"/>
      <c r="AF663" s="144"/>
      <c r="AG663" s="144"/>
      <c r="AH663" s="232"/>
      <c r="AI663" s="232"/>
      <c r="AJ663" s="144"/>
      <c r="AK663" s="144"/>
      <c r="AL663" s="144"/>
      <c r="AM663" s="144"/>
      <c r="AN663" s="144"/>
      <c r="AO663" s="144"/>
      <c r="AP663" s="144"/>
      <c r="AQ663" s="144"/>
      <c r="AR663" s="144"/>
      <c r="AS663" s="144"/>
      <c r="AT663" s="144"/>
      <c r="AU663" s="144"/>
      <c r="AV663" s="144"/>
    </row>
    <row r="664" spans="3:48" x14ac:dyDescent="0.25">
      <c r="C664" s="144"/>
      <c r="D664" s="144"/>
      <c r="E664" s="144"/>
      <c r="F664" s="144"/>
      <c r="G664" s="144"/>
      <c r="H664" s="232"/>
      <c r="I664" s="144"/>
      <c r="J664" s="144"/>
      <c r="K664" s="144"/>
      <c r="L664" s="144"/>
      <c r="M664" s="144"/>
      <c r="N664" s="144"/>
      <c r="O664" s="144"/>
      <c r="P664" s="144"/>
      <c r="Q664" s="144"/>
      <c r="R664" s="144"/>
      <c r="S664" s="144"/>
      <c r="T664" s="144"/>
      <c r="U664" s="232"/>
      <c r="V664" s="232"/>
      <c r="W664" s="144"/>
      <c r="X664" s="144"/>
      <c r="Y664" s="144"/>
      <c r="Z664" s="144"/>
      <c r="AA664" s="144"/>
      <c r="AB664" s="144"/>
      <c r="AC664" s="144"/>
      <c r="AD664" s="144"/>
      <c r="AE664" s="232"/>
      <c r="AF664" s="144"/>
      <c r="AG664" s="144"/>
      <c r="AH664" s="232"/>
      <c r="AI664" s="232"/>
      <c r="AJ664" s="144"/>
      <c r="AK664" s="144"/>
      <c r="AL664" s="144"/>
      <c r="AM664" s="144"/>
      <c r="AN664" s="144"/>
      <c r="AO664" s="144"/>
      <c r="AP664" s="144"/>
      <c r="AQ664" s="144"/>
      <c r="AR664" s="144"/>
      <c r="AS664" s="144"/>
      <c r="AT664" s="144"/>
      <c r="AU664" s="144"/>
      <c r="AV664" s="144"/>
    </row>
    <row r="665" spans="3:48" x14ac:dyDescent="0.25">
      <c r="C665" s="144"/>
      <c r="D665" s="144"/>
      <c r="E665" s="144"/>
      <c r="F665" s="144"/>
      <c r="G665" s="144"/>
      <c r="H665" s="232"/>
      <c r="I665" s="144"/>
      <c r="J665" s="144"/>
      <c r="K665" s="144"/>
      <c r="L665" s="144"/>
      <c r="M665" s="144"/>
      <c r="N665" s="144"/>
      <c r="O665" s="144"/>
      <c r="P665" s="144"/>
      <c r="Q665" s="144"/>
      <c r="R665" s="144"/>
      <c r="S665" s="144"/>
      <c r="T665" s="144"/>
      <c r="U665" s="232"/>
      <c r="V665" s="232"/>
      <c r="W665" s="144"/>
      <c r="X665" s="144"/>
      <c r="Y665" s="144"/>
      <c r="Z665" s="144"/>
      <c r="AA665" s="144"/>
      <c r="AB665" s="144"/>
      <c r="AC665" s="144"/>
      <c r="AD665" s="144"/>
      <c r="AE665" s="232"/>
      <c r="AF665" s="144"/>
      <c r="AG665" s="144"/>
      <c r="AH665" s="232"/>
      <c r="AI665" s="232"/>
      <c r="AJ665" s="144"/>
      <c r="AK665" s="144"/>
      <c r="AL665" s="144"/>
      <c r="AM665" s="144"/>
      <c r="AN665" s="144"/>
      <c r="AO665" s="144"/>
      <c r="AP665" s="144"/>
      <c r="AQ665" s="144"/>
      <c r="AR665" s="144"/>
      <c r="AS665" s="144"/>
      <c r="AT665" s="144"/>
      <c r="AU665" s="144"/>
      <c r="AV665" s="144"/>
    </row>
    <row r="666" spans="3:48" x14ac:dyDescent="0.25">
      <c r="C666" s="144"/>
      <c r="D666" s="144"/>
      <c r="E666" s="144"/>
      <c r="F666" s="144"/>
      <c r="G666" s="144"/>
      <c r="H666" s="232"/>
      <c r="I666" s="144"/>
      <c r="J666" s="144"/>
      <c r="K666" s="144"/>
      <c r="L666" s="144"/>
      <c r="M666" s="144"/>
      <c r="N666" s="144"/>
      <c r="O666" s="144"/>
      <c r="P666" s="144"/>
      <c r="Q666" s="144"/>
      <c r="R666" s="144"/>
      <c r="S666" s="144"/>
      <c r="T666" s="144"/>
      <c r="U666" s="232"/>
      <c r="V666" s="232"/>
      <c r="W666" s="144"/>
      <c r="X666" s="144"/>
      <c r="Y666" s="144"/>
      <c r="Z666" s="144"/>
      <c r="AA666" s="144"/>
      <c r="AB666" s="144"/>
      <c r="AC666" s="144"/>
      <c r="AD666" s="144"/>
      <c r="AE666" s="232"/>
      <c r="AF666" s="144"/>
      <c r="AG666" s="144"/>
      <c r="AH666" s="232"/>
      <c r="AI666" s="232"/>
      <c r="AJ666" s="144"/>
      <c r="AK666" s="144"/>
      <c r="AL666" s="144"/>
      <c r="AM666" s="144"/>
      <c r="AN666" s="144"/>
      <c r="AO666" s="144"/>
      <c r="AP666" s="144"/>
      <c r="AQ666" s="144"/>
      <c r="AR666" s="144"/>
      <c r="AS666" s="144"/>
      <c r="AT666" s="144"/>
      <c r="AU666" s="144"/>
      <c r="AV666" s="144"/>
    </row>
    <row r="667" spans="3:48" x14ac:dyDescent="0.25">
      <c r="C667" s="144"/>
      <c r="D667" s="144"/>
      <c r="E667" s="144"/>
      <c r="F667" s="144"/>
      <c r="G667" s="144"/>
      <c r="H667" s="232"/>
      <c r="I667" s="144"/>
      <c r="J667" s="144"/>
      <c r="K667" s="144"/>
      <c r="L667" s="144"/>
      <c r="M667" s="144"/>
      <c r="N667" s="144"/>
      <c r="O667" s="144"/>
      <c r="P667" s="144"/>
      <c r="Q667" s="144"/>
      <c r="R667" s="144"/>
      <c r="S667" s="144"/>
      <c r="T667" s="144"/>
      <c r="U667" s="232"/>
      <c r="V667" s="232"/>
      <c r="W667" s="144"/>
      <c r="X667" s="144"/>
      <c r="Y667" s="144"/>
      <c r="Z667" s="144"/>
      <c r="AA667" s="144"/>
      <c r="AB667" s="144"/>
      <c r="AC667" s="144"/>
      <c r="AD667" s="144"/>
      <c r="AE667" s="232"/>
      <c r="AF667" s="144"/>
      <c r="AG667" s="144"/>
      <c r="AH667" s="232"/>
      <c r="AI667" s="232"/>
      <c r="AJ667" s="144"/>
      <c r="AK667" s="144"/>
      <c r="AL667" s="144"/>
      <c r="AM667" s="144"/>
      <c r="AN667" s="144"/>
      <c r="AO667" s="144"/>
      <c r="AP667" s="144"/>
      <c r="AQ667" s="144"/>
      <c r="AR667" s="144"/>
      <c r="AS667" s="144"/>
      <c r="AT667" s="144"/>
      <c r="AU667" s="144"/>
      <c r="AV667" s="144"/>
    </row>
    <row r="668" spans="3:48" x14ac:dyDescent="0.25">
      <c r="C668" s="144"/>
      <c r="D668" s="144"/>
      <c r="E668" s="144"/>
      <c r="F668" s="144"/>
      <c r="G668" s="144"/>
      <c r="H668" s="232"/>
      <c r="I668" s="144"/>
      <c r="J668" s="144"/>
      <c r="K668" s="144"/>
      <c r="L668" s="144"/>
      <c r="M668" s="144"/>
      <c r="N668" s="144"/>
      <c r="O668" s="144"/>
      <c r="P668" s="144"/>
      <c r="Q668" s="144"/>
      <c r="R668" s="144"/>
      <c r="S668" s="144"/>
      <c r="T668" s="144"/>
      <c r="U668" s="232"/>
      <c r="V668" s="232"/>
      <c r="W668" s="144"/>
      <c r="X668" s="144"/>
      <c r="Y668" s="144"/>
      <c r="Z668" s="144"/>
      <c r="AA668" s="144"/>
      <c r="AB668" s="144"/>
      <c r="AC668" s="144"/>
      <c r="AD668" s="144"/>
      <c r="AE668" s="232"/>
      <c r="AF668" s="144"/>
      <c r="AG668" s="144"/>
      <c r="AH668" s="232"/>
      <c r="AI668" s="232"/>
      <c r="AJ668" s="144"/>
      <c r="AK668" s="144"/>
      <c r="AL668" s="144"/>
      <c r="AM668" s="144"/>
      <c r="AN668" s="144"/>
      <c r="AO668" s="144"/>
      <c r="AP668" s="144"/>
      <c r="AQ668" s="144"/>
      <c r="AR668" s="144"/>
      <c r="AS668" s="144"/>
      <c r="AT668" s="144"/>
      <c r="AU668" s="144"/>
      <c r="AV668" s="144"/>
    </row>
    <row r="669" spans="3:48" x14ac:dyDescent="0.25">
      <c r="C669" s="144"/>
      <c r="D669" s="144"/>
      <c r="E669" s="144"/>
      <c r="F669" s="144"/>
      <c r="G669" s="144"/>
      <c r="H669" s="232"/>
      <c r="I669" s="144"/>
      <c r="J669" s="144"/>
      <c r="K669" s="144"/>
      <c r="L669" s="144"/>
      <c r="M669" s="144"/>
      <c r="N669" s="144"/>
      <c r="O669" s="144"/>
      <c r="P669" s="144"/>
      <c r="Q669" s="144"/>
      <c r="R669" s="144"/>
      <c r="S669" s="144"/>
      <c r="T669" s="144"/>
      <c r="U669" s="232"/>
      <c r="V669" s="232"/>
      <c r="W669" s="144"/>
      <c r="X669" s="144"/>
      <c r="Y669" s="144"/>
      <c r="Z669" s="144"/>
      <c r="AA669" s="144"/>
      <c r="AB669" s="144"/>
      <c r="AC669" s="144"/>
      <c r="AD669" s="144"/>
      <c r="AE669" s="232"/>
      <c r="AF669" s="144"/>
      <c r="AG669" s="144"/>
      <c r="AH669" s="232"/>
      <c r="AI669" s="232"/>
      <c r="AJ669" s="144"/>
      <c r="AK669" s="144"/>
      <c r="AL669" s="144"/>
      <c r="AM669" s="144"/>
      <c r="AN669" s="144"/>
      <c r="AO669" s="144"/>
      <c r="AP669" s="144"/>
      <c r="AQ669" s="144"/>
      <c r="AR669" s="144"/>
      <c r="AS669" s="144"/>
      <c r="AT669" s="144"/>
      <c r="AU669" s="144"/>
      <c r="AV669" s="144"/>
    </row>
    <row r="670" spans="3:48" x14ac:dyDescent="0.25">
      <c r="C670" s="144"/>
      <c r="D670" s="144"/>
      <c r="E670" s="144"/>
      <c r="F670" s="144"/>
      <c r="G670" s="144"/>
      <c r="H670" s="232"/>
      <c r="I670" s="144"/>
      <c r="J670" s="144"/>
      <c r="K670" s="144"/>
      <c r="L670" s="144"/>
      <c r="M670" s="144"/>
      <c r="N670" s="144"/>
      <c r="O670" s="144"/>
      <c r="P670" s="144"/>
      <c r="Q670" s="144"/>
      <c r="R670" s="144"/>
      <c r="S670" s="144"/>
      <c r="T670" s="144"/>
      <c r="U670" s="232"/>
      <c r="V670" s="232"/>
      <c r="W670" s="144"/>
      <c r="X670" s="144"/>
      <c r="Y670" s="144"/>
      <c r="Z670" s="144"/>
      <c r="AA670" s="144"/>
      <c r="AB670" s="144"/>
      <c r="AC670" s="144"/>
      <c r="AD670" s="144"/>
      <c r="AE670" s="232"/>
      <c r="AF670" s="144"/>
      <c r="AG670" s="144"/>
      <c r="AH670" s="232"/>
      <c r="AI670" s="232"/>
      <c r="AJ670" s="144"/>
      <c r="AK670" s="144"/>
      <c r="AL670" s="144"/>
      <c r="AM670" s="144"/>
      <c r="AN670" s="144"/>
      <c r="AO670" s="144"/>
      <c r="AP670" s="144"/>
      <c r="AQ670" s="144"/>
      <c r="AR670" s="144"/>
      <c r="AS670" s="144"/>
      <c r="AT670" s="144"/>
      <c r="AU670" s="144"/>
      <c r="AV670" s="144"/>
    </row>
    <row r="671" spans="3:48" x14ac:dyDescent="0.25">
      <c r="C671" s="144"/>
      <c r="D671" s="144"/>
      <c r="E671" s="144"/>
      <c r="F671" s="144"/>
      <c r="G671" s="144"/>
      <c r="H671" s="232"/>
      <c r="I671" s="144"/>
      <c r="J671" s="144"/>
      <c r="K671" s="144"/>
      <c r="L671" s="144"/>
      <c r="M671" s="144"/>
      <c r="N671" s="144"/>
      <c r="O671" s="144"/>
      <c r="P671" s="144"/>
      <c r="Q671" s="144"/>
      <c r="R671" s="144"/>
      <c r="S671" s="144"/>
      <c r="T671" s="144"/>
      <c r="U671" s="232"/>
      <c r="V671" s="232"/>
      <c r="W671" s="144"/>
      <c r="X671" s="144"/>
      <c r="Y671" s="144"/>
      <c r="Z671" s="144"/>
      <c r="AA671" s="144"/>
      <c r="AB671" s="144"/>
      <c r="AC671" s="144"/>
      <c r="AD671" s="144"/>
      <c r="AE671" s="232"/>
      <c r="AF671" s="144"/>
      <c r="AG671" s="144"/>
      <c r="AH671" s="232"/>
      <c r="AI671" s="232"/>
      <c r="AJ671" s="144"/>
      <c r="AK671" s="144"/>
      <c r="AL671" s="144"/>
      <c r="AM671" s="144"/>
      <c r="AN671" s="144"/>
      <c r="AO671" s="144"/>
      <c r="AP671" s="144"/>
      <c r="AQ671" s="144"/>
      <c r="AR671" s="144"/>
      <c r="AS671" s="144"/>
      <c r="AT671" s="144"/>
      <c r="AU671" s="144"/>
      <c r="AV671" s="144"/>
    </row>
    <row r="672" spans="3:48" x14ac:dyDescent="0.25">
      <c r="C672" s="144"/>
      <c r="D672" s="144"/>
      <c r="E672" s="144"/>
      <c r="F672" s="144"/>
      <c r="G672" s="144"/>
      <c r="H672" s="232"/>
      <c r="I672" s="144"/>
      <c r="J672" s="144"/>
      <c r="K672" s="144"/>
      <c r="L672" s="144"/>
      <c r="M672" s="144"/>
      <c r="N672" s="144"/>
      <c r="O672" s="144"/>
      <c r="P672" s="144"/>
      <c r="Q672" s="144"/>
      <c r="R672" s="144"/>
      <c r="S672" s="144"/>
      <c r="T672" s="144"/>
      <c r="U672" s="232"/>
      <c r="V672" s="232"/>
      <c r="W672" s="144"/>
      <c r="X672" s="144"/>
      <c r="Y672" s="144"/>
      <c r="Z672" s="144"/>
      <c r="AA672" s="144"/>
      <c r="AB672" s="144"/>
      <c r="AC672" s="144"/>
      <c r="AD672" s="144"/>
      <c r="AE672" s="232"/>
      <c r="AF672" s="144"/>
      <c r="AG672" s="144"/>
      <c r="AH672" s="232"/>
      <c r="AI672" s="232"/>
      <c r="AJ672" s="144"/>
      <c r="AK672" s="144"/>
      <c r="AL672" s="144"/>
      <c r="AM672" s="144"/>
      <c r="AN672" s="144"/>
      <c r="AO672" s="144"/>
      <c r="AP672" s="144"/>
      <c r="AQ672" s="144"/>
      <c r="AR672" s="144"/>
      <c r="AS672" s="144"/>
      <c r="AT672" s="144"/>
      <c r="AU672" s="144"/>
      <c r="AV672" s="144"/>
    </row>
    <row r="673" spans="3:48" x14ac:dyDescent="0.25">
      <c r="C673" s="144"/>
      <c r="D673" s="144"/>
      <c r="E673" s="144"/>
      <c r="F673" s="144"/>
      <c r="G673" s="144"/>
      <c r="H673" s="232"/>
      <c r="I673" s="144"/>
      <c r="J673" s="144"/>
      <c r="K673" s="144"/>
      <c r="L673" s="144"/>
      <c r="M673" s="144"/>
      <c r="N673" s="144"/>
      <c r="O673" s="144"/>
      <c r="P673" s="144"/>
      <c r="Q673" s="144"/>
      <c r="R673" s="144"/>
      <c r="S673" s="144"/>
      <c r="T673" s="144"/>
      <c r="U673" s="232"/>
      <c r="V673" s="232"/>
      <c r="W673" s="144"/>
      <c r="X673" s="144"/>
      <c r="Y673" s="144"/>
      <c r="Z673" s="144"/>
      <c r="AA673" s="144"/>
      <c r="AB673" s="144"/>
      <c r="AC673" s="144"/>
      <c r="AD673" s="144"/>
      <c r="AE673" s="232"/>
      <c r="AF673" s="144"/>
      <c r="AG673" s="144"/>
      <c r="AH673" s="232"/>
      <c r="AI673" s="232"/>
      <c r="AJ673" s="144"/>
      <c r="AK673" s="144"/>
      <c r="AL673" s="144"/>
      <c r="AM673" s="144"/>
      <c r="AN673" s="144"/>
      <c r="AO673" s="144"/>
      <c r="AP673" s="144"/>
      <c r="AQ673" s="144"/>
      <c r="AR673" s="144"/>
      <c r="AS673" s="144"/>
      <c r="AT673" s="144"/>
      <c r="AU673" s="144"/>
      <c r="AV673" s="144"/>
    </row>
    <row r="674" spans="3:48" x14ac:dyDescent="0.25">
      <c r="C674" s="144"/>
      <c r="D674" s="144"/>
      <c r="E674" s="144"/>
      <c r="F674" s="144"/>
      <c r="G674" s="144"/>
      <c r="H674" s="232"/>
      <c r="I674" s="144"/>
      <c r="J674" s="144"/>
      <c r="K674" s="144"/>
      <c r="L674" s="144"/>
      <c r="M674" s="144"/>
      <c r="N674" s="144"/>
      <c r="O674" s="144"/>
      <c r="P674" s="144"/>
      <c r="Q674" s="144"/>
      <c r="R674" s="144"/>
      <c r="S674" s="144"/>
      <c r="T674" s="144"/>
      <c r="U674" s="232"/>
      <c r="V674" s="232"/>
      <c r="W674" s="144"/>
      <c r="X674" s="144"/>
      <c r="Y674" s="144"/>
      <c r="Z674" s="144"/>
      <c r="AA674" s="144"/>
      <c r="AB674" s="144"/>
      <c r="AC674" s="144"/>
      <c r="AD674" s="144"/>
      <c r="AE674" s="232"/>
      <c r="AF674" s="144"/>
      <c r="AG674" s="144"/>
      <c r="AH674" s="232"/>
      <c r="AI674" s="232"/>
      <c r="AJ674" s="144"/>
      <c r="AK674" s="144"/>
      <c r="AL674" s="144"/>
      <c r="AM674" s="144"/>
      <c r="AN674" s="144"/>
      <c r="AO674" s="144"/>
      <c r="AP674" s="144"/>
      <c r="AQ674" s="144"/>
      <c r="AR674" s="144"/>
      <c r="AS674" s="144"/>
      <c r="AT674" s="144"/>
      <c r="AU674" s="144"/>
      <c r="AV674" s="144"/>
    </row>
    <row r="675" spans="3:48" x14ac:dyDescent="0.25">
      <c r="C675" s="144"/>
      <c r="D675" s="144"/>
      <c r="E675" s="144"/>
      <c r="F675" s="144"/>
      <c r="G675" s="144"/>
      <c r="H675" s="232"/>
      <c r="I675" s="144"/>
      <c r="J675" s="144"/>
      <c r="K675" s="144"/>
      <c r="L675" s="144"/>
      <c r="M675" s="144"/>
      <c r="N675" s="144"/>
      <c r="O675" s="144"/>
      <c r="P675" s="144"/>
      <c r="Q675" s="144"/>
      <c r="R675" s="144"/>
      <c r="S675" s="144"/>
      <c r="T675" s="144"/>
      <c r="U675" s="232"/>
      <c r="V675" s="232"/>
      <c r="W675" s="144"/>
      <c r="X675" s="144"/>
      <c r="Y675" s="144"/>
      <c r="Z675" s="144"/>
      <c r="AA675" s="144"/>
      <c r="AB675" s="144"/>
      <c r="AC675" s="144"/>
      <c r="AD675" s="144"/>
      <c r="AE675" s="232"/>
      <c r="AF675" s="144"/>
      <c r="AG675" s="144"/>
      <c r="AH675" s="232"/>
      <c r="AI675" s="232"/>
      <c r="AJ675" s="144"/>
      <c r="AK675" s="144"/>
      <c r="AL675" s="144"/>
      <c r="AM675" s="144"/>
      <c r="AN675" s="144"/>
      <c r="AO675" s="144"/>
      <c r="AP675" s="144"/>
      <c r="AQ675" s="144"/>
      <c r="AR675" s="144"/>
      <c r="AS675" s="144"/>
      <c r="AT675" s="144"/>
      <c r="AU675" s="144"/>
      <c r="AV675" s="144"/>
    </row>
    <row r="676" spans="3:48" x14ac:dyDescent="0.25">
      <c r="C676" s="144"/>
      <c r="D676" s="144"/>
      <c r="E676" s="144"/>
      <c r="F676" s="144"/>
      <c r="G676" s="144"/>
      <c r="H676" s="232"/>
      <c r="I676" s="144"/>
      <c r="J676" s="144"/>
      <c r="K676" s="144"/>
      <c r="L676" s="144"/>
      <c r="M676" s="144"/>
      <c r="N676" s="144"/>
      <c r="O676" s="144"/>
      <c r="P676" s="144"/>
      <c r="Q676" s="144"/>
      <c r="R676" s="144"/>
      <c r="S676" s="144"/>
      <c r="T676" s="144"/>
      <c r="U676" s="232"/>
      <c r="V676" s="232"/>
      <c r="W676" s="144"/>
      <c r="X676" s="144"/>
      <c r="Y676" s="144"/>
      <c r="Z676" s="144"/>
      <c r="AA676" s="144"/>
      <c r="AB676" s="144"/>
      <c r="AC676" s="144"/>
      <c r="AD676" s="144"/>
      <c r="AE676" s="232"/>
      <c r="AF676" s="144"/>
      <c r="AG676" s="144"/>
      <c r="AH676" s="232"/>
      <c r="AI676" s="232"/>
      <c r="AJ676" s="144"/>
      <c r="AK676" s="144"/>
      <c r="AL676" s="144"/>
      <c r="AM676" s="144"/>
      <c r="AN676" s="144"/>
      <c r="AO676" s="144"/>
      <c r="AP676" s="144"/>
      <c r="AQ676" s="144"/>
      <c r="AR676" s="144"/>
      <c r="AS676" s="144"/>
      <c r="AT676" s="144"/>
      <c r="AU676" s="144"/>
      <c r="AV676" s="144"/>
    </row>
    <row r="677" spans="3:48" x14ac:dyDescent="0.25">
      <c r="C677" s="144"/>
      <c r="D677" s="144"/>
      <c r="E677" s="144"/>
      <c r="F677" s="144"/>
      <c r="G677" s="144"/>
      <c r="H677" s="232"/>
      <c r="I677" s="144"/>
      <c r="J677" s="144"/>
      <c r="K677" s="144"/>
      <c r="L677" s="144"/>
      <c r="M677" s="144"/>
      <c r="N677" s="144"/>
      <c r="O677" s="144"/>
      <c r="P677" s="144"/>
      <c r="Q677" s="144"/>
      <c r="R677" s="144"/>
      <c r="S677" s="144"/>
      <c r="T677" s="144"/>
      <c r="U677" s="232"/>
      <c r="V677" s="232"/>
      <c r="W677" s="144"/>
      <c r="X677" s="144"/>
      <c r="Y677" s="144"/>
      <c r="Z677" s="144"/>
      <c r="AA677" s="144"/>
      <c r="AB677" s="144"/>
      <c r="AC677" s="144"/>
      <c r="AD677" s="144"/>
      <c r="AE677" s="232"/>
      <c r="AF677" s="144"/>
      <c r="AG677" s="144"/>
      <c r="AH677" s="232"/>
      <c r="AI677" s="232"/>
      <c r="AJ677" s="144"/>
      <c r="AK677" s="144"/>
      <c r="AL677" s="144"/>
      <c r="AM677" s="144"/>
      <c r="AN677" s="144"/>
      <c r="AO677" s="144"/>
      <c r="AP677" s="144"/>
      <c r="AQ677" s="144"/>
      <c r="AR677" s="144"/>
      <c r="AS677" s="144"/>
      <c r="AT677" s="144"/>
      <c r="AU677" s="144"/>
      <c r="AV677" s="144"/>
    </row>
    <row r="678" spans="3:48" x14ac:dyDescent="0.25">
      <c r="C678" s="144"/>
      <c r="D678" s="144"/>
      <c r="E678" s="144"/>
      <c r="F678" s="144"/>
      <c r="G678" s="144"/>
      <c r="H678" s="232"/>
      <c r="I678" s="144"/>
      <c r="J678" s="144"/>
      <c r="K678" s="144"/>
      <c r="L678" s="144"/>
      <c r="M678" s="144"/>
      <c r="N678" s="144"/>
      <c r="O678" s="144"/>
      <c r="P678" s="144"/>
      <c r="Q678" s="144"/>
      <c r="R678" s="144"/>
      <c r="S678" s="144"/>
      <c r="T678" s="144"/>
      <c r="U678" s="232"/>
      <c r="V678" s="232"/>
      <c r="W678" s="144"/>
      <c r="X678" s="144"/>
      <c r="Y678" s="144"/>
      <c r="Z678" s="144"/>
      <c r="AA678" s="144"/>
      <c r="AB678" s="144"/>
      <c r="AC678" s="144"/>
      <c r="AD678" s="144"/>
      <c r="AE678" s="232"/>
      <c r="AF678" s="144"/>
      <c r="AG678" s="144"/>
      <c r="AH678" s="232"/>
      <c r="AI678" s="232"/>
      <c r="AJ678" s="144"/>
      <c r="AK678" s="144"/>
      <c r="AL678" s="144"/>
      <c r="AM678" s="144"/>
      <c r="AN678" s="144"/>
      <c r="AO678" s="144"/>
      <c r="AP678" s="144"/>
      <c r="AQ678" s="144"/>
      <c r="AR678" s="144"/>
      <c r="AS678" s="144"/>
      <c r="AT678" s="144"/>
      <c r="AU678" s="144"/>
      <c r="AV678" s="144"/>
    </row>
    <row r="679" spans="3:48" x14ac:dyDescent="0.25">
      <c r="C679" s="144"/>
      <c r="D679" s="144"/>
      <c r="E679" s="144"/>
      <c r="F679" s="144"/>
      <c r="G679" s="144"/>
      <c r="H679" s="232"/>
      <c r="I679" s="144"/>
      <c r="J679" s="144"/>
      <c r="K679" s="144"/>
      <c r="L679" s="144"/>
      <c r="M679" s="144"/>
      <c r="N679" s="144"/>
      <c r="O679" s="144"/>
      <c r="P679" s="144"/>
      <c r="Q679" s="144"/>
      <c r="R679" s="144"/>
      <c r="S679" s="144"/>
      <c r="T679" s="144"/>
      <c r="U679" s="232"/>
      <c r="V679" s="232"/>
      <c r="W679" s="144"/>
      <c r="X679" s="144"/>
      <c r="Y679" s="144"/>
      <c r="Z679" s="144"/>
      <c r="AA679" s="144"/>
      <c r="AB679" s="144"/>
      <c r="AC679" s="144"/>
      <c r="AD679" s="144"/>
      <c r="AE679" s="232"/>
      <c r="AF679" s="144"/>
      <c r="AG679" s="144"/>
      <c r="AH679" s="232"/>
      <c r="AI679" s="232"/>
      <c r="AJ679" s="144"/>
      <c r="AK679" s="144"/>
      <c r="AL679" s="144"/>
      <c r="AM679" s="144"/>
      <c r="AN679" s="144"/>
      <c r="AO679" s="144"/>
      <c r="AP679" s="144"/>
      <c r="AQ679" s="144"/>
      <c r="AR679" s="144"/>
      <c r="AS679" s="144"/>
      <c r="AT679" s="144"/>
      <c r="AU679" s="144"/>
      <c r="AV679" s="144"/>
    </row>
    <row r="680" spans="3:48" x14ac:dyDescent="0.25">
      <c r="C680" s="144"/>
      <c r="D680" s="144"/>
      <c r="E680" s="144"/>
      <c r="F680" s="144"/>
      <c r="G680" s="144"/>
      <c r="H680" s="232"/>
      <c r="I680" s="144"/>
      <c r="J680" s="144"/>
      <c r="K680" s="144"/>
      <c r="L680" s="144"/>
      <c r="M680" s="144"/>
      <c r="N680" s="144"/>
      <c r="O680" s="144"/>
      <c r="P680" s="144"/>
      <c r="Q680" s="144"/>
      <c r="R680" s="144"/>
      <c r="S680" s="144"/>
      <c r="T680" s="144"/>
      <c r="U680" s="232"/>
      <c r="V680" s="232"/>
      <c r="W680" s="144"/>
      <c r="X680" s="144"/>
      <c r="Y680" s="144"/>
      <c r="Z680" s="144"/>
      <c r="AA680" s="144"/>
      <c r="AB680" s="144"/>
      <c r="AC680" s="144"/>
      <c r="AD680" s="144"/>
      <c r="AE680" s="232"/>
      <c r="AF680" s="144"/>
      <c r="AG680" s="144"/>
      <c r="AH680" s="232"/>
      <c r="AI680" s="232"/>
      <c r="AJ680" s="144"/>
      <c r="AK680" s="144"/>
      <c r="AL680" s="144"/>
      <c r="AM680" s="144"/>
      <c r="AN680" s="144"/>
      <c r="AO680" s="144"/>
      <c r="AP680" s="144"/>
      <c r="AQ680" s="144"/>
      <c r="AR680" s="144"/>
      <c r="AS680" s="144"/>
      <c r="AT680" s="144"/>
      <c r="AU680" s="144"/>
      <c r="AV680" s="144"/>
    </row>
    <row r="681" spans="3:48" x14ac:dyDescent="0.25">
      <c r="C681" s="144"/>
      <c r="D681" s="144"/>
      <c r="E681" s="144"/>
      <c r="F681" s="144"/>
      <c r="G681" s="144"/>
      <c r="H681" s="232"/>
      <c r="I681" s="144"/>
      <c r="J681" s="144"/>
      <c r="K681" s="144"/>
      <c r="L681" s="144"/>
      <c r="M681" s="144"/>
      <c r="N681" s="144"/>
      <c r="O681" s="144"/>
      <c r="P681" s="144"/>
      <c r="Q681" s="144"/>
      <c r="R681" s="144"/>
      <c r="S681" s="144"/>
      <c r="T681" s="144"/>
      <c r="U681" s="232"/>
      <c r="V681" s="232"/>
      <c r="W681" s="144"/>
      <c r="X681" s="144"/>
      <c r="Y681" s="144"/>
      <c r="Z681" s="144"/>
      <c r="AA681" s="144"/>
      <c r="AB681" s="144"/>
      <c r="AC681" s="144"/>
      <c r="AD681" s="144"/>
      <c r="AE681" s="232"/>
      <c r="AF681" s="144"/>
      <c r="AG681" s="144"/>
      <c r="AH681" s="232"/>
      <c r="AI681" s="232"/>
      <c r="AJ681" s="144"/>
      <c r="AK681" s="144"/>
      <c r="AL681" s="144"/>
      <c r="AM681" s="144"/>
      <c r="AN681" s="144"/>
      <c r="AO681" s="144"/>
      <c r="AP681" s="144"/>
      <c r="AQ681" s="144"/>
      <c r="AR681" s="144"/>
      <c r="AS681" s="144"/>
      <c r="AT681" s="144"/>
      <c r="AU681" s="144"/>
      <c r="AV681" s="144"/>
    </row>
    <row r="682" spans="3:48" x14ac:dyDescent="0.25">
      <c r="C682" s="144"/>
      <c r="D682" s="144"/>
      <c r="E682" s="144"/>
      <c r="F682" s="144"/>
      <c r="G682" s="144"/>
      <c r="H682" s="232"/>
      <c r="I682" s="144"/>
      <c r="J682" s="144"/>
      <c r="K682" s="144"/>
      <c r="L682" s="144"/>
      <c r="M682" s="144"/>
      <c r="N682" s="144"/>
      <c r="O682" s="144"/>
      <c r="P682" s="144"/>
      <c r="Q682" s="144"/>
      <c r="R682" s="144"/>
      <c r="S682" s="144"/>
      <c r="T682" s="144"/>
      <c r="U682" s="232"/>
      <c r="V682" s="232"/>
      <c r="W682" s="144"/>
      <c r="X682" s="144"/>
      <c r="Y682" s="144"/>
      <c r="Z682" s="144"/>
      <c r="AA682" s="144"/>
      <c r="AB682" s="144"/>
      <c r="AC682" s="144"/>
      <c r="AD682" s="144"/>
      <c r="AE682" s="232"/>
      <c r="AF682" s="144"/>
      <c r="AG682" s="144"/>
      <c r="AH682" s="232"/>
      <c r="AI682" s="232"/>
      <c r="AJ682" s="144"/>
      <c r="AK682" s="144"/>
      <c r="AL682" s="144"/>
      <c r="AM682" s="144"/>
      <c r="AN682" s="144"/>
      <c r="AO682" s="144"/>
      <c r="AP682" s="144"/>
      <c r="AQ682" s="144"/>
      <c r="AR682" s="144"/>
      <c r="AS682" s="144"/>
      <c r="AT682" s="144"/>
      <c r="AU682" s="144"/>
      <c r="AV682" s="144"/>
    </row>
    <row r="683" spans="3:48" x14ac:dyDescent="0.25">
      <c r="C683" s="144"/>
      <c r="D683" s="144"/>
      <c r="E683" s="144"/>
      <c r="F683" s="144"/>
      <c r="G683" s="144"/>
      <c r="H683" s="232"/>
      <c r="I683" s="144"/>
      <c r="J683" s="144"/>
      <c r="K683" s="144"/>
      <c r="L683" s="144"/>
      <c r="M683" s="144"/>
      <c r="N683" s="144"/>
      <c r="O683" s="144"/>
      <c r="P683" s="144"/>
      <c r="Q683" s="144"/>
      <c r="R683" s="144"/>
      <c r="S683" s="144"/>
      <c r="T683" s="144"/>
      <c r="U683" s="232"/>
      <c r="V683" s="232"/>
      <c r="W683" s="144"/>
      <c r="X683" s="144"/>
      <c r="Y683" s="144"/>
      <c r="Z683" s="144"/>
      <c r="AA683" s="144"/>
      <c r="AB683" s="144"/>
      <c r="AC683" s="144"/>
      <c r="AD683" s="144"/>
      <c r="AE683" s="232"/>
      <c r="AF683" s="144"/>
      <c r="AG683" s="144"/>
      <c r="AH683" s="232"/>
      <c r="AI683" s="232"/>
      <c r="AJ683" s="144"/>
      <c r="AK683" s="144"/>
      <c r="AL683" s="144"/>
      <c r="AM683" s="144"/>
      <c r="AN683" s="144"/>
      <c r="AO683" s="144"/>
      <c r="AP683" s="144"/>
      <c r="AQ683" s="144"/>
      <c r="AR683" s="144"/>
      <c r="AS683" s="144"/>
      <c r="AT683" s="144"/>
      <c r="AU683" s="144"/>
      <c r="AV683" s="144"/>
    </row>
    <row r="684" spans="3:48" x14ac:dyDescent="0.25">
      <c r="C684" s="144"/>
      <c r="D684" s="144"/>
      <c r="E684" s="144"/>
      <c r="F684" s="144"/>
      <c r="G684" s="144"/>
      <c r="H684" s="232"/>
      <c r="I684" s="144"/>
      <c r="J684" s="144"/>
      <c r="K684" s="144"/>
      <c r="L684" s="144"/>
      <c r="M684" s="144"/>
      <c r="N684" s="144"/>
      <c r="O684" s="144"/>
      <c r="P684" s="144"/>
      <c r="Q684" s="144"/>
      <c r="R684" s="144"/>
      <c r="S684" s="144"/>
      <c r="T684" s="144"/>
      <c r="U684" s="232"/>
      <c r="V684" s="232"/>
      <c r="W684" s="144"/>
      <c r="X684" s="144"/>
      <c r="Y684" s="144"/>
      <c r="Z684" s="144"/>
      <c r="AA684" s="144"/>
      <c r="AB684" s="144"/>
      <c r="AC684" s="144"/>
      <c r="AD684" s="144"/>
      <c r="AE684" s="232"/>
      <c r="AF684" s="144"/>
      <c r="AG684" s="144"/>
      <c r="AH684" s="232"/>
      <c r="AI684" s="232"/>
      <c r="AJ684" s="144"/>
      <c r="AK684" s="144"/>
      <c r="AL684" s="144"/>
      <c r="AM684" s="144"/>
      <c r="AN684" s="144"/>
      <c r="AO684" s="144"/>
      <c r="AP684" s="144"/>
      <c r="AQ684" s="144"/>
      <c r="AR684" s="144"/>
      <c r="AS684" s="144"/>
      <c r="AT684" s="144"/>
      <c r="AU684" s="144"/>
      <c r="AV684" s="144"/>
    </row>
    <row r="685" spans="3:48" x14ac:dyDescent="0.25">
      <c r="C685" s="144"/>
      <c r="D685" s="144"/>
      <c r="E685" s="144"/>
      <c r="F685" s="144"/>
      <c r="G685" s="144"/>
      <c r="H685" s="232"/>
      <c r="I685" s="144"/>
      <c r="J685" s="144"/>
      <c r="K685" s="144"/>
      <c r="L685" s="144"/>
      <c r="M685" s="144"/>
      <c r="N685" s="144"/>
      <c r="O685" s="144"/>
      <c r="P685" s="144"/>
      <c r="Q685" s="144"/>
      <c r="R685" s="144"/>
      <c r="S685" s="144"/>
      <c r="T685" s="144"/>
      <c r="U685" s="232"/>
      <c r="V685" s="232"/>
      <c r="W685" s="144"/>
      <c r="X685" s="144"/>
      <c r="Y685" s="144"/>
      <c r="Z685" s="144"/>
      <c r="AA685" s="144"/>
      <c r="AB685" s="144"/>
      <c r="AC685" s="144"/>
      <c r="AD685" s="144"/>
      <c r="AE685" s="232"/>
      <c r="AF685" s="144"/>
      <c r="AG685" s="144"/>
      <c r="AH685" s="232"/>
      <c r="AI685" s="232"/>
      <c r="AJ685" s="144"/>
      <c r="AK685" s="144"/>
      <c r="AL685" s="144"/>
      <c r="AM685" s="144"/>
      <c r="AN685" s="144"/>
      <c r="AO685" s="144"/>
      <c r="AP685" s="144"/>
      <c r="AQ685" s="144"/>
      <c r="AR685" s="144"/>
      <c r="AS685" s="144"/>
      <c r="AT685" s="144"/>
      <c r="AU685" s="144"/>
      <c r="AV685" s="144"/>
    </row>
    <row r="686" spans="3:48" x14ac:dyDescent="0.25">
      <c r="C686" s="144"/>
      <c r="D686" s="144"/>
      <c r="E686" s="144"/>
      <c r="F686" s="144"/>
      <c r="G686" s="144"/>
      <c r="H686" s="232"/>
      <c r="I686" s="144"/>
      <c r="J686" s="144"/>
      <c r="K686" s="144"/>
      <c r="L686" s="144"/>
      <c r="M686" s="144"/>
      <c r="N686" s="144"/>
      <c r="O686" s="144"/>
      <c r="P686" s="144"/>
      <c r="Q686" s="144"/>
      <c r="R686" s="144"/>
      <c r="S686" s="144"/>
      <c r="T686" s="144"/>
      <c r="U686" s="232"/>
      <c r="V686" s="232"/>
      <c r="W686" s="144"/>
      <c r="X686" s="144"/>
      <c r="Y686" s="144"/>
      <c r="Z686" s="144"/>
      <c r="AA686" s="144"/>
      <c r="AB686" s="144"/>
      <c r="AC686" s="144"/>
      <c r="AD686" s="144"/>
      <c r="AE686" s="232"/>
      <c r="AF686" s="144"/>
      <c r="AG686" s="144"/>
      <c r="AH686" s="232"/>
      <c r="AI686" s="232"/>
      <c r="AJ686" s="144"/>
      <c r="AK686" s="144"/>
      <c r="AL686" s="144"/>
      <c r="AM686" s="144"/>
      <c r="AN686" s="144"/>
      <c r="AO686" s="144"/>
      <c r="AP686" s="144"/>
      <c r="AQ686" s="144"/>
      <c r="AR686" s="144"/>
      <c r="AS686" s="144"/>
      <c r="AT686" s="144"/>
      <c r="AU686" s="144"/>
      <c r="AV686" s="144"/>
    </row>
    <row r="687" spans="3:48" x14ac:dyDescent="0.25">
      <c r="C687" s="144"/>
      <c r="D687" s="144"/>
      <c r="E687" s="144"/>
      <c r="F687" s="144"/>
      <c r="G687" s="144"/>
      <c r="H687" s="232"/>
      <c r="I687" s="144"/>
      <c r="J687" s="144"/>
      <c r="K687" s="144"/>
      <c r="L687" s="144"/>
      <c r="M687" s="144"/>
      <c r="N687" s="144"/>
      <c r="O687" s="144"/>
      <c r="P687" s="144"/>
      <c r="Q687" s="144"/>
      <c r="R687" s="144"/>
      <c r="S687" s="144"/>
      <c r="T687" s="144"/>
      <c r="U687" s="232"/>
      <c r="V687" s="232"/>
      <c r="W687" s="144"/>
      <c r="X687" s="144"/>
      <c r="Y687" s="144"/>
      <c r="Z687" s="144"/>
      <c r="AA687" s="144"/>
      <c r="AB687" s="144"/>
      <c r="AC687" s="144"/>
      <c r="AD687" s="144"/>
      <c r="AE687" s="232"/>
      <c r="AF687" s="144"/>
      <c r="AG687" s="144"/>
      <c r="AH687" s="232"/>
      <c r="AI687" s="232"/>
      <c r="AJ687" s="144"/>
      <c r="AK687" s="144"/>
      <c r="AL687" s="144"/>
      <c r="AM687" s="144"/>
      <c r="AN687" s="144"/>
      <c r="AO687" s="144"/>
      <c r="AP687" s="144"/>
      <c r="AQ687" s="144"/>
      <c r="AR687" s="144"/>
      <c r="AS687" s="144"/>
      <c r="AT687" s="144"/>
      <c r="AU687" s="144"/>
      <c r="AV687" s="144"/>
    </row>
    <row r="688" spans="3:48" x14ac:dyDescent="0.25">
      <c r="C688" s="144"/>
      <c r="D688" s="144"/>
      <c r="E688" s="144"/>
      <c r="F688" s="144"/>
      <c r="G688" s="144"/>
      <c r="H688" s="232"/>
      <c r="I688" s="144"/>
      <c r="J688" s="144"/>
      <c r="K688" s="144"/>
      <c r="L688" s="144"/>
      <c r="M688" s="144"/>
      <c r="N688" s="144"/>
      <c r="O688" s="144"/>
      <c r="P688" s="144"/>
      <c r="Q688" s="144"/>
      <c r="R688" s="144"/>
      <c r="S688" s="144"/>
      <c r="T688" s="144"/>
      <c r="U688" s="232"/>
      <c r="V688" s="232"/>
      <c r="W688" s="144"/>
      <c r="X688" s="144"/>
      <c r="Y688" s="144"/>
      <c r="Z688" s="144"/>
      <c r="AA688" s="144"/>
      <c r="AB688" s="144"/>
      <c r="AC688" s="144"/>
      <c r="AD688" s="144"/>
      <c r="AE688" s="232"/>
      <c r="AF688" s="144"/>
      <c r="AG688" s="144"/>
      <c r="AH688" s="232"/>
      <c r="AI688" s="232"/>
      <c r="AJ688" s="144"/>
      <c r="AK688" s="144"/>
      <c r="AL688" s="144"/>
      <c r="AM688" s="144"/>
      <c r="AN688" s="144"/>
      <c r="AO688" s="144"/>
      <c r="AP688" s="144"/>
      <c r="AQ688" s="144"/>
      <c r="AR688" s="144"/>
      <c r="AS688" s="144"/>
      <c r="AT688" s="144"/>
      <c r="AU688" s="144"/>
      <c r="AV688" s="144"/>
    </row>
    <row r="689" spans="3:48" x14ac:dyDescent="0.25">
      <c r="C689" s="144"/>
      <c r="D689" s="144"/>
      <c r="E689" s="144"/>
      <c r="F689" s="144"/>
      <c r="G689" s="144"/>
      <c r="H689" s="232"/>
      <c r="I689" s="144"/>
      <c r="J689" s="144"/>
      <c r="K689" s="144"/>
      <c r="L689" s="144"/>
      <c r="M689" s="144"/>
      <c r="N689" s="144"/>
      <c r="O689" s="144"/>
      <c r="P689" s="144"/>
      <c r="Q689" s="144"/>
      <c r="R689" s="144"/>
      <c r="S689" s="144"/>
      <c r="T689" s="144"/>
      <c r="U689" s="232"/>
      <c r="V689" s="232"/>
      <c r="W689" s="144"/>
      <c r="X689" s="144"/>
      <c r="Y689" s="144"/>
      <c r="Z689" s="144"/>
      <c r="AA689" s="144"/>
      <c r="AB689" s="144"/>
      <c r="AC689" s="144"/>
      <c r="AD689" s="144"/>
      <c r="AE689" s="232"/>
      <c r="AF689" s="144"/>
      <c r="AG689" s="144"/>
      <c r="AH689" s="232"/>
      <c r="AI689" s="232"/>
      <c r="AJ689" s="144"/>
      <c r="AK689" s="144"/>
      <c r="AL689" s="144"/>
      <c r="AM689" s="144"/>
      <c r="AN689" s="144"/>
      <c r="AO689" s="144"/>
      <c r="AP689" s="144"/>
      <c r="AQ689" s="144"/>
      <c r="AR689" s="144"/>
      <c r="AS689" s="144"/>
      <c r="AT689" s="144"/>
      <c r="AU689" s="144"/>
      <c r="AV689" s="144"/>
    </row>
    <row r="690" spans="3:48" x14ac:dyDescent="0.25">
      <c r="C690" s="144"/>
      <c r="D690" s="144"/>
      <c r="E690" s="144"/>
      <c r="F690" s="144"/>
      <c r="G690" s="144"/>
      <c r="H690" s="232"/>
      <c r="I690" s="144"/>
      <c r="J690" s="144"/>
      <c r="K690" s="144"/>
      <c r="L690" s="144"/>
      <c r="M690" s="144"/>
      <c r="N690" s="144"/>
      <c r="O690" s="144"/>
      <c r="P690" s="144"/>
      <c r="Q690" s="144"/>
      <c r="R690" s="144"/>
      <c r="S690" s="144"/>
      <c r="T690" s="144"/>
      <c r="U690" s="232"/>
      <c r="V690" s="232"/>
      <c r="W690" s="144"/>
      <c r="X690" s="144"/>
      <c r="Y690" s="144"/>
      <c r="Z690" s="144"/>
      <c r="AA690" s="144"/>
      <c r="AB690" s="144"/>
      <c r="AC690" s="144"/>
      <c r="AD690" s="144"/>
      <c r="AE690" s="232"/>
      <c r="AF690" s="144"/>
      <c r="AG690" s="144"/>
      <c r="AH690" s="232"/>
      <c r="AI690" s="232"/>
      <c r="AJ690" s="144"/>
      <c r="AK690" s="144"/>
      <c r="AL690" s="144"/>
      <c r="AM690" s="144"/>
      <c r="AN690" s="144"/>
      <c r="AO690" s="144"/>
      <c r="AP690" s="144"/>
      <c r="AQ690" s="144"/>
      <c r="AR690" s="144"/>
      <c r="AS690" s="144"/>
      <c r="AT690" s="144"/>
      <c r="AU690" s="144"/>
      <c r="AV690" s="144"/>
    </row>
    <row r="691" spans="3:48" x14ac:dyDescent="0.25">
      <c r="C691" s="144"/>
      <c r="D691" s="144"/>
      <c r="E691" s="144"/>
      <c r="F691" s="144"/>
      <c r="G691" s="144"/>
      <c r="H691" s="232"/>
      <c r="I691" s="144"/>
      <c r="J691" s="144"/>
      <c r="K691" s="144"/>
      <c r="L691" s="144"/>
      <c r="M691" s="144"/>
      <c r="N691" s="144"/>
      <c r="O691" s="144"/>
      <c r="P691" s="144"/>
      <c r="Q691" s="144"/>
      <c r="R691" s="144"/>
      <c r="S691" s="144"/>
      <c r="T691" s="144"/>
      <c r="U691" s="232"/>
      <c r="V691" s="232"/>
      <c r="W691" s="144"/>
      <c r="X691" s="144"/>
      <c r="Y691" s="144"/>
      <c r="Z691" s="144"/>
      <c r="AA691" s="144"/>
      <c r="AB691" s="144"/>
      <c r="AC691" s="144"/>
      <c r="AD691" s="144"/>
      <c r="AE691" s="232"/>
      <c r="AF691" s="144"/>
      <c r="AG691" s="144"/>
      <c r="AH691" s="232"/>
      <c r="AI691" s="232"/>
      <c r="AJ691" s="144"/>
      <c r="AK691" s="144"/>
      <c r="AL691" s="144"/>
      <c r="AM691" s="144"/>
      <c r="AN691" s="144"/>
      <c r="AO691" s="144"/>
      <c r="AP691" s="144"/>
      <c r="AQ691" s="144"/>
      <c r="AR691" s="144"/>
      <c r="AS691" s="144"/>
      <c r="AT691" s="144"/>
      <c r="AU691" s="144"/>
      <c r="AV691" s="144"/>
    </row>
    <row r="692" spans="3:48" x14ac:dyDescent="0.25">
      <c r="C692" s="144"/>
      <c r="D692" s="144"/>
      <c r="E692" s="144"/>
      <c r="F692" s="144"/>
      <c r="G692" s="144"/>
      <c r="H692" s="232"/>
      <c r="I692" s="144"/>
      <c r="J692" s="144"/>
      <c r="K692" s="144"/>
      <c r="L692" s="144"/>
      <c r="M692" s="144"/>
      <c r="N692" s="144"/>
      <c r="O692" s="144"/>
      <c r="P692" s="144"/>
      <c r="Q692" s="144"/>
      <c r="R692" s="144"/>
      <c r="S692" s="144"/>
      <c r="T692" s="144"/>
      <c r="U692" s="232"/>
      <c r="V692" s="232"/>
      <c r="W692" s="144"/>
      <c r="X692" s="144"/>
      <c r="Y692" s="144"/>
      <c r="Z692" s="144"/>
      <c r="AA692" s="144"/>
      <c r="AB692" s="144"/>
      <c r="AC692" s="144"/>
      <c r="AD692" s="144"/>
      <c r="AE692" s="232"/>
      <c r="AF692" s="144"/>
      <c r="AG692" s="144"/>
      <c r="AH692" s="232"/>
      <c r="AI692" s="232"/>
      <c r="AJ692" s="144"/>
      <c r="AK692" s="144"/>
      <c r="AL692" s="144"/>
      <c r="AM692" s="144"/>
      <c r="AN692" s="144"/>
      <c r="AO692" s="144"/>
      <c r="AP692" s="144"/>
      <c r="AQ692" s="144"/>
      <c r="AR692" s="144"/>
      <c r="AS692" s="144"/>
      <c r="AT692" s="144"/>
      <c r="AU692" s="144"/>
      <c r="AV692" s="144"/>
    </row>
    <row r="693" spans="3:48" x14ac:dyDescent="0.25">
      <c r="C693" s="144"/>
      <c r="D693" s="144"/>
      <c r="E693" s="144"/>
      <c r="F693" s="144"/>
      <c r="G693" s="144"/>
      <c r="H693" s="232"/>
      <c r="I693" s="144"/>
      <c r="J693" s="144"/>
      <c r="K693" s="144"/>
      <c r="L693" s="144"/>
      <c r="M693" s="144"/>
      <c r="N693" s="144"/>
      <c r="O693" s="144"/>
      <c r="P693" s="144"/>
      <c r="Q693" s="144"/>
      <c r="R693" s="144"/>
      <c r="S693" s="144"/>
      <c r="T693" s="144"/>
      <c r="U693" s="232"/>
      <c r="V693" s="232"/>
      <c r="W693" s="144"/>
      <c r="X693" s="144"/>
      <c r="Y693" s="144"/>
      <c r="Z693" s="144"/>
      <c r="AA693" s="144"/>
      <c r="AB693" s="144"/>
      <c r="AC693" s="144"/>
      <c r="AD693" s="144"/>
      <c r="AE693" s="232"/>
      <c r="AF693" s="144"/>
      <c r="AG693" s="144"/>
      <c r="AH693" s="232"/>
      <c r="AI693" s="232"/>
      <c r="AJ693" s="144"/>
      <c r="AK693" s="144"/>
      <c r="AL693" s="144"/>
      <c r="AM693" s="144"/>
      <c r="AN693" s="144"/>
      <c r="AO693" s="144"/>
      <c r="AP693" s="144"/>
      <c r="AQ693" s="144"/>
      <c r="AR693" s="144"/>
      <c r="AS693" s="144"/>
      <c r="AT693" s="144"/>
      <c r="AU693" s="144"/>
      <c r="AV693" s="144"/>
    </row>
    <row r="694" spans="3:48" x14ac:dyDescent="0.25">
      <c r="C694" s="144"/>
      <c r="D694" s="144"/>
      <c r="E694" s="144"/>
      <c r="F694" s="144"/>
      <c r="G694" s="144"/>
      <c r="H694" s="232"/>
      <c r="I694" s="144"/>
      <c r="J694" s="144"/>
      <c r="K694" s="144"/>
      <c r="L694" s="144"/>
      <c r="M694" s="144"/>
      <c r="N694" s="144"/>
      <c r="O694" s="144"/>
      <c r="P694" s="144"/>
      <c r="Q694" s="144"/>
      <c r="R694" s="144"/>
      <c r="S694" s="144"/>
      <c r="T694" s="144"/>
      <c r="U694" s="232"/>
      <c r="V694" s="232"/>
      <c r="W694" s="144"/>
      <c r="X694" s="144"/>
      <c r="Y694" s="144"/>
      <c r="Z694" s="144"/>
      <c r="AA694" s="144"/>
      <c r="AB694" s="144"/>
      <c r="AC694" s="144"/>
      <c r="AD694" s="144"/>
      <c r="AE694" s="232"/>
      <c r="AF694" s="144"/>
      <c r="AG694" s="144"/>
      <c r="AH694" s="232"/>
      <c r="AI694" s="232"/>
      <c r="AJ694" s="144"/>
      <c r="AK694" s="144"/>
      <c r="AL694" s="144"/>
      <c r="AM694" s="144"/>
      <c r="AN694" s="144"/>
      <c r="AO694" s="144"/>
      <c r="AP694" s="144"/>
      <c r="AQ694" s="144"/>
      <c r="AR694" s="144"/>
      <c r="AS694" s="144"/>
      <c r="AT694" s="144"/>
      <c r="AU694" s="144"/>
      <c r="AV694" s="144"/>
    </row>
    <row r="695" spans="3:48" x14ac:dyDescent="0.25">
      <c r="C695" s="144"/>
      <c r="D695" s="144"/>
      <c r="E695" s="144"/>
      <c r="F695" s="144"/>
      <c r="G695" s="144"/>
      <c r="H695" s="232"/>
      <c r="I695" s="144"/>
      <c r="J695" s="144"/>
      <c r="K695" s="144"/>
      <c r="L695" s="144"/>
      <c r="M695" s="144"/>
      <c r="N695" s="144"/>
      <c r="O695" s="144"/>
      <c r="P695" s="144"/>
      <c r="Q695" s="144"/>
      <c r="R695" s="144"/>
      <c r="S695" s="144"/>
      <c r="T695" s="144"/>
      <c r="U695" s="232"/>
      <c r="V695" s="232"/>
      <c r="W695" s="144"/>
      <c r="X695" s="144"/>
      <c r="Y695" s="144"/>
      <c r="Z695" s="144"/>
      <c r="AA695" s="144"/>
      <c r="AB695" s="144"/>
      <c r="AC695" s="144"/>
      <c r="AD695" s="144"/>
      <c r="AE695" s="232"/>
      <c r="AF695" s="144"/>
      <c r="AG695" s="144"/>
      <c r="AH695" s="232"/>
      <c r="AI695" s="232"/>
      <c r="AJ695" s="144"/>
      <c r="AK695" s="144"/>
      <c r="AL695" s="144"/>
      <c r="AM695" s="144"/>
      <c r="AN695" s="144"/>
      <c r="AO695" s="144"/>
      <c r="AP695" s="144"/>
      <c r="AQ695" s="144"/>
      <c r="AR695" s="144"/>
      <c r="AS695" s="144"/>
      <c r="AT695" s="144"/>
      <c r="AU695" s="144"/>
      <c r="AV695" s="144"/>
    </row>
    <row r="696" spans="3:48" x14ac:dyDescent="0.25">
      <c r="C696" s="144"/>
      <c r="D696" s="144"/>
      <c r="E696" s="144"/>
      <c r="F696" s="144"/>
      <c r="G696" s="144"/>
      <c r="H696" s="232"/>
      <c r="I696" s="144"/>
      <c r="J696" s="144"/>
      <c r="K696" s="144"/>
      <c r="L696" s="144"/>
      <c r="M696" s="144"/>
      <c r="N696" s="144"/>
      <c r="O696" s="144"/>
      <c r="P696" s="144"/>
      <c r="Q696" s="144"/>
      <c r="R696" s="144"/>
      <c r="S696" s="144"/>
      <c r="T696" s="144"/>
      <c r="U696" s="232"/>
      <c r="V696" s="232"/>
      <c r="W696" s="144"/>
      <c r="X696" s="144"/>
      <c r="Y696" s="144"/>
      <c r="Z696" s="144"/>
      <c r="AA696" s="144"/>
      <c r="AB696" s="144"/>
      <c r="AC696" s="144"/>
      <c r="AD696" s="144"/>
      <c r="AE696" s="232"/>
      <c r="AF696" s="144"/>
      <c r="AG696" s="144"/>
      <c r="AH696" s="232"/>
      <c r="AI696" s="232"/>
      <c r="AJ696" s="144"/>
      <c r="AK696" s="144"/>
      <c r="AL696" s="144"/>
      <c r="AM696" s="144"/>
      <c r="AN696" s="144"/>
      <c r="AO696" s="144"/>
      <c r="AP696" s="144"/>
      <c r="AQ696" s="144"/>
      <c r="AR696" s="144"/>
      <c r="AS696" s="144"/>
      <c r="AT696" s="144"/>
      <c r="AU696" s="144"/>
      <c r="AV696" s="144"/>
    </row>
    <row r="697" spans="3:48" x14ac:dyDescent="0.25">
      <c r="C697" s="144"/>
      <c r="D697" s="144"/>
      <c r="E697" s="144"/>
      <c r="F697" s="144"/>
      <c r="G697" s="144"/>
      <c r="H697" s="232"/>
      <c r="I697" s="144"/>
      <c r="J697" s="144"/>
      <c r="K697" s="144"/>
      <c r="L697" s="144"/>
      <c r="M697" s="144"/>
      <c r="N697" s="144"/>
      <c r="O697" s="144"/>
      <c r="P697" s="144"/>
      <c r="Q697" s="144"/>
      <c r="R697" s="144"/>
      <c r="S697" s="144"/>
      <c r="T697" s="144"/>
      <c r="U697" s="232"/>
      <c r="V697" s="232"/>
      <c r="W697" s="144"/>
      <c r="X697" s="144"/>
      <c r="Y697" s="144"/>
      <c r="Z697" s="144"/>
      <c r="AA697" s="144"/>
      <c r="AB697" s="144"/>
      <c r="AC697" s="144"/>
      <c r="AD697" s="144"/>
      <c r="AE697" s="232"/>
      <c r="AF697" s="144"/>
      <c r="AG697" s="144"/>
      <c r="AH697" s="232"/>
      <c r="AI697" s="232"/>
      <c r="AJ697" s="144"/>
      <c r="AK697" s="144"/>
      <c r="AL697" s="144"/>
      <c r="AM697" s="144"/>
      <c r="AN697" s="144"/>
      <c r="AO697" s="144"/>
      <c r="AP697" s="144"/>
      <c r="AQ697" s="144"/>
      <c r="AR697" s="144"/>
      <c r="AS697" s="144"/>
      <c r="AT697" s="144"/>
      <c r="AU697" s="144"/>
      <c r="AV697" s="144"/>
    </row>
    <row r="698" spans="3:48" x14ac:dyDescent="0.25">
      <c r="C698" s="144"/>
      <c r="D698" s="144"/>
      <c r="E698" s="144"/>
      <c r="F698" s="144"/>
      <c r="G698" s="144"/>
      <c r="H698" s="232"/>
      <c r="I698" s="144"/>
      <c r="J698" s="144"/>
      <c r="K698" s="144"/>
      <c r="L698" s="144"/>
      <c r="M698" s="144"/>
      <c r="N698" s="144"/>
      <c r="O698" s="144"/>
      <c r="P698" s="144"/>
      <c r="Q698" s="144"/>
      <c r="R698" s="144"/>
      <c r="S698" s="144"/>
      <c r="T698" s="144"/>
      <c r="U698" s="232"/>
      <c r="V698" s="232"/>
      <c r="W698" s="144"/>
      <c r="X698" s="144"/>
      <c r="Y698" s="144"/>
      <c r="Z698" s="144"/>
      <c r="AA698" s="144"/>
      <c r="AB698" s="144"/>
      <c r="AC698" s="144"/>
      <c r="AD698" s="144"/>
      <c r="AE698" s="232"/>
      <c r="AF698" s="144"/>
      <c r="AG698" s="144"/>
      <c r="AH698" s="232"/>
      <c r="AI698" s="232"/>
      <c r="AJ698" s="144"/>
      <c r="AK698" s="144"/>
      <c r="AL698" s="144"/>
      <c r="AM698" s="144"/>
      <c r="AN698" s="144"/>
      <c r="AO698" s="144"/>
      <c r="AP698" s="144"/>
      <c r="AQ698" s="144"/>
      <c r="AR698" s="144"/>
      <c r="AS698" s="144"/>
      <c r="AT698" s="144"/>
      <c r="AU698" s="144"/>
      <c r="AV698" s="144"/>
    </row>
    <row r="699" spans="3:48" x14ac:dyDescent="0.25">
      <c r="C699" s="144"/>
      <c r="D699" s="144"/>
      <c r="E699" s="144"/>
      <c r="F699" s="144"/>
      <c r="G699" s="144"/>
      <c r="H699" s="232"/>
      <c r="I699" s="144"/>
      <c r="J699" s="144"/>
      <c r="K699" s="144"/>
      <c r="L699" s="144"/>
      <c r="M699" s="144"/>
      <c r="N699" s="144"/>
      <c r="O699" s="144"/>
      <c r="P699" s="144"/>
      <c r="Q699" s="144"/>
      <c r="R699" s="144"/>
      <c r="S699" s="144"/>
      <c r="T699" s="144"/>
      <c r="U699" s="232"/>
      <c r="V699" s="232"/>
      <c r="W699" s="144"/>
      <c r="X699" s="144"/>
      <c r="Y699" s="144"/>
      <c r="Z699" s="144"/>
      <c r="AA699" s="144"/>
      <c r="AB699" s="144"/>
      <c r="AC699" s="144"/>
      <c r="AD699" s="144"/>
      <c r="AE699" s="232"/>
      <c r="AF699" s="144"/>
      <c r="AG699" s="144"/>
      <c r="AH699" s="232"/>
      <c r="AI699" s="232"/>
      <c r="AJ699" s="144"/>
      <c r="AK699" s="144"/>
      <c r="AL699" s="144"/>
      <c r="AM699" s="144"/>
      <c r="AN699" s="144"/>
      <c r="AO699" s="144"/>
      <c r="AP699" s="144"/>
      <c r="AQ699" s="144"/>
      <c r="AR699" s="144"/>
      <c r="AS699" s="144"/>
      <c r="AT699" s="144"/>
      <c r="AU699" s="144"/>
      <c r="AV699" s="144"/>
    </row>
    <row r="700" spans="3:48" x14ac:dyDescent="0.25">
      <c r="C700" s="144"/>
      <c r="D700" s="144"/>
      <c r="E700" s="144"/>
      <c r="F700" s="144"/>
      <c r="G700" s="144"/>
      <c r="H700" s="232"/>
      <c r="I700" s="144"/>
      <c r="J700" s="144"/>
      <c r="K700" s="144"/>
      <c r="L700" s="144"/>
      <c r="M700" s="144"/>
      <c r="N700" s="144"/>
      <c r="O700" s="144"/>
      <c r="P700" s="144"/>
      <c r="Q700" s="144"/>
      <c r="R700" s="144"/>
      <c r="S700" s="144"/>
      <c r="T700" s="144"/>
      <c r="U700" s="232"/>
      <c r="V700" s="232"/>
      <c r="W700" s="144"/>
      <c r="X700" s="144"/>
      <c r="Y700" s="144"/>
      <c r="Z700" s="144"/>
      <c r="AA700" s="144"/>
      <c r="AB700" s="144"/>
      <c r="AC700" s="144"/>
      <c r="AD700" s="144"/>
      <c r="AE700" s="232"/>
      <c r="AF700" s="144"/>
      <c r="AG700" s="144"/>
      <c r="AH700" s="232"/>
      <c r="AI700" s="232"/>
      <c r="AJ700" s="144"/>
      <c r="AK700" s="144"/>
      <c r="AL700" s="144"/>
      <c r="AM700" s="144"/>
      <c r="AN700" s="144"/>
      <c r="AO700" s="144"/>
      <c r="AP700" s="144"/>
      <c r="AQ700" s="144"/>
      <c r="AR700" s="144"/>
      <c r="AS700" s="144"/>
      <c r="AT700" s="144"/>
      <c r="AU700" s="144"/>
      <c r="AV700" s="144"/>
    </row>
    <row r="701" spans="3:48" x14ac:dyDescent="0.25">
      <c r="C701" s="144"/>
      <c r="D701" s="144"/>
      <c r="E701" s="144"/>
      <c r="F701" s="144"/>
      <c r="G701" s="144"/>
      <c r="H701" s="232"/>
      <c r="I701" s="144"/>
      <c r="J701" s="144"/>
      <c r="K701" s="144"/>
      <c r="L701" s="144"/>
      <c r="M701" s="144"/>
      <c r="N701" s="144"/>
      <c r="O701" s="144"/>
      <c r="P701" s="144"/>
      <c r="Q701" s="144"/>
      <c r="R701" s="144"/>
      <c r="S701" s="144"/>
      <c r="T701" s="144"/>
      <c r="U701" s="232"/>
      <c r="V701" s="232"/>
      <c r="W701" s="144"/>
      <c r="X701" s="144"/>
      <c r="Y701" s="144"/>
      <c r="Z701" s="144"/>
      <c r="AA701" s="144"/>
      <c r="AB701" s="144"/>
      <c r="AC701" s="144"/>
      <c r="AD701" s="144"/>
      <c r="AE701" s="232"/>
      <c r="AF701" s="144"/>
      <c r="AG701" s="144"/>
      <c r="AH701" s="232"/>
      <c r="AI701" s="232"/>
      <c r="AJ701" s="144"/>
      <c r="AK701" s="144"/>
      <c r="AL701" s="144"/>
      <c r="AM701" s="144"/>
      <c r="AN701" s="144"/>
      <c r="AO701" s="144"/>
      <c r="AP701" s="144"/>
      <c r="AQ701" s="144"/>
      <c r="AR701" s="144"/>
      <c r="AS701" s="144"/>
      <c r="AT701" s="144"/>
      <c r="AU701" s="144"/>
      <c r="AV701" s="144"/>
    </row>
    <row r="702" spans="3:48" x14ac:dyDescent="0.25">
      <c r="C702" s="144"/>
      <c r="D702" s="144"/>
      <c r="E702" s="144"/>
      <c r="F702" s="144"/>
      <c r="G702" s="144"/>
      <c r="H702" s="232"/>
      <c r="I702" s="144"/>
      <c r="J702" s="144"/>
      <c r="K702" s="144"/>
      <c r="L702" s="144"/>
      <c r="M702" s="144"/>
      <c r="N702" s="144"/>
      <c r="O702" s="144"/>
      <c r="P702" s="144"/>
      <c r="Q702" s="144"/>
      <c r="R702" s="144"/>
      <c r="S702" s="144"/>
      <c r="T702" s="144"/>
      <c r="U702" s="232"/>
      <c r="V702" s="232"/>
      <c r="W702" s="144"/>
      <c r="X702" s="144"/>
      <c r="Y702" s="144"/>
      <c r="Z702" s="144"/>
      <c r="AA702" s="144"/>
      <c r="AB702" s="144"/>
      <c r="AC702" s="144"/>
      <c r="AD702" s="144"/>
      <c r="AE702" s="232"/>
      <c r="AF702" s="144"/>
      <c r="AG702" s="144"/>
      <c r="AH702" s="232"/>
      <c r="AI702" s="232"/>
      <c r="AJ702" s="144"/>
      <c r="AK702" s="144"/>
      <c r="AL702" s="144"/>
      <c r="AM702" s="144"/>
      <c r="AN702" s="144"/>
      <c r="AO702" s="144"/>
      <c r="AP702" s="144"/>
      <c r="AQ702" s="144"/>
      <c r="AR702" s="144"/>
      <c r="AS702" s="144"/>
      <c r="AT702" s="144"/>
      <c r="AU702" s="144"/>
      <c r="AV702" s="144"/>
    </row>
    <row r="703" spans="3:48" x14ac:dyDescent="0.25">
      <c r="C703" s="144"/>
      <c r="D703" s="144"/>
      <c r="E703" s="144"/>
      <c r="F703" s="144"/>
      <c r="G703" s="144"/>
      <c r="H703" s="232"/>
      <c r="I703" s="144"/>
      <c r="J703" s="144"/>
      <c r="K703" s="144"/>
      <c r="L703" s="144"/>
      <c r="M703" s="144"/>
      <c r="N703" s="144"/>
      <c r="O703" s="144"/>
      <c r="P703" s="144"/>
      <c r="Q703" s="144"/>
      <c r="R703" s="144"/>
      <c r="S703" s="144"/>
      <c r="T703" s="144"/>
      <c r="U703" s="232"/>
      <c r="V703" s="232"/>
      <c r="W703" s="144"/>
      <c r="X703" s="144"/>
      <c r="Y703" s="144"/>
      <c r="Z703" s="144"/>
      <c r="AA703" s="144"/>
      <c r="AB703" s="144"/>
      <c r="AC703" s="144"/>
      <c r="AD703" s="144"/>
      <c r="AE703" s="232"/>
      <c r="AF703" s="144"/>
      <c r="AG703" s="144"/>
      <c r="AH703" s="232"/>
      <c r="AI703" s="232"/>
      <c r="AJ703" s="144"/>
      <c r="AK703" s="144"/>
      <c r="AL703" s="144"/>
      <c r="AM703" s="144"/>
      <c r="AN703" s="144"/>
      <c r="AO703" s="144"/>
      <c r="AP703" s="144"/>
      <c r="AQ703" s="144"/>
      <c r="AR703" s="144"/>
      <c r="AS703" s="144"/>
      <c r="AT703" s="144"/>
      <c r="AU703" s="144"/>
      <c r="AV703" s="144"/>
    </row>
    <row r="704" spans="3:48" x14ac:dyDescent="0.25">
      <c r="C704" s="144"/>
      <c r="D704" s="144"/>
      <c r="E704" s="144"/>
      <c r="F704" s="144"/>
      <c r="G704" s="144"/>
      <c r="H704" s="232"/>
      <c r="I704" s="144"/>
      <c r="J704" s="144"/>
      <c r="K704" s="144"/>
      <c r="L704" s="144"/>
      <c r="M704" s="144"/>
      <c r="N704" s="144"/>
      <c r="O704" s="144"/>
      <c r="P704" s="144"/>
      <c r="Q704" s="144"/>
      <c r="R704" s="144"/>
      <c r="S704" s="144"/>
      <c r="T704" s="144"/>
      <c r="U704" s="232"/>
      <c r="V704" s="232"/>
      <c r="W704" s="144"/>
      <c r="X704" s="144"/>
      <c r="Y704" s="144"/>
      <c r="Z704" s="144"/>
      <c r="AA704" s="144"/>
      <c r="AB704" s="144"/>
      <c r="AC704" s="144"/>
      <c r="AD704" s="144"/>
      <c r="AE704" s="232"/>
      <c r="AF704" s="144"/>
      <c r="AG704" s="144"/>
      <c r="AH704" s="232"/>
      <c r="AI704" s="232"/>
      <c r="AJ704" s="144"/>
      <c r="AK704" s="144"/>
      <c r="AL704" s="144"/>
      <c r="AM704" s="144"/>
      <c r="AN704" s="144"/>
      <c r="AO704" s="144"/>
      <c r="AP704" s="144"/>
      <c r="AQ704" s="144"/>
      <c r="AR704" s="144"/>
      <c r="AS704" s="144"/>
      <c r="AT704" s="144"/>
      <c r="AU704" s="144"/>
      <c r="AV704" s="144"/>
    </row>
    <row r="705" spans="3:48" x14ac:dyDescent="0.25">
      <c r="C705" s="144"/>
      <c r="D705" s="144"/>
      <c r="E705" s="144"/>
      <c r="F705" s="144"/>
      <c r="G705" s="144"/>
      <c r="H705" s="232"/>
      <c r="I705" s="144"/>
      <c r="J705" s="144"/>
      <c r="K705" s="144"/>
      <c r="L705" s="144"/>
      <c r="M705" s="144"/>
      <c r="N705" s="144"/>
      <c r="O705" s="144"/>
      <c r="P705" s="144"/>
      <c r="Q705" s="144"/>
      <c r="R705" s="144"/>
      <c r="S705" s="144"/>
      <c r="T705" s="144"/>
      <c r="U705" s="232"/>
      <c r="V705" s="232"/>
      <c r="W705" s="144"/>
      <c r="X705" s="144"/>
      <c r="Y705" s="144"/>
      <c r="Z705" s="144"/>
      <c r="AA705" s="144"/>
      <c r="AB705" s="144"/>
      <c r="AC705" s="144"/>
      <c r="AD705" s="144"/>
      <c r="AE705" s="232"/>
      <c r="AF705" s="144"/>
      <c r="AG705" s="144"/>
      <c r="AH705" s="232"/>
      <c r="AI705" s="232"/>
      <c r="AJ705" s="144"/>
      <c r="AK705" s="144"/>
      <c r="AL705" s="144"/>
      <c r="AM705" s="144"/>
      <c r="AN705" s="144"/>
      <c r="AO705" s="144"/>
      <c r="AP705" s="144"/>
      <c r="AQ705" s="144"/>
      <c r="AR705" s="144"/>
      <c r="AS705" s="144"/>
      <c r="AT705" s="144"/>
      <c r="AU705" s="144"/>
      <c r="AV705" s="144"/>
    </row>
    <row r="706" spans="3:48" x14ac:dyDescent="0.25">
      <c r="C706" s="144"/>
      <c r="D706" s="144"/>
      <c r="E706" s="144"/>
      <c r="F706" s="144"/>
      <c r="G706" s="144"/>
      <c r="H706" s="232"/>
      <c r="I706" s="144"/>
      <c r="J706" s="144"/>
      <c r="K706" s="144"/>
      <c r="L706" s="144"/>
      <c r="M706" s="144"/>
      <c r="N706" s="144"/>
      <c r="O706" s="144"/>
      <c r="P706" s="144"/>
      <c r="Q706" s="144"/>
      <c r="R706" s="144"/>
      <c r="S706" s="144"/>
      <c r="T706" s="144"/>
      <c r="U706" s="232"/>
      <c r="V706" s="232"/>
      <c r="W706" s="144"/>
      <c r="X706" s="144"/>
      <c r="Y706" s="144"/>
      <c r="Z706" s="144"/>
      <c r="AA706" s="144"/>
      <c r="AB706" s="144"/>
      <c r="AC706" s="144"/>
      <c r="AD706" s="144"/>
      <c r="AE706" s="232"/>
      <c r="AF706" s="144"/>
      <c r="AG706" s="144"/>
      <c r="AH706" s="232"/>
      <c r="AI706" s="232"/>
      <c r="AJ706" s="144"/>
      <c r="AK706" s="144"/>
      <c r="AL706" s="144"/>
      <c r="AM706" s="144"/>
      <c r="AN706" s="144"/>
      <c r="AO706" s="144"/>
      <c r="AP706" s="144"/>
      <c r="AQ706" s="144"/>
      <c r="AR706" s="144"/>
      <c r="AS706" s="144"/>
      <c r="AT706" s="144"/>
      <c r="AU706" s="144"/>
      <c r="AV706" s="144"/>
    </row>
    <row r="707" spans="3:48" x14ac:dyDescent="0.25">
      <c r="C707" s="144"/>
      <c r="D707" s="144"/>
      <c r="E707" s="144"/>
      <c r="F707" s="144"/>
      <c r="G707" s="144"/>
      <c r="H707" s="232"/>
      <c r="I707" s="144"/>
      <c r="J707" s="144"/>
      <c r="K707" s="144"/>
      <c r="L707" s="144"/>
      <c r="M707" s="144"/>
      <c r="N707" s="144"/>
      <c r="O707" s="144"/>
      <c r="P707" s="144"/>
      <c r="Q707" s="144"/>
      <c r="R707" s="144"/>
      <c r="S707" s="144"/>
      <c r="T707" s="144"/>
      <c r="U707" s="232"/>
      <c r="V707" s="232"/>
      <c r="W707" s="144"/>
      <c r="X707" s="144"/>
      <c r="Y707" s="144"/>
      <c r="Z707" s="144"/>
      <c r="AA707" s="144"/>
      <c r="AB707" s="144"/>
      <c r="AC707" s="144"/>
      <c r="AD707" s="144"/>
      <c r="AE707" s="232"/>
      <c r="AF707" s="144"/>
      <c r="AG707" s="144"/>
      <c r="AH707" s="232"/>
      <c r="AI707" s="232"/>
      <c r="AJ707" s="144"/>
      <c r="AK707" s="144"/>
      <c r="AL707" s="144"/>
      <c r="AM707" s="144"/>
      <c r="AN707" s="144"/>
      <c r="AO707" s="144"/>
      <c r="AP707" s="144"/>
      <c r="AQ707" s="144"/>
      <c r="AR707" s="144"/>
      <c r="AS707" s="144"/>
      <c r="AT707" s="144"/>
      <c r="AU707" s="144"/>
      <c r="AV707" s="144"/>
    </row>
    <row r="708" spans="3:48" x14ac:dyDescent="0.25">
      <c r="C708" s="144"/>
      <c r="D708" s="144"/>
      <c r="E708" s="144"/>
      <c r="F708" s="144"/>
      <c r="G708" s="144"/>
      <c r="H708" s="232"/>
      <c r="I708" s="144"/>
      <c r="J708" s="144"/>
      <c r="K708" s="144"/>
      <c r="L708" s="144"/>
      <c r="M708" s="144"/>
      <c r="N708" s="144"/>
      <c r="O708" s="144"/>
      <c r="P708" s="144"/>
      <c r="Q708" s="144"/>
      <c r="R708" s="144"/>
      <c r="S708" s="144"/>
      <c r="T708" s="144"/>
      <c r="U708" s="232"/>
      <c r="V708" s="232"/>
      <c r="W708" s="144"/>
      <c r="X708" s="144"/>
      <c r="Y708" s="144"/>
      <c r="Z708" s="144"/>
      <c r="AA708" s="144"/>
      <c r="AB708" s="144"/>
      <c r="AC708" s="144"/>
      <c r="AD708" s="144"/>
      <c r="AE708" s="232"/>
      <c r="AF708" s="144"/>
      <c r="AG708" s="144"/>
      <c r="AH708" s="232"/>
      <c r="AI708" s="232"/>
      <c r="AJ708" s="144"/>
      <c r="AK708" s="144"/>
      <c r="AL708" s="144"/>
      <c r="AM708" s="144"/>
      <c r="AN708" s="144"/>
      <c r="AO708" s="144"/>
      <c r="AP708" s="144"/>
      <c r="AQ708" s="144"/>
      <c r="AR708" s="144"/>
      <c r="AS708" s="144"/>
      <c r="AT708" s="144"/>
      <c r="AU708" s="144"/>
      <c r="AV708" s="144"/>
    </row>
    <row r="709" spans="3:48" x14ac:dyDescent="0.25">
      <c r="C709" s="144"/>
      <c r="D709" s="144"/>
      <c r="E709" s="144"/>
      <c r="F709" s="144"/>
      <c r="G709" s="144"/>
      <c r="H709" s="232"/>
      <c r="I709" s="144"/>
      <c r="J709" s="144"/>
      <c r="K709" s="144"/>
      <c r="L709" s="144"/>
      <c r="M709" s="144"/>
      <c r="N709" s="144"/>
      <c r="O709" s="144"/>
      <c r="P709" s="144"/>
      <c r="Q709" s="144"/>
      <c r="R709" s="144"/>
      <c r="S709" s="144"/>
      <c r="T709" s="144"/>
      <c r="U709" s="232"/>
      <c r="V709" s="232"/>
      <c r="W709" s="144"/>
      <c r="X709" s="144"/>
      <c r="Y709" s="144"/>
      <c r="Z709" s="144"/>
      <c r="AA709" s="144"/>
      <c r="AB709" s="144"/>
      <c r="AC709" s="144"/>
      <c r="AD709" s="144"/>
      <c r="AE709" s="232"/>
      <c r="AF709" s="144"/>
      <c r="AG709" s="144"/>
      <c r="AH709" s="232"/>
      <c r="AI709" s="232"/>
      <c r="AJ709" s="144"/>
      <c r="AK709" s="144"/>
      <c r="AL709" s="144"/>
      <c r="AM709" s="144"/>
      <c r="AN709" s="144"/>
      <c r="AO709" s="144"/>
      <c r="AP709" s="144"/>
      <c r="AQ709" s="144"/>
      <c r="AR709" s="144"/>
      <c r="AS709" s="144"/>
      <c r="AT709" s="144"/>
      <c r="AU709" s="144"/>
      <c r="AV709" s="144"/>
    </row>
    <row r="710" spans="3:48" x14ac:dyDescent="0.25">
      <c r="C710" s="144"/>
      <c r="D710" s="144"/>
      <c r="E710" s="144"/>
      <c r="F710" s="144"/>
      <c r="G710" s="144"/>
      <c r="H710" s="232"/>
      <c r="I710" s="144"/>
      <c r="J710" s="144"/>
      <c r="K710" s="144"/>
      <c r="L710" s="144"/>
      <c r="M710" s="144"/>
      <c r="N710" s="144"/>
      <c r="O710" s="144"/>
      <c r="P710" s="144"/>
      <c r="Q710" s="144"/>
      <c r="R710" s="144"/>
      <c r="S710" s="144"/>
      <c r="T710" s="144"/>
      <c r="U710" s="232"/>
      <c r="V710" s="232"/>
      <c r="W710" s="144"/>
      <c r="X710" s="144"/>
      <c r="Y710" s="144"/>
      <c r="Z710" s="144"/>
      <c r="AA710" s="144"/>
      <c r="AB710" s="144"/>
      <c r="AC710" s="144"/>
      <c r="AD710" s="144"/>
      <c r="AE710" s="232"/>
      <c r="AF710" s="144"/>
      <c r="AG710" s="144"/>
      <c r="AH710" s="232"/>
      <c r="AI710" s="232"/>
      <c r="AJ710" s="144"/>
      <c r="AK710" s="144"/>
      <c r="AL710" s="144"/>
      <c r="AM710" s="144"/>
      <c r="AN710" s="144"/>
      <c r="AO710" s="144"/>
      <c r="AP710" s="144"/>
      <c r="AQ710" s="144"/>
      <c r="AR710" s="144"/>
      <c r="AS710" s="144"/>
      <c r="AT710" s="144"/>
      <c r="AU710" s="144"/>
      <c r="AV710" s="144"/>
    </row>
    <row r="711" spans="3:48" x14ac:dyDescent="0.25">
      <c r="C711" s="144"/>
      <c r="D711" s="144"/>
      <c r="E711" s="144"/>
      <c r="F711" s="144"/>
      <c r="G711" s="144"/>
      <c r="H711" s="232"/>
      <c r="I711" s="144"/>
      <c r="J711" s="144"/>
      <c r="K711" s="144"/>
      <c r="L711" s="144"/>
      <c r="M711" s="144"/>
      <c r="N711" s="144"/>
      <c r="O711" s="144"/>
      <c r="P711" s="144"/>
      <c r="Q711" s="144"/>
      <c r="R711" s="144"/>
      <c r="S711" s="144"/>
      <c r="T711" s="144"/>
      <c r="U711" s="232"/>
      <c r="V711" s="232"/>
      <c r="W711" s="144"/>
      <c r="X711" s="144"/>
      <c r="Y711" s="144"/>
      <c r="Z711" s="144"/>
      <c r="AA711" s="144"/>
      <c r="AB711" s="144"/>
      <c r="AC711" s="144"/>
      <c r="AD711" s="144"/>
      <c r="AE711" s="232"/>
      <c r="AF711" s="144"/>
      <c r="AG711" s="144"/>
      <c r="AH711" s="232"/>
      <c r="AI711" s="232"/>
      <c r="AJ711" s="144"/>
      <c r="AK711" s="144"/>
      <c r="AL711" s="144"/>
      <c r="AM711" s="144"/>
      <c r="AN711" s="144"/>
      <c r="AO711" s="144"/>
      <c r="AP711" s="144"/>
      <c r="AQ711" s="144"/>
      <c r="AR711" s="144"/>
      <c r="AS711" s="144"/>
      <c r="AT711" s="144"/>
      <c r="AU711" s="144"/>
      <c r="AV711" s="144"/>
    </row>
    <row r="712" spans="3:48" x14ac:dyDescent="0.25">
      <c r="C712" s="144"/>
      <c r="D712" s="144"/>
      <c r="E712" s="144"/>
      <c r="F712" s="144"/>
      <c r="G712" s="144"/>
      <c r="H712" s="232"/>
      <c r="I712" s="144"/>
      <c r="J712" s="144"/>
      <c r="K712" s="144"/>
      <c r="L712" s="144"/>
      <c r="M712" s="144"/>
      <c r="N712" s="144"/>
      <c r="O712" s="144"/>
      <c r="P712" s="144"/>
      <c r="Q712" s="144"/>
      <c r="R712" s="144"/>
      <c r="S712" s="144"/>
      <c r="T712" s="144"/>
      <c r="U712" s="232"/>
      <c r="V712" s="232"/>
      <c r="W712" s="144"/>
      <c r="X712" s="144"/>
      <c r="Y712" s="144"/>
      <c r="Z712" s="144"/>
      <c r="AA712" s="144"/>
      <c r="AB712" s="144"/>
      <c r="AC712" s="144"/>
      <c r="AD712" s="144"/>
      <c r="AE712" s="232"/>
      <c r="AF712" s="144"/>
      <c r="AG712" s="144"/>
      <c r="AH712" s="232"/>
      <c r="AI712" s="232"/>
      <c r="AJ712" s="144"/>
      <c r="AK712" s="144"/>
      <c r="AL712" s="144"/>
      <c r="AM712" s="144"/>
      <c r="AN712" s="144"/>
      <c r="AO712" s="144"/>
      <c r="AP712" s="144"/>
      <c r="AQ712" s="144"/>
      <c r="AR712" s="144"/>
      <c r="AS712" s="144"/>
      <c r="AT712" s="144"/>
      <c r="AU712" s="144"/>
      <c r="AV712" s="144"/>
    </row>
    <row r="713" spans="3:48" x14ac:dyDescent="0.25">
      <c r="C713" s="144"/>
      <c r="D713" s="144"/>
      <c r="E713" s="144"/>
      <c r="F713" s="144"/>
      <c r="G713" s="144"/>
      <c r="H713" s="232"/>
      <c r="I713" s="144"/>
      <c r="J713" s="144"/>
      <c r="K713" s="144"/>
      <c r="L713" s="144"/>
      <c r="M713" s="144"/>
      <c r="N713" s="144"/>
      <c r="O713" s="144"/>
      <c r="P713" s="144"/>
      <c r="Q713" s="144"/>
      <c r="R713" s="144"/>
      <c r="S713" s="144"/>
      <c r="T713" s="144"/>
      <c r="U713" s="232"/>
      <c r="V713" s="232"/>
      <c r="W713" s="144"/>
      <c r="X713" s="144"/>
      <c r="Y713" s="144"/>
      <c r="Z713" s="144"/>
      <c r="AA713" s="144"/>
      <c r="AB713" s="144"/>
      <c r="AC713" s="144"/>
      <c r="AD713" s="144"/>
      <c r="AE713" s="232"/>
      <c r="AF713" s="144"/>
      <c r="AG713" s="144"/>
      <c r="AH713" s="232"/>
      <c r="AI713" s="232"/>
      <c r="AJ713" s="144"/>
      <c r="AK713" s="144"/>
      <c r="AL713" s="144"/>
      <c r="AM713" s="144"/>
      <c r="AN713" s="144"/>
      <c r="AO713" s="144"/>
      <c r="AP713" s="144"/>
      <c r="AQ713" s="144"/>
      <c r="AR713" s="144"/>
      <c r="AS713" s="144"/>
      <c r="AT713" s="144"/>
      <c r="AU713" s="144"/>
      <c r="AV713" s="144"/>
    </row>
    <row r="714" spans="3:48" x14ac:dyDescent="0.25">
      <c r="C714" s="144"/>
      <c r="D714" s="144"/>
      <c r="E714" s="144"/>
      <c r="F714" s="144"/>
      <c r="G714" s="144"/>
      <c r="H714" s="232"/>
      <c r="I714" s="144"/>
      <c r="J714" s="144"/>
      <c r="K714" s="144"/>
      <c r="L714" s="144"/>
      <c r="M714" s="144"/>
      <c r="N714" s="144"/>
      <c r="O714" s="144"/>
      <c r="P714" s="144"/>
      <c r="Q714" s="144"/>
      <c r="R714" s="144"/>
      <c r="S714" s="144"/>
      <c r="T714" s="144"/>
      <c r="U714" s="232"/>
      <c r="V714" s="232"/>
      <c r="W714" s="144"/>
      <c r="X714" s="144"/>
      <c r="Y714" s="144"/>
      <c r="Z714" s="144"/>
      <c r="AA714" s="144"/>
      <c r="AB714" s="144"/>
      <c r="AC714" s="144"/>
      <c r="AD714" s="144"/>
      <c r="AE714" s="232"/>
      <c r="AF714" s="144"/>
      <c r="AG714" s="144"/>
      <c r="AH714" s="232"/>
      <c r="AI714" s="232"/>
      <c r="AJ714" s="144"/>
      <c r="AK714" s="144"/>
      <c r="AL714" s="144"/>
      <c r="AM714" s="144"/>
      <c r="AN714" s="144"/>
      <c r="AO714" s="144"/>
      <c r="AP714" s="144"/>
      <c r="AQ714" s="144"/>
      <c r="AR714" s="144"/>
      <c r="AS714" s="144"/>
      <c r="AT714" s="144"/>
      <c r="AU714" s="144"/>
      <c r="AV714" s="144"/>
    </row>
    <row r="715" spans="3:48" x14ac:dyDescent="0.25">
      <c r="C715" s="144"/>
      <c r="D715" s="144"/>
      <c r="E715" s="144"/>
      <c r="F715" s="144"/>
      <c r="G715" s="144"/>
      <c r="H715" s="232"/>
      <c r="I715" s="144"/>
      <c r="J715" s="144"/>
      <c r="K715" s="144"/>
      <c r="L715" s="144"/>
      <c r="M715" s="144"/>
      <c r="N715" s="144"/>
      <c r="O715" s="144"/>
      <c r="P715" s="144"/>
      <c r="Q715" s="144"/>
      <c r="R715" s="144"/>
      <c r="S715" s="144"/>
      <c r="T715" s="144"/>
      <c r="U715" s="232"/>
      <c r="V715" s="232"/>
      <c r="W715" s="144"/>
      <c r="X715" s="144"/>
      <c r="Y715" s="144"/>
      <c r="Z715" s="144"/>
      <c r="AA715" s="144"/>
      <c r="AB715" s="144"/>
      <c r="AC715" s="144"/>
      <c r="AD715" s="144"/>
      <c r="AE715" s="232"/>
      <c r="AF715" s="144"/>
      <c r="AG715" s="144"/>
      <c r="AH715" s="232"/>
      <c r="AI715" s="232"/>
      <c r="AJ715" s="144"/>
      <c r="AK715" s="144"/>
      <c r="AL715" s="144"/>
      <c r="AM715" s="144"/>
      <c r="AN715" s="144"/>
      <c r="AO715" s="144"/>
      <c r="AP715" s="144"/>
      <c r="AQ715" s="144"/>
      <c r="AR715" s="144"/>
      <c r="AS715" s="144"/>
      <c r="AT715" s="144"/>
      <c r="AU715" s="144"/>
      <c r="AV715" s="144"/>
    </row>
    <row r="716" spans="3:48" x14ac:dyDescent="0.25">
      <c r="C716" s="144"/>
      <c r="D716" s="144"/>
      <c r="E716" s="144"/>
      <c r="F716" s="144"/>
      <c r="G716" s="144"/>
      <c r="H716" s="232"/>
      <c r="I716" s="144"/>
      <c r="J716" s="144"/>
      <c r="K716" s="144"/>
      <c r="L716" s="144"/>
      <c r="M716" s="144"/>
      <c r="N716" s="144"/>
      <c r="O716" s="144"/>
      <c r="P716" s="144"/>
      <c r="Q716" s="144"/>
      <c r="R716" s="144"/>
      <c r="S716" s="144"/>
      <c r="T716" s="144"/>
      <c r="U716" s="232"/>
      <c r="V716" s="232"/>
      <c r="W716" s="144"/>
      <c r="X716" s="144"/>
      <c r="Y716" s="144"/>
      <c r="Z716" s="144"/>
      <c r="AA716" s="144"/>
      <c r="AB716" s="144"/>
      <c r="AC716" s="144"/>
      <c r="AD716" s="144"/>
      <c r="AE716" s="232"/>
      <c r="AF716" s="144"/>
      <c r="AG716" s="144"/>
      <c r="AH716" s="232"/>
      <c r="AI716" s="232"/>
      <c r="AJ716" s="144"/>
      <c r="AK716" s="144"/>
      <c r="AL716" s="144"/>
      <c r="AM716" s="144"/>
      <c r="AN716" s="144"/>
      <c r="AO716" s="144"/>
      <c r="AP716" s="144"/>
      <c r="AQ716" s="144"/>
      <c r="AR716" s="144"/>
      <c r="AS716" s="144"/>
      <c r="AT716" s="144"/>
      <c r="AU716" s="144"/>
      <c r="AV716" s="144"/>
    </row>
    <row r="717" spans="3:48" x14ac:dyDescent="0.25">
      <c r="C717" s="144"/>
      <c r="D717" s="144"/>
      <c r="E717" s="144"/>
      <c r="F717" s="144"/>
      <c r="G717" s="144"/>
      <c r="H717" s="232"/>
      <c r="I717" s="144"/>
      <c r="J717" s="144"/>
      <c r="K717" s="144"/>
      <c r="L717" s="144"/>
      <c r="M717" s="144"/>
      <c r="N717" s="144"/>
      <c r="O717" s="144"/>
      <c r="P717" s="144"/>
      <c r="Q717" s="144"/>
      <c r="R717" s="144"/>
      <c r="S717" s="144"/>
      <c r="T717" s="144"/>
      <c r="U717" s="232"/>
      <c r="V717" s="232"/>
      <c r="W717" s="144"/>
      <c r="X717" s="144"/>
      <c r="Y717" s="144"/>
      <c r="Z717" s="144"/>
      <c r="AA717" s="144"/>
      <c r="AB717" s="144"/>
      <c r="AC717" s="144"/>
      <c r="AD717" s="144"/>
      <c r="AE717" s="232"/>
      <c r="AF717" s="144"/>
      <c r="AG717" s="144"/>
      <c r="AH717" s="232"/>
      <c r="AI717" s="232"/>
      <c r="AJ717" s="144"/>
      <c r="AK717" s="144"/>
      <c r="AL717" s="144"/>
      <c r="AM717" s="144"/>
      <c r="AN717" s="144"/>
      <c r="AO717" s="144"/>
      <c r="AP717" s="144"/>
      <c r="AQ717" s="144"/>
      <c r="AR717" s="144"/>
      <c r="AS717" s="144"/>
      <c r="AT717" s="144"/>
      <c r="AU717" s="144"/>
      <c r="AV717" s="144"/>
    </row>
    <row r="718" spans="3:48" x14ac:dyDescent="0.25">
      <c r="C718" s="144"/>
      <c r="D718" s="144"/>
      <c r="E718" s="144"/>
      <c r="F718" s="144"/>
      <c r="G718" s="144"/>
      <c r="H718" s="232"/>
      <c r="I718" s="144"/>
      <c r="J718" s="144"/>
      <c r="K718" s="144"/>
      <c r="L718" s="144"/>
      <c r="M718" s="144"/>
      <c r="N718" s="144"/>
      <c r="O718" s="144"/>
      <c r="P718" s="144"/>
      <c r="Q718" s="144"/>
      <c r="R718" s="144"/>
      <c r="S718" s="144"/>
      <c r="T718" s="144"/>
      <c r="U718" s="232"/>
      <c r="V718" s="232"/>
      <c r="W718" s="144"/>
      <c r="X718" s="144"/>
      <c r="Y718" s="144"/>
      <c r="Z718" s="144"/>
      <c r="AA718" s="144"/>
      <c r="AB718" s="144"/>
      <c r="AC718" s="144"/>
      <c r="AD718" s="144"/>
      <c r="AE718" s="232"/>
      <c r="AF718" s="144"/>
      <c r="AG718" s="144"/>
      <c r="AH718" s="232"/>
      <c r="AI718" s="232"/>
      <c r="AJ718" s="144"/>
      <c r="AK718" s="144"/>
      <c r="AL718" s="144"/>
      <c r="AM718" s="144"/>
      <c r="AN718" s="144"/>
      <c r="AO718" s="144"/>
      <c r="AP718" s="144"/>
      <c r="AQ718" s="144"/>
      <c r="AR718" s="144"/>
      <c r="AS718" s="144"/>
      <c r="AT718" s="144"/>
      <c r="AU718" s="144"/>
      <c r="AV718" s="144"/>
    </row>
    <row r="719" spans="3:48" x14ac:dyDescent="0.25">
      <c r="C719" s="144"/>
      <c r="D719" s="144"/>
      <c r="E719" s="144"/>
      <c r="F719" s="144"/>
      <c r="G719" s="144"/>
      <c r="H719" s="232"/>
      <c r="I719" s="144"/>
      <c r="J719" s="144"/>
      <c r="K719" s="144"/>
      <c r="L719" s="144"/>
      <c r="M719" s="144"/>
      <c r="N719" s="144"/>
      <c r="O719" s="144"/>
      <c r="P719" s="144"/>
      <c r="Q719" s="144"/>
      <c r="R719" s="144"/>
      <c r="S719" s="144"/>
      <c r="T719" s="144"/>
      <c r="U719" s="232"/>
      <c r="V719" s="232"/>
      <c r="W719" s="144"/>
      <c r="X719" s="144"/>
      <c r="Y719" s="144"/>
      <c r="Z719" s="144"/>
      <c r="AA719" s="144"/>
      <c r="AB719" s="144"/>
      <c r="AC719" s="144"/>
      <c r="AD719" s="144"/>
      <c r="AE719" s="232"/>
      <c r="AF719" s="144"/>
      <c r="AG719" s="144"/>
      <c r="AH719" s="232"/>
      <c r="AI719" s="232"/>
      <c r="AJ719" s="144"/>
      <c r="AK719" s="144"/>
      <c r="AL719" s="144"/>
      <c r="AM719" s="144"/>
      <c r="AN719" s="144"/>
      <c r="AO719" s="144"/>
      <c r="AP719" s="144"/>
      <c r="AQ719" s="144"/>
      <c r="AR719" s="144"/>
      <c r="AS719" s="144"/>
      <c r="AT719" s="144"/>
      <c r="AU719" s="144"/>
      <c r="AV719" s="144"/>
    </row>
    <row r="720" spans="3:48" x14ac:dyDescent="0.25">
      <c r="C720" s="144"/>
      <c r="D720" s="144"/>
      <c r="E720" s="144"/>
      <c r="F720" s="144"/>
      <c r="G720" s="144"/>
      <c r="H720" s="232"/>
      <c r="I720" s="144"/>
      <c r="J720" s="144"/>
      <c r="K720" s="144"/>
      <c r="L720" s="144"/>
      <c r="M720" s="144"/>
      <c r="N720" s="144"/>
      <c r="O720" s="144"/>
      <c r="P720" s="144"/>
      <c r="Q720" s="144"/>
      <c r="R720" s="144"/>
      <c r="S720" s="144"/>
      <c r="T720" s="144"/>
      <c r="U720" s="232"/>
      <c r="V720" s="232"/>
      <c r="W720" s="144"/>
      <c r="X720" s="144"/>
      <c r="Y720" s="144"/>
      <c r="Z720" s="144"/>
      <c r="AA720" s="144"/>
      <c r="AB720" s="144"/>
      <c r="AC720" s="144"/>
      <c r="AD720" s="144"/>
      <c r="AE720" s="232"/>
      <c r="AF720" s="144"/>
      <c r="AG720" s="144"/>
      <c r="AH720" s="232"/>
      <c r="AI720" s="232"/>
      <c r="AJ720" s="144"/>
      <c r="AK720" s="144"/>
      <c r="AL720" s="144"/>
      <c r="AM720" s="144"/>
      <c r="AN720" s="144"/>
      <c r="AO720" s="144"/>
      <c r="AP720" s="144"/>
      <c r="AQ720" s="144"/>
      <c r="AR720" s="144"/>
      <c r="AS720" s="144"/>
      <c r="AT720" s="144"/>
      <c r="AU720" s="144"/>
      <c r="AV720" s="144"/>
    </row>
    <row r="721" spans="3:48" x14ac:dyDescent="0.25">
      <c r="C721" s="144"/>
      <c r="D721" s="144"/>
      <c r="E721" s="144"/>
      <c r="F721" s="144"/>
      <c r="G721" s="144"/>
      <c r="H721" s="232"/>
      <c r="I721" s="144"/>
      <c r="J721" s="144"/>
      <c r="K721" s="144"/>
      <c r="L721" s="144"/>
      <c r="M721" s="144"/>
      <c r="N721" s="144"/>
      <c r="O721" s="144"/>
      <c r="P721" s="144"/>
      <c r="Q721" s="144"/>
      <c r="R721" s="144"/>
      <c r="S721" s="144"/>
      <c r="T721" s="144"/>
      <c r="U721" s="232"/>
      <c r="V721" s="232"/>
      <c r="W721" s="144"/>
      <c r="X721" s="144"/>
      <c r="Y721" s="144"/>
      <c r="Z721" s="144"/>
      <c r="AA721" s="144"/>
      <c r="AB721" s="144"/>
      <c r="AC721" s="144"/>
      <c r="AD721" s="144"/>
      <c r="AE721" s="232"/>
      <c r="AF721" s="144"/>
      <c r="AG721" s="144"/>
      <c r="AH721" s="232"/>
      <c r="AI721" s="232"/>
      <c r="AJ721" s="144"/>
      <c r="AK721" s="144"/>
      <c r="AL721" s="144"/>
      <c r="AM721" s="144"/>
      <c r="AN721" s="144"/>
      <c r="AO721" s="144"/>
      <c r="AP721" s="144"/>
      <c r="AQ721" s="144"/>
      <c r="AR721" s="144"/>
      <c r="AS721" s="144"/>
      <c r="AT721" s="144"/>
      <c r="AU721" s="144"/>
      <c r="AV721" s="144"/>
    </row>
    <row r="722" spans="3:48" x14ac:dyDescent="0.25">
      <c r="C722" s="144"/>
      <c r="D722" s="144"/>
      <c r="E722" s="144"/>
      <c r="F722" s="144"/>
      <c r="G722" s="144"/>
      <c r="H722" s="232"/>
      <c r="I722" s="144"/>
      <c r="J722" s="144"/>
      <c r="K722" s="144"/>
      <c r="L722" s="144"/>
      <c r="M722" s="144"/>
      <c r="N722" s="144"/>
      <c r="O722" s="144"/>
      <c r="P722" s="144"/>
      <c r="Q722" s="144"/>
      <c r="R722" s="144"/>
      <c r="S722" s="144"/>
      <c r="T722" s="144"/>
      <c r="U722" s="232"/>
      <c r="V722" s="232"/>
      <c r="W722" s="144"/>
      <c r="X722" s="144"/>
      <c r="Y722" s="144"/>
      <c r="Z722" s="144"/>
      <c r="AA722" s="144"/>
      <c r="AB722" s="144"/>
      <c r="AC722" s="144"/>
      <c r="AD722" s="144"/>
      <c r="AE722" s="232"/>
      <c r="AF722" s="144"/>
      <c r="AG722" s="144"/>
      <c r="AH722" s="232"/>
      <c r="AI722" s="232"/>
      <c r="AJ722" s="144"/>
      <c r="AK722" s="144"/>
      <c r="AL722" s="144"/>
      <c r="AM722" s="144"/>
      <c r="AN722" s="144"/>
      <c r="AO722" s="144"/>
      <c r="AP722" s="144"/>
      <c r="AQ722" s="144"/>
      <c r="AR722" s="144"/>
      <c r="AS722" s="144"/>
      <c r="AT722" s="144"/>
      <c r="AU722" s="144"/>
      <c r="AV722" s="144"/>
    </row>
    <row r="723" spans="3:48" x14ac:dyDescent="0.25">
      <c r="C723" s="144"/>
      <c r="D723" s="144"/>
      <c r="E723" s="144"/>
      <c r="F723" s="144"/>
      <c r="G723" s="144"/>
      <c r="H723" s="232"/>
      <c r="I723" s="144"/>
      <c r="J723" s="144"/>
      <c r="K723" s="144"/>
      <c r="L723" s="144"/>
      <c r="M723" s="144"/>
      <c r="N723" s="144"/>
      <c r="O723" s="144"/>
      <c r="P723" s="144"/>
      <c r="Q723" s="144"/>
      <c r="R723" s="144"/>
      <c r="S723" s="144"/>
      <c r="T723" s="144"/>
      <c r="U723" s="232"/>
      <c r="V723" s="232"/>
      <c r="W723" s="144"/>
      <c r="X723" s="144"/>
      <c r="Y723" s="144"/>
      <c r="Z723" s="144"/>
      <c r="AA723" s="144"/>
      <c r="AB723" s="144"/>
      <c r="AC723" s="144"/>
      <c r="AD723" s="144"/>
      <c r="AE723" s="232"/>
      <c r="AF723" s="144"/>
      <c r="AG723" s="144"/>
      <c r="AH723" s="232"/>
      <c r="AI723" s="232"/>
      <c r="AJ723" s="144"/>
      <c r="AK723" s="144"/>
      <c r="AL723" s="144"/>
      <c r="AM723" s="144"/>
      <c r="AN723" s="144"/>
      <c r="AO723" s="144"/>
      <c r="AP723" s="144"/>
      <c r="AQ723" s="144"/>
      <c r="AR723" s="144"/>
      <c r="AS723" s="144"/>
      <c r="AT723" s="144"/>
      <c r="AU723" s="144"/>
      <c r="AV723" s="144"/>
    </row>
    <row r="724" spans="3:48" x14ac:dyDescent="0.25">
      <c r="C724" s="144"/>
      <c r="D724" s="144"/>
      <c r="E724" s="144"/>
      <c r="F724" s="144"/>
      <c r="G724" s="144"/>
      <c r="H724" s="232"/>
      <c r="I724" s="144"/>
      <c r="J724" s="144"/>
      <c r="K724" s="144"/>
      <c r="L724" s="144"/>
      <c r="M724" s="144"/>
      <c r="N724" s="144"/>
      <c r="O724" s="144"/>
      <c r="P724" s="144"/>
      <c r="Q724" s="144"/>
      <c r="R724" s="144"/>
      <c r="S724" s="144"/>
      <c r="T724" s="144"/>
      <c r="U724" s="232"/>
      <c r="V724" s="232"/>
      <c r="W724" s="144"/>
      <c r="X724" s="144"/>
      <c r="Y724" s="144"/>
      <c r="Z724" s="144"/>
      <c r="AA724" s="144"/>
      <c r="AB724" s="144"/>
      <c r="AC724" s="144"/>
      <c r="AD724" s="144"/>
      <c r="AE724" s="232"/>
      <c r="AF724" s="144"/>
      <c r="AG724" s="144"/>
      <c r="AH724" s="232"/>
      <c r="AI724" s="232"/>
      <c r="AJ724" s="144"/>
      <c r="AK724" s="144"/>
      <c r="AL724" s="144"/>
      <c r="AM724" s="144"/>
      <c r="AN724" s="144"/>
      <c r="AO724" s="144"/>
      <c r="AP724" s="144"/>
      <c r="AQ724" s="144"/>
      <c r="AR724" s="144"/>
      <c r="AS724" s="144"/>
      <c r="AT724" s="144"/>
      <c r="AU724" s="144"/>
      <c r="AV724" s="144"/>
    </row>
    <row r="725" spans="3:48" x14ac:dyDescent="0.25">
      <c r="C725" s="144"/>
      <c r="D725" s="144"/>
      <c r="E725" s="144"/>
      <c r="F725" s="144"/>
      <c r="G725" s="144"/>
      <c r="H725" s="232"/>
      <c r="I725" s="144"/>
      <c r="J725" s="144"/>
      <c r="K725" s="144"/>
      <c r="L725" s="144"/>
      <c r="M725" s="144"/>
      <c r="N725" s="144"/>
      <c r="O725" s="144"/>
      <c r="P725" s="144"/>
      <c r="Q725" s="144"/>
      <c r="R725" s="144"/>
      <c r="S725" s="144"/>
      <c r="T725" s="144"/>
      <c r="U725" s="232"/>
      <c r="V725" s="232"/>
      <c r="W725" s="144"/>
      <c r="X725" s="144"/>
      <c r="Y725" s="144"/>
      <c r="Z725" s="144"/>
      <c r="AA725" s="144"/>
      <c r="AB725" s="144"/>
      <c r="AC725" s="144"/>
      <c r="AD725" s="144"/>
      <c r="AE725" s="232"/>
      <c r="AF725" s="144"/>
      <c r="AG725" s="144"/>
      <c r="AH725" s="232"/>
      <c r="AI725" s="232"/>
      <c r="AJ725" s="144"/>
      <c r="AK725" s="144"/>
      <c r="AL725" s="144"/>
      <c r="AM725" s="144"/>
      <c r="AN725" s="144"/>
      <c r="AO725" s="144"/>
      <c r="AP725" s="144"/>
      <c r="AQ725" s="144"/>
      <c r="AR725" s="144"/>
      <c r="AS725" s="144"/>
      <c r="AT725" s="144"/>
      <c r="AU725" s="144"/>
      <c r="AV725" s="144"/>
    </row>
    <row r="726" spans="3:48" x14ac:dyDescent="0.25">
      <c r="C726" s="144"/>
      <c r="D726" s="144"/>
      <c r="E726" s="144"/>
      <c r="F726" s="144"/>
      <c r="G726" s="144"/>
      <c r="H726" s="232"/>
      <c r="I726" s="144"/>
      <c r="J726" s="144"/>
      <c r="K726" s="144"/>
      <c r="L726" s="144"/>
      <c r="M726" s="144"/>
      <c r="N726" s="144"/>
      <c r="O726" s="144"/>
      <c r="P726" s="144"/>
      <c r="Q726" s="144"/>
      <c r="R726" s="144"/>
      <c r="S726" s="144"/>
      <c r="T726" s="144"/>
      <c r="U726" s="232"/>
      <c r="V726" s="232"/>
      <c r="W726" s="144"/>
      <c r="X726" s="144"/>
      <c r="Y726" s="144"/>
      <c r="Z726" s="144"/>
      <c r="AA726" s="144"/>
      <c r="AB726" s="144"/>
      <c r="AC726" s="144"/>
      <c r="AD726" s="144"/>
      <c r="AE726" s="232"/>
      <c r="AF726" s="144"/>
      <c r="AG726" s="144"/>
      <c r="AH726" s="232"/>
      <c r="AI726" s="232"/>
      <c r="AJ726" s="144"/>
      <c r="AK726" s="144"/>
      <c r="AL726" s="144"/>
      <c r="AM726" s="144"/>
      <c r="AN726" s="144"/>
      <c r="AO726" s="144"/>
      <c r="AP726" s="144"/>
      <c r="AQ726" s="144"/>
      <c r="AR726" s="144"/>
      <c r="AS726" s="144"/>
      <c r="AT726" s="144"/>
      <c r="AU726" s="144"/>
      <c r="AV726" s="144"/>
    </row>
    <row r="727" spans="3:48" x14ac:dyDescent="0.25">
      <c r="C727" s="144"/>
      <c r="D727" s="144"/>
      <c r="E727" s="144"/>
      <c r="F727" s="144"/>
      <c r="G727" s="144"/>
      <c r="H727" s="232"/>
      <c r="I727" s="144"/>
      <c r="J727" s="144"/>
      <c r="K727" s="144"/>
      <c r="L727" s="144"/>
      <c r="M727" s="144"/>
      <c r="N727" s="144"/>
      <c r="O727" s="144"/>
      <c r="P727" s="144"/>
      <c r="Q727" s="144"/>
      <c r="R727" s="144"/>
      <c r="S727" s="144"/>
      <c r="T727" s="144"/>
      <c r="U727" s="232"/>
      <c r="V727" s="232"/>
      <c r="W727" s="144"/>
      <c r="X727" s="144"/>
      <c r="Y727" s="144"/>
      <c r="Z727" s="144"/>
      <c r="AA727" s="144"/>
      <c r="AB727" s="144"/>
      <c r="AC727" s="144"/>
      <c r="AD727" s="144"/>
      <c r="AE727" s="232"/>
      <c r="AF727" s="144"/>
      <c r="AG727" s="144"/>
      <c r="AH727" s="232"/>
      <c r="AI727" s="232"/>
      <c r="AJ727" s="144"/>
      <c r="AK727" s="144"/>
      <c r="AL727" s="144"/>
      <c r="AM727" s="144"/>
      <c r="AN727" s="144"/>
      <c r="AO727" s="144"/>
      <c r="AP727" s="144"/>
      <c r="AQ727" s="144"/>
      <c r="AR727" s="144"/>
      <c r="AS727" s="144"/>
      <c r="AT727" s="144"/>
      <c r="AU727" s="144"/>
      <c r="AV727" s="144"/>
    </row>
    <row r="728" spans="3:48" x14ac:dyDescent="0.25">
      <c r="C728" s="144"/>
      <c r="D728" s="144"/>
      <c r="E728" s="144"/>
      <c r="F728" s="144"/>
      <c r="G728" s="144"/>
      <c r="H728" s="232"/>
      <c r="I728" s="144"/>
      <c r="J728" s="144"/>
      <c r="K728" s="144"/>
      <c r="L728" s="144"/>
      <c r="M728" s="144"/>
      <c r="N728" s="144"/>
      <c r="O728" s="144"/>
      <c r="P728" s="144"/>
      <c r="Q728" s="144"/>
      <c r="R728" s="144"/>
      <c r="S728" s="144"/>
      <c r="T728" s="144"/>
      <c r="U728" s="232"/>
      <c r="V728" s="232"/>
      <c r="W728" s="144"/>
      <c r="X728" s="144"/>
      <c r="Y728" s="144"/>
      <c r="Z728" s="144"/>
      <c r="AA728" s="144"/>
      <c r="AB728" s="144"/>
      <c r="AC728" s="144"/>
      <c r="AD728" s="144"/>
      <c r="AE728" s="232"/>
      <c r="AF728" s="144"/>
      <c r="AG728" s="144"/>
      <c r="AH728" s="232"/>
      <c r="AI728" s="232"/>
      <c r="AJ728" s="144"/>
      <c r="AK728" s="144"/>
      <c r="AL728" s="144"/>
      <c r="AM728" s="144"/>
      <c r="AN728" s="144"/>
      <c r="AO728" s="144"/>
      <c r="AP728" s="144"/>
      <c r="AQ728" s="144"/>
      <c r="AR728" s="144"/>
      <c r="AS728" s="144"/>
      <c r="AT728" s="144"/>
      <c r="AU728" s="144"/>
      <c r="AV728" s="144"/>
    </row>
    <row r="729" spans="3:48" x14ac:dyDescent="0.25">
      <c r="C729" s="144"/>
      <c r="D729" s="144"/>
      <c r="E729" s="144"/>
      <c r="F729" s="144"/>
      <c r="G729" s="144"/>
      <c r="H729" s="232"/>
      <c r="I729" s="144"/>
      <c r="J729" s="144"/>
      <c r="K729" s="144"/>
      <c r="L729" s="144"/>
      <c r="M729" s="144"/>
      <c r="N729" s="144"/>
      <c r="O729" s="144"/>
      <c r="P729" s="144"/>
      <c r="Q729" s="144"/>
      <c r="R729" s="144"/>
      <c r="S729" s="144"/>
      <c r="T729" s="144"/>
      <c r="U729" s="232"/>
      <c r="V729" s="232"/>
      <c r="W729" s="144"/>
      <c r="X729" s="144"/>
      <c r="Y729" s="144"/>
      <c r="Z729" s="144"/>
      <c r="AA729" s="144"/>
      <c r="AB729" s="144"/>
      <c r="AC729" s="144"/>
      <c r="AD729" s="144"/>
      <c r="AE729" s="232"/>
      <c r="AF729" s="144"/>
      <c r="AG729" s="144"/>
      <c r="AH729" s="232"/>
      <c r="AI729" s="232"/>
      <c r="AJ729" s="144"/>
      <c r="AK729" s="144"/>
      <c r="AL729" s="144"/>
      <c r="AM729" s="144"/>
      <c r="AN729" s="144"/>
      <c r="AO729" s="144"/>
      <c r="AP729" s="144"/>
      <c r="AQ729" s="144"/>
      <c r="AR729" s="144"/>
      <c r="AS729" s="144"/>
      <c r="AT729" s="144"/>
      <c r="AU729" s="144"/>
      <c r="AV729" s="144"/>
    </row>
    <row r="730" spans="3:48" x14ac:dyDescent="0.25">
      <c r="C730" s="144"/>
      <c r="D730" s="144"/>
      <c r="E730" s="144"/>
      <c r="F730" s="144"/>
      <c r="G730" s="144"/>
      <c r="H730" s="232"/>
      <c r="I730" s="144"/>
      <c r="J730" s="144"/>
      <c r="K730" s="144"/>
      <c r="L730" s="144"/>
      <c r="M730" s="144"/>
      <c r="N730" s="144"/>
      <c r="O730" s="144"/>
      <c r="P730" s="144"/>
      <c r="Q730" s="144"/>
      <c r="R730" s="144"/>
      <c r="S730" s="144"/>
      <c r="T730" s="144"/>
      <c r="U730" s="232"/>
      <c r="V730" s="232"/>
      <c r="W730" s="144"/>
      <c r="X730" s="144"/>
      <c r="Y730" s="144"/>
      <c r="Z730" s="144"/>
      <c r="AA730" s="144"/>
      <c r="AB730" s="144"/>
      <c r="AC730" s="144"/>
      <c r="AD730" s="144"/>
      <c r="AE730" s="232"/>
      <c r="AF730" s="144"/>
      <c r="AG730" s="144"/>
      <c r="AH730" s="232"/>
      <c r="AI730" s="232"/>
      <c r="AJ730" s="144"/>
      <c r="AK730" s="144"/>
      <c r="AL730" s="144"/>
      <c r="AM730" s="144"/>
      <c r="AN730" s="144"/>
      <c r="AO730" s="144"/>
      <c r="AP730" s="144"/>
      <c r="AQ730" s="144"/>
      <c r="AR730" s="144"/>
      <c r="AS730" s="144"/>
      <c r="AT730" s="144"/>
      <c r="AU730" s="144"/>
      <c r="AV730" s="144"/>
    </row>
    <row r="731" spans="3:48" x14ac:dyDescent="0.25">
      <c r="C731" s="144"/>
      <c r="D731" s="144"/>
      <c r="E731" s="144"/>
      <c r="F731" s="144"/>
      <c r="G731" s="144"/>
      <c r="H731" s="232"/>
      <c r="I731" s="144"/>
      <c r="J731" s="144"/>
      <c r="K731" s="144"/>
      <c r="L731" s="144"/>
      <c r="M731" s="144"/>
      <c r="N731" s="144"/>
      <c r="O731" s="144"/>
      <c r="P731" s="144"/>
      <c r="Q731" s="144"/>
      <c r="R731" s="144"/>
      <c r="S731" s="144"/>
      <c r="T731" s="144"/>
      <c r="U731" s="232"/>
      <c r="V731" s="232"/>
      <c r="W731" s="144"/>
      <c r="X731" s="144"/>
      <c r="Y731" s="144"/>
      <c r="Z731" s="144"/>
      <c r="AA731" s="144"/>
      <c r="AB731" s="144"/>
      <c r="AC731" s="144"/>
      <c r="AD731" s="144"/>
      <c r="AE731" s="232"/>
      <c r="AF731" s="144"/>
      <c r="AG731" s="144"/>
      <c r="AH731" s="232"/>
      <c r="AI731" s="232"/>
      <c r="AJ731" s="144"/>
      <c r="AK731" s="144"/>
      <c r="AL731" s="144"/>
      <c r="AM731" s="144"/>
      <c r="AN731" s="144"/>
      <c r="AO731" s="144"/>
      <c r="AP731" s="144"/>
      <c r="AQ731" s="144"/>
      <c r="AR731" s="144"/>
      <c r="AS731" s="144"/>
      <c r="AT731" s="144"/>
      <c r="AU731" s="144"/>
      <c r="AV731" s="144"/>
    </row>
    <row r="732" spans="3:48" x14ac:dyDescent="0.25">
      <c r="C732" s="144"/>
      <c r="D732" s="144"/>
      <c r="E732" s="144"/>
      <c r="F732" s="144"/>
      <c r="G732" s="144"/>
      <c r="H732" s="232"/>
      <c r="I732" s="144"/>
      <c r="J732" s="144"/>
      <c r="K732" s="144"/>
      <c r="L732" s="144"/>
      <c r="M732" s="144"/>
      <c r="N732" s="144"/>
      <c r="O732" s="144"/>
      <c r="P732" s="144"/>
      <c r="Q732" s="144"/>
      <c r="R732" s="144"/>
      <c r="S732" s="144"/>
      <c r="T732" s="144"/>
      <c r="U732" s="232"/>
      <c r="V732" s="232"/>
      <c r="W732" s="144"/>
      <c r="X732" s="144"/>
      <c r="Y732" s="144"/>
      <c r="Z732" s="144"/>
      <c r="AA732" s="144"/>
      <c r="AB732" s="144"/>
      <c r="AC732" s="144"/>
      <c r="AD732" s="144"/>
      <c r="AE732" s="232"/>
      <c r="AF732" s="144"/>
      <c r="AG732" s="144"/>
      <c r="AH732" s="232"/>
      <c r="AI732" s="232"/>
      <c r="AJ732" s="144"/>
      <c r="AK732" s="144"/>
      <c r="AL732" s="144"/>
      <c r="AM732" s="144"/>
      <c r="AN732" s="144"/>
      <c r="AO732" s="144"/>
      <c r="AP732" s="144"/>
      <c r="AQ732" s="144"/>
      <c r="AR732" s="144"/>
      <c r="AS732" s="144"/>
      <c r="AT732" s="144"/>
      <c r="AU732" s="144"/>
      <c r="AV732" s="144"/>
    </row>
    <row r="733" spans="3:48" x14ac:dyDescent="0.25">
      <c r="C733" s="144"/>
      <c r="D733" s="144"/>
      <c r="E733" s="144"/>
      <c r="F733" s="144"/>
      <c r="G733" s="144"/>
      <c r="H733" s="232"/>
      <c r="I733" s="144"/>
      <c r="J733" s="144"/>
      <c r="K733" s="144"/>
      <c r="L733" s="144"/>
      <c r="M733" s="144"/>
      <c r="N733" s="144"/>
      <c r="O733" s="144"/>
      <c r="P733" s="144"/>
      <c r="Q733" s="144"/>
      <c r="R733" s="144"/>
      <c r="S733" s="144"/>
      <c r="T733" s="144"/>
      <c r="U733" s="232"/>
      <c r="V733" s="232"/>
      <c r="W733" s="144"/>
      <c r="X733" s="144"/>
      <c r="Y733" s="144"/>
      <c r="Z733" s="144"/>
      <c r="AA733" s="144"/>
      <c r="AB733" s="144"/>
      <c r="AC733" s="144"/>
      <c r="AD733" s="144"/>
      <c r="AE733" s="232"/>
      <c r="AF733" s="144"/>
      <c r="AG733" s="144"/>
      <c r="AH733" s="232"/>
      <c r="AI733" s="232"/>
      <c r="AJ733" s="144"/>
      <c r="AK733" s="144"/>
      <c r="AL733" s="144"/>
      <c r="AM733" s="144"/>
      <c r="AN733" s="144"/>
      <c r="AO733" s="144"/>
      <c r="AP733" s="144"/>
      <c r="AQ733" s="144"/>
      <c r="AR733" s="144"/>
      <c r="AS733" s="144"/>
      <c r="AT733" s="144"/>
      <c r="AU733" s="144"/>
      <c r="AV733" s="144"/>
    </row>
    <row r="734" spans="3:48" x14ac:dyDescent="0.25">
      <c r="C734" s="144"/>
      <c r="D734" s="144"/>
      <c r="E734" s="144"/>
      <c r="F734" s="144"/>
      <c r="G734" s="144"/>
      <c r="H734" s="232"/>
      <c r="I734" s="144"/>
      <c r="J734" s="144"/>
      <c r="K734" s="144"/>
      <c r="L734" s="144"/>
      <c r="M734" s="144"/>
      <c r="N734" s="144"/>
      <c r="O734" s="144"/>
      <c r="P734" s="144"/>
      <c r="Q734" s="144"/>
      <c r="R734" s="144"/>
      <c r="S734" s="144"/>
      <c r="T734" s="144"/>
      <c r="U734" s="232"/>
      <c r="V734" s="232"/>
      <c r="W734" s="144"/>
      <c r="X734" s="144"/>
      <c r="Y734" s="144"/>
      <c r="Z734" s="144"/>
      <c r="AA734" s="144"/>
      <c r="AB734" s="144"/>
      <c r="AC734" s="144"/>
      <c r="AD734" s="144"/>
      <c r="AE734" s="232"/>
      <c r="AF734" s="144"/>
      <c r="AG734" s="144"/>
      <c r="AH734" s="232"/>
      <c r="AI734" s="232"/>
      <c r="AJ734" s="144"/>
      <c r="AK734" s="144"/>
      <c r="AL734" s="144"/>
      <c r="AM734" s="144"/>
      <c r="AN734" s="144"/>
      <c r="AO734" s="144"/>
      <c r="AP734" s="144"/>
      <c r="AQ734" s="144"/>
      <c r="AR734" s="144"/>
      <c r="AS734" s="144"/>
      <c r="AT734" s="144"/>
      <c r="AU734" s="144"/>
      <c r="AV734" s="144"/>
    </row>
    <row r="735" spans="3:48" x14ac:dyDescent="0.25">
      <c r="C735" s="144"/>
      <c r="D735" s="144"/>
      <c r="E735" s="144"/>
      <c r="F735" s="144"/>
      <c r="G735" s="144"/>
      <c r="H735" s="232"/>
      <c r="I735" s="144"/>
      <c r="J735" s="144"/>
      <c r="K735" s="144"/>
      <c r="L735" s="144"/>
      <c r="M735" s="144"/>
      <c r="N735" s="144"/>
      <c r="O735" s="144"/>
      <c r="P735" s="144"/>
      <c r="Q735" s="144"/>
      <c r="R735" s="144"/>
      <c r="S735" s="144"/>
      <c r="T735" s="144"/>
      <c r="U735" s="232"/>
      <c r="V735" s="232"/>
      <c r="W735" s="144"/>
      <c r="X735" s="144"/>
      <c r="Y735" s="144"/>
      <c r="Z735" s="144"/>
      <c r="AA735" s="144"/>
      <c r="AB735" s="144"/>
      <c r="AC735" s="144"/>
      <c r="AD735" s="144"/>
      <c r="AE735" s="232"/>
      <c r="AF735" s="144"/>
      <c r="AG735" s="144"/>
      <c r="AH735" s="232"/>
      <c r="AI735" s="232"/>
      <c r="AJ735" s="144"/>
      <c r="AK735" s="144"/>
      <c r="AL735" s="144"/>
      <c r="AM735" s="144"/>
      <c r="AN735" s="144"/>
      <c r="AO735" s="144"/>
      <c r="AP735" s="144"/>
      <c r="AQ735" s="144"/>
      <c r="AR735" s="144"/>
      <c r="AS735" s="144"/>
      <c r="AT735" s="144"/>
      <c r="AU735" s="144"/>
      <c r="AV735" s="144"/>
    </row>
    <row r="736" spans="3:48" x14ac:dyDescent="0.25">
      <c r="C736" s="144"/>
      <c r="D736" s="144"/>
      <c r="E736" s="144"/>
      <c r="F736" s="144"/>
      <c r="G736" s="144"/>
      <c r="H736" s="232"/>
      <c r="I736" s="144"/>
      <c r="J736" s="144"/>
      <c r="K736" s="144"/>
      <c r="L736" s="144"/>
      <c r="M736" s="144"/>
      <c r="N736" s="144"/>
      <c r="O736" s="144"/>
      <c r="P736" s="144"/>
      <c r="Q736" s="144"/>
      <c r="R736" s="144"/>
      <c r="S736" s="144"/>
      <c r="T736" s="144"/>
      <c r="U736" s="232"/>
      <c r="V736" s="232"/>
      <c r="W736" s="144"/>
      <c r="X736" s="144"/>
      <c r="Y736" s="144"/>
      <c r="Z736" s="144"/>
      <c r="AA736" s="144"/>
      <c r="AB736" s="144"/>
      <c r="AC736" s="144"/>
      <c r="AD736" s="144"/>
      <c r="AE736" s="232"/>
      <c r="AF736" s="144"/>
      <c r="AG736" s="144"/>
      <c r="AH736" s="232"/>
      <c r="AI736" s="232"/>
      <c r="AJ736" s="144"/>
      <c r="AK736" s="144"/>
      <c r="AL736" s="144"/>
      <c r="AM736" s="144"/>
      <c r="AN736" s="144"/>
      <c r="AO736" s="144"/>
      <c r="AP736" s="144"/>
      <c r="AQ736" s="144"/>
      <c r="AR736" s="144"/>
      <c r="AS736" s="144"/>
      <c r="AT736" s="144"/>
      <c r="AU736" s="144"/>
      <c r="AV736" s="144"/>
    </row>
    <row r="737" spans="3:48" x14ac:dyDescent="0.25">
      <c r="C737" s="144"/>
      <c r="D737" s="144"/>
      <c r="E737" s="144"/>
      <c r="F737" s="144"/>
      <c r="G737" s="144"/>
      <c r="H737" s="232"/>
      <c r="I737" s="144"/>
      <c r="J737" s="144"/>
      <c r="K737" s="144"/>
      <c r="L737" s="144"/>
      <c r="M737" s="144"/>
      <c r="N737" s="144"/>
      <c r="O737" s="144"/>
      <c r="P737" s="144"/>
      <c r="Q737" s="144"/>
      <c r="R737" s="144"/>
      <c r="S737" s="144"/>
      <c r="T737" s="144"/>
      <c r="U737" s="232"/>
      <c r="V737" s="232"/>
      <c r="W737" s="144"/>
      <c r="X737" s="144"/>
      <c r="Y737" s="144"/>
      <c r="Z737" s="144"/>
      <c r="AA737" s="144"/>
      <c r="AB737" s="144"/>
      <c r="AC737" s="144"/>
      <c r="AD737" s="144"/>
      <c r="AE737" s="232"/>
      <c r="AF737" s="144"/>
      <c r="AG737" s="144"/>
      <c r="AH737" s="232"/>
      <c r="AI737" s="232"/>
      <c r="AJ737" s="144"/>
      <c r="AK737" s="144"/>
      <c r="AL737" s="144"/>
      <c r="AM737" s="144"/>
      <c r="AN737" s="144"/>
      <c r="AO737" s="144"/>
      <c r="AP737" s="144"/>
      <c r="AQ737" s="144"/>
      <c r="AR737" s="144"/>
      <c r="AS737" s="144"/>
      <c r="AT737" s="144"/>
      <c r="AU737" s="144"/>
      <c r="AV737" s="144"/>
    </row>
    <row r="738" spans="3:48" x14ac:dyDescent="0.25">
      <c r="C738" s="144"/>
      <c r="D738" s="144"/>
      <c r="E738" s="144"/>
      <c r="F738" s="144"/>
      <c r="G738" s="144"/>
      <c r="H738" s="232"/>
      <c r="I738" s="144"/>
      <c r="J738" s="144"/>
      <c r="K738" s="144"/>
      <c r="L738" s="144"/>
      <c r="M738" s="144"/>
      <c r="N738" s="144"/>
      <c r="O738" s="144"/>
      <c r="P738" s="144"/>
      <c r="Q738" s="144"/>
      <c r="R738" s="144"/>
      <c r="S738" s="144"/>
      <c r="T738" s="144"/>
      <c r="U738" s="232"/>
      <c r="V738" s="232"/>
      <c r="W738" s="144"/>
      <c r="X738" s="144"/>
      <c r="Y738" s="144"/>
      <c r="Z738" s="144"/>
      <c r="AA738" s="144"/>
      <c r="AB738" s="144"/>
      <c r="AC738" s="144"/>
      <c r="AD738" s="144"/>
      <c r="AE738" s="232"/>
      <c r="AF738" s="144"/>
      <c r="AG738" s="144"/>
      <c r="AH738" s="232"/>
      <c r="AI738" s="232"/>
      <c r="AJ738" s="144"/>
      <c r="AK738" s="144"/>
      <c r="AL738" s="144"/>
      <c r="AM738" s="144"/>
      <c r="AN738" s="144"/>
      <c r="AO738" s="144"/>
      <c r="AP738" s="144"/>
      <c r="AQ738" s="144"/>
      <c r="AR738" s="144"/>
      <c r="AS738" s="144"/>
      <c r="AT738" s="144"/>
      <c r="AU738" s="144"/>
      <c r="AV738" s="144"/>
    </row>
    <row r="739" spans="3:48" x14ac:dyDescent="0.25">
      <c r="C739" s="144"/>
      <c r="D739" s="144"/>
      <c r="E739" s="144"/>
      <c r="F739" s="144"/>
      <c r="G739" s="144"/>
      <c r="H739" s="232"/>
      <c r="I739" s="144"/>
      <c r="J739" s="144"/>
      <c r="K739" s="144"/>
      <c r="L739" s="144"/>
      <c r="M739" s="144"/>
      <c r="N739" s="144"/>
      <c r="O739" s="144"/>
      <c r="P739" s="144"/>
      <c r="Q739" s="144"/>
      <c r="R739" s="144"/>
      <c r="S739" s="144"/>
      <c r="T739" s="144"/>
      <c r="U739" s="232"/>
      <c r="V739" s="232"/>
      <c r="W739" s="144"/>
      <c r="X739" s="144"/>
      <c r="Y739" s="144"/>
      <c r="Z739" s="144"/>
      <c r="AA739" s="144"/>
      <c r="AB739" s="144"/>
      <c r="AC739" s="144"/>
      <c r="AD739" s="144"/>
      <c r="AE739" s="232"/>
      <c r="AF739" s="144"/>
      <c r="AG739" s="144"/>
      <c r="AH739" s="232"/>
      <c r="AI739" s="232"/>
      <c r="AJ739" s="144"/>
      <c r="AK739" s="144"/>
      <c r="AL739" s="144"/>
      <c r="AM739" s="144"/>
      <c r="AN739" s="144"/>
      <c r="AO739" s="144"/>
      <c r="AP739" s="144"/>
      <c r="AQ739" s="144"/>
      <c r="AR739" s="144"/>
      <c r="AS739" s="144"/>
      <c r="AT739" s="144"/>
      <c r="AU739" s="144"/>
      <c r="AV739" s="144"/>
    </row>
    <row r="740" spans="3:48" x14ac:dyDescent="0.25">
      <c r="C740" s="144"/>
      <c r="D740" s="144"/>
      <c r="E740" s="144"/>
      <c r="F740" s="144"/>
      <c r="G740" s="144"/>
      <c r="H740" s="232"/>
      <c r="I740" s="144"/>
      <c r="J740" s="144"/>
      <c r="K740" s="144"/>
      <c r="L740" s="144"/>
      <c r="M740" s="144"/>
      <c r="N740" s="144"/>
      <c r="O740" s="144"/>
      <c r="P740" s="144"/>
      <c r="Q740" s="144"/>
      <c r="R740" s="144"/>
      <c r="S740" s="144"/>
      <c r="T740" s="144"/>
      <c r="U740" s="232"/>
      <c r="V740" s="232"/>
      <c r="W740" s="144"/>
      <c r="X740" s="144"/>
      <c r="Y740" s="144"/>
      <c r="Z740" s="144"/>
      <c r="AA740" s="144"/>
      <c r="AB740" s="144"/>
      <c r="AC740" s="144"/>
      <c r="AD740" s="144"/>
      <c r="AE740" s="232"/>
      <c r="AF740" s="144"/>
      <c r="AG740" s="144"/>
      <c r="AH740" s="232"/>
      <c r="AI740" s="232"/>
      <c r="AJ740" s="144"/>
      <c r="AK740" s="144"/>
      <c r="AL740" s="144"/>
      <c r="AM740" s="144"/>
      <c r="AN740" s="144"/>
      <c r="AO740" s="144"/>
      <c r="AP740" s="144"/>
      <c r="AQ740" s="144"/>
      <c r="AR740" s="144"/>
      <c r="AS740" s="144"/>
      <c r="AT740" s="144"/>
      <c r="AU740" s="144"/>
      <c r="AV740" s="144"/>
    </row>
    <row r="741" spans="3:48" x14ac:dyDescent="0.25">
      <c r="C741" s="144"/>
      <c r="D741" s="144"/>
      <c r="E741" s="144"/>
      <c r="F741" s="144"/>
      <c r="G741" s="144"/>
      <c r="H741" s="232"/>
      <c r="I741" s="144"/>
      <c r="J741" s="144"/>
      <c r="K741" s="144"/>
      <c r="L741" s="144"/>
      <c r="M741" s="144"/>
      <c r="N741" s="144"/>
      <c r="O741" s="144"/>
      <c r="P741" s="144"/>
      <c r="Q741" s="144"/>
      <c r="R741" s="144"/>
      <c r="S741" s="144"/>
      <c r="T741" s="144"/>
      <c r="U741" s="232"/>
      <c r="V741" s="232"/>
      <c r="W741" s="144"/>
      <c r="X741" s="144"/>
      <c r="Y741" s="144"/>
      <c r="Z741" s="144"/>
      <c r="AA741" s="144"/>
      <c r="AB741" s="144"/>
      <c r="AC741" s="144"/>
      <c r="AD741" s="144"/>
      <c r="AE741" s="232"/>
      <c r="AF741" s="144"/>
      <c r="AG741" s="144"/>
      <c r="AH741" s="232"/>
      <c r="AI741" s="232"/>
      <c r="AJ741" s="144"/>
      <c r="AK741" s="144"/>
      <c r="AL741" s="144"/>
      <c r="AM741" s="144"/>
      <c r="AN741" s="144"/>
      <c r="AO741" s="144"/>
      <c r="AP741" s="144"/>
      <c r="AQ741" s="144"/>
      <c r="AR741" s="144"/>
      <c r="AS741" s="144"/>
      <c r="AT741" s="144"/>
      <c r="AU741" s="144"/>
      <c r="AV741" s="144"/>
    </row>
    <row r="742" spans="3:48" x14ac:dyDescent="0.25">
      <c r="C742" s="144"/>
      <c r="D742" s="144"/>
      <c r="E742" s="144"/>
      <c r="F742" s="144"/>
      <c r="G742" s="144"/>
      <c r="H742" s="232"/>
      <c r="I742" s="144"/>
      <c r="J742" s="144"/>
      <c r="K742" s="144"/>
      <c r="L742" s="144"/>
      <c r="M742" s="144"/>
      <c r="N742" s="144"/>
      <c r="O742" s="144"/>
      <c r="P742" s="144"/>
      <c r="Q742" s="144"/>
      <c r="R742" s="144"/>
      <c r="S742" s="144"/>
      <c r="T742" s="144"/>
      <c r="U742" s="232"/>
      <c r="V742" s="232"/>
      <c r="W742" s="144"/>
      <c r="X742" s="144"/>
      <c r="Y742" s="144"/>
      <c r="Z742" s="144"/>
      <c r="AA742" s="144"/>
      <c r="AB742" s="144"/>
      <c r="AC742" s="144"/>
      <c r="AD742" s="144"/>
      <c r="AE742" s="232"/>
      <c r="AF742" s="144"/>
      <c r="AG742" s="144"/>
      <c r="AH742" s="232"/>
      <c r="AI742" s="232"/>
      <c r="AJ742" s="144"/>
      <c r="AK742" s="144"/>
      <c r="AL742" s="144"/>
      <c r="AM742" s="144"/>
      <c r="AN742" s="144"/>
      <c r="AO742" s="144"/>
      <c r="AP742" s="144"/>
      <c r="AQ742" s="144"/>
      <c r="AR742" s="144"/>
      <c r="AS742" s="144"/>
      <c r="AT742" s="144"/>
      <c r="AU742" s="144"/>
      <c r="AV742" s="144"/>
    </row>
    <row r="743" spans="3:48" x14ac:dyDescent="0.25">
      <c r="C743" s="144"/>
      <c r="D743" s="144"/>
      <c r="E743" s="144"/>
      <c r="F743" s="144"/>
      <c r="G743" s="144"/>
      <c r="H743" s="232"/>
      <c r="I743" s="144"/>
      <c r="J743" s="144"/>
      <c r="K743" s="144"/>
      <c r="L743" s="144"/>
      <c r="M743" s="144"/>
      <c r="N743" s="144"/>
      <c r="O743" s="144"/>
      <c r="P743" s="144"/>
      <c r="Q743" s="144"/>
      <c r="R743" s="144"/>
      <c r="S743" s="144"/>
      <c r="T743" s="144"/>
      <c r="U743" s="232"/>
      <c r="V743" s="232"/>
      <c r="W743" s="144"/>
      <c r="X743" s="144"/>
      <c r="Y743" s="144"/>
      <c r="Z743" s="144"/>
      <c r="AA743" s="144"/>
      <c r="AB743" s="144"/>
      <c r="AC743" s="144"/>
      <c r="AD743" s="144"/>
      <c r="AE743" s="232"/>
      <c r="AF743" s="144"/>
      <c r="AG743" s="144"/>
      <c r="AH743" s="232"/>
      <c r="AI743" s="232"/>
      <c r="AJ743" s="144"/>
      <c r="AK743" s="144"/>
      <c r="AL743" s="144"/>
      <c r="AM743" s="144"/>
      <c r="AN743" s="144"/>
      <c r="AO743" s="144"/>
      <c r="AP743" s="144"/>
      <c r="AQ743" s="144"/>
      <c r="AR743" s="144"/>
      <c r="AS743" s="144"/>
      <c r="AT743" s="144"/>
      <c r="AU743" s="144"/>
      <c r="AV743" s="144"/>
    </row>
    <row r="744" spans="3:48" x14ac:dyDescent="0.25">
      <c r="C744" s="144"/>
      <c r="D744" s="144"/>
      <c r="E744" s="144"/>
      <c r="F744" s="144"/>
      <c r="G744" s="144"/>
      <c r="H744" s="232"/>
      <c r="I744" s="144"/>
      <c r="J744" s="144"/>
      <c r="K744" s="144"/>
      <c r="L744" s="144"/>
      <c r="M744" s="144"/>
      <c r="N744" s="144"/>
      <c r="O744" s="144"/>
      <c r="P744" s="144"/>
      <c r="Q744" s="144"/>
      <c r="R744" s="144"/>
      <c r="S744" s="144"/>
      <c r="T744" s="144"/>
      <c r="U744" s="232"/>
      <c r="V744" s="232"/>
      <c r="W744" s="144"/>
      <c r="X744" s="144"/>
      <c r="Y744" s="144"/>
      <c r="Z744" s="144"/>
      <c r="AA744" s="144"/>
      <c r="AB744" s="144"/>
      <c r="AC744" s="144"/>
      <c r="AD744" s="144"/>
      <c r="AE744" s="232"/>
      <c r="AF744" s="144"/>
      <c r="AG744" s="144"/>
      <c r="AH744" s="232"/>
      <c r="AI744" s="232"/>
      <c r="AJ744" s="144"/>
      <c r="AK744" s="144"/>
      <c r="AL744" s="144"/>
      <c r="AM744" s="144"/>
      <c r="AN744" s="144"/>
      <c r="AO744" s="144"/>
      <c r="AP744" s="144"/>
      <c r="AQ744" s="144"/>
      <c r="AR744" s="144"/>
      <c r="AS744" s="144"/>
      <c r="AT744" s="144"/>
      <c r="AU744" s="144"/>
      <c r="AV744" s="144"/>
    </row>
    <row r="745" spans="3:48" x14ac:dyDescent="0.25">
      <c r="C745" s="144"/>
      <c r="D745" s="144"/>
      <c r="E745" s="144"/>
      <c r="F745" s="144"/>
      <c r="G745" s="144"/>
      <c r="H745" s="232"/>
      <c r="I745" s="144"/>
      <c r="J745" s="144"/>
      <c r="K745" s="144"/>
      <c r="L745" s="144"/>
      <c r="M745" s="144"/>
      <c r="N745" s="144"/>
      <c r="O745" s="144"/>
      <c r="P745" s="144"/>
      <c r="Q745" s="144"/>
      <c r="R745" s="144"/>
      <c r="S745" s="144"/>
      <c r="T745" s="144"/>
      <c r="U745" s="232"/>
      <c r="V745" s="232"/>
      <c r="W745" s="144"/>
      <c r="X745" s="144"/>
      <c r="Y745" s="144"/>
      <c r="Z745" s="144"/>
      <c r="AA745" s="144"/>
      <c r="AB745" s="144"/>
      <c r="AC745" s="144"/>
      <c r="AD745" s="144"/>
      <c r="AE745" s="232"/>
      <c r="AF745" s="144"/>
      <c r="AG745" s="144"/>
      <c r="AH745" s="232"/>
      <c r="AI745" s="232"/>
      <c r="AJ745" s="144"/>
      <c r="AK745" s="144"/>
      <c r="AL745" s="144"/>
      <c r="AM745" s="144"/>
      <c r="AN745" s="144"/>
      <c r="AO745" s="144"/>
      <c r="AP745" s="144"/>
      <c r="AQ745" s="144"/>
      <c r="AR745" s="144"/>
      <c r="AS745" s="144"/>
      <c r="AT745" s="144"/>
      <c r="AU745" s="144"/>
      <c r="AV745" s="144"/>
    </row>
    <row r="746" spans="3:48" x14ac:dyDescent="0.25">
      <c r="C746" s="144"/>
      <c r="D746" s="144"/>
      <c r="E746" s="144"/>
      <c r="F746" s="144"/>
      <c r="G746" s="144"/>
      <c r="H746" s="232"/>
      <c r="I746" s="144"/>
      <c r="J746" s="144"/>
      <c r="K746" s="144"/>
      <c r="L746" s="144"/>
      <c r="M746" s="144"/>
      <c r="N746" s="144"/>
      <c r="O746" s="144"/>
      <c r="P746" s="144"/>
      <c r="Q746" s="144"/>
      <c r="R746" s="144"/>
      <c r="S746" s="144"/>
      <c r="T746" s="144"/>
      <c r="U746" s="232"/>
      <c r="V746" s="232"/>
      <c r="W746" s="144"/>
      <c r="X746" s="144"/>
      <c r="Y746" s="144"/>
      <c r="Z746" s="144"/>
      <c r="AA746" s="144"/>
      <c r="AB746" s="144"/>
      <c r="AC746" s="144"/>
      <c r="AD746" s="144"/>
      <c r="AE746" s="232"/>
      <c r="AF746" s="144"/>
      <c r="AG746" s="144"/>
      <c r="AH746" s="232"/>
      <c r="AI746" s="232"/>
      <c r="AJ746" s="144"/>
      <c r="AK746" s="144"/>
      <c r="AL746" s="144"/>
      <c r="AM746" s="144"/>
      <c r="AN746" s="144"/>
      <c r="AO746" s="144"/>
      <c r="AP746" s="144"/>
      <c r="AQ746" s="144"/>
      <c r="AR746" s="144"/>
      <c r="AS746" s="144"/>
      <c r="AT746" s="144"/>
      <c r="AU746" s="144"/>
      <c r="AV746" s="144"/>
    </row>
    <row r="747" spans="3:48" x14ac:dyDescent="0.25">
      <c r="C747" s="144"/>
      <c r="D747" s="144"/>
      <c r="E747" s="144"/>
      <c r="F747" s="144"/>
      <c r="G747" s="144"/>
      <c r="H747" s="232"/>
      <c r="I747" s="144"/>
      <c r="J747" s="144"/>
      <c r="K747" s="144"/>
      <c r="L747" s="144"/>
      <c r="M747" s="144"/>
      <c r="N747" s="144"/>
      <c r="O747" s="144"/>
      <c r="P747" s="144"/>
      <c r="Q747" s="144"/>
      <c r="R747" s="144"/>
      <c r="S747" s="144"/>
      <c r="T747" s="144"/>
      <c r="U747" s="232"/>
      <c r="V747" s="232"/>
      <c r="W747" s="144"/>
      <c r="X747" s="144"/>
      <c r="Y747" s="144"/>
      <c r="Z747" s="144"/>
      <c r="AA747" s="144"/>
      <c r="AB747" s="144"/>
      <c r="AC747" s="144"/>
      <c r="AD747" s="144"/>
      <c r="AE747" s="232"/>
      <c r="AF747" s="144"/>
      <c r="AG747" s="144"/>
      <c r="AH747" s="232"/>
      <c r="AI747" s="232"/>
      <c r="AJ747" s="144"/>
      <c r="AK747" s="144"/>
      <c r="AL747" s="144"/>
      <c r="AM747" s="144"/>
      <c r="AN747" s="144"/>
      <c r="AO747" s="144"/>
      <c r="AP747" s="144"/>
      <c r="AQ747" s="144"/>
      <c r="AR747" s="144"/>
      <c r="AS747" s="144"/>
      <c r="AT747" s="144"/>
      <c r="AU747" s="144"/>
      <c r="AV747" s="144"/>
    </row>
    <row r="748" spans="3:48" x14ac:dyDescent="0.25">
      <c r="C748" s="144"/>
      <c r="D748" s="144"/>
      <c r="E748" s="144"/>
      <c r="F748" s="144"/>
      <c r="G748" s="144"/>
      <c r="H748" s="232"/>
      <c r="I748" s="144"/>
      <c r="J748" s="144"/>
      <c r="K748" s="144"/>
      <c r="L748" s="144"/>
      <c r="M748" s="144"/>
      <c r="N748" s="144"/>
      <c r="O748" s="144"/>
      <c r="P748" s="144"/>
      <c r="Q748" s="144"/>
      <c r="R748" s="144"/>
      <c r="S748" s="144"/>
      <c r="T748" s="144"/>
      <c r="U748" s="232"/>
      <c r="V748" s="232"/>
      <c r="W748" s="144"/>
      <c r="X748" s="144"/>
      <c r="Y748" s="144"/>
      <c r="Z748" s="144"/>
      <c r="AA748" s="144"/>
      <c r="AB748" s="144"/>
      <c r="AC748" s="144"/>
      <c r="AD748" s="144"/>
      <c r="AE748" s="232"/>
      <c r="AF748" s="144"/>
      <c r="AG748" s="144"/>
      <c r="AH748" s="232"/>
      <c r="AI748" s="232"/>
      <c r="AJ748" s="144"/>
      <c r="AK748" s="144"/>
      <c r="AL748" s="144"/>
      <c r="AM748" s="144"/>
      <c r="AN748" s="144"/>
      <c r="AO748" s="144"/>
      <c r="AP748" s="144"/>
      <c r="AQ748" s="144"/>
      <c r="AR748" s="144"/>
      <c r="AS748" s="144"/>
      <c r="AT748" s="144"/>
      <c r="AU748" s="144"/>
      <c r="AV748" s="144"/>
    </row>
    <row r="749" spans="3:48" x14ac:dyDescent="0.25">
      <c r="C749" s="144"/>
      <c r="D749" s="144"/>
      <c r="E749" s="144"/>
      <c r="F749" s="144"/>
      <c r="G749" s="144"/>
      <c r="H749" s="232"/>
      <c r="I749" s="144"/>
      <c r="J749" s="144"/>
      <c r="K749" s="144"/>
      <c r="L749" s="144"/>
      <c r="M749" s="144"/>
      <c r="N749" s="144"/>
      <c r="O749" s="144"/>
      <c r="P749" s="144"/>
      <c r="Q749" s="144"/>
      <c r="R749" s="144"/>
      <c r="S749" s="144"/>
      <c r="T749" s="144"/>
      <c r="U749" s="232"/>
      <c r="V749" s="232"/>
      <c r="W749" s="144"/>
      <c r="X749" s="144"/>
      <c r="Y749" s="144"/>
      <c r="Z749" s="144"/>
      <c r="AA749" s="144"/>
      <c r="AB749" s="144"/>
      <c r="AC749" s="144"/>
      <c r="AD749" s="144"/>
      <c r="AE749" s="232"/>
      <c r="AF749" s="144"/>
      <c r="AG749" s="144"/>
      <c r="AH749" s="232"/>
      <c r="AI749" s="232"/>
      <c r="AJ749" s="144"/>
      <c r="AK749" s="144"/>
      <c r="AL749" s="144"/>
      <c r="AM749" s="144"/>
      <c r="AN749" s="144"/>
      <c r="AO749" s="144"/>
      <c r="AP749" s="144"/>
      <c r="AQ749" s="144"/>
      <c r="AR749" s="144"/>
      <c r="AS749" s="144"/>
      <c r="AT749" s="144"/>
      <c r="AU749" s="144"/>
      <c r="AV749" s="144"/>
    </row>
    <row r="750" spans="3:48" x14ac:dyDescent="0.25">
      <c r="C750" s="144"/>
      <c r="D750" s="144"/>
      <c r="E750" s="144"/>
      <c r="F750" s="144"/>
      <c r="G750" s="144"/>
      <c r="H750" s="232"/>
      <c r="I750" s="144"/>
      <c r="J750" s="144"/>
      <c r="K750" s="144"/>
      <c r="L750" s="144"/>
      <c r="M750" s="144"/>
      <c r="N750" s="144"/>
      <c r="O750" s="144"/>
      <c r="P750" s="144"/>
      <c r="Q750" s="144"/>
      <c r="R750" s="144"/>
      <c r="S750" s="144"/>
      <c r="T750" s="144"/>
      <c r="U750" s="232"/>
      <c r="V750" s="232"/>
      <c r="W750" s="144"/>
      <c r="X750" s="144"/>
      <c r="Y750" s="144"/>
      <c r="Z750" s="144"/>
      <c r="AA750" s="144"/>
      <c r="AB750" s="144"/>
      <c r="AC750" s="144"/>
      <c r="AD750" s="144"/>
      <c r="AE750" s="232"/>
      <c r="AF750" s="144"/>
      <c r="AG750" s="144"/>
      <c r="AH750" s="232"/>
      <c r="AI750" s="232"/>
      <c r="AJ750" s="144"/>
      <c r="AK750" s="144"/>
      <c r="AL750" s="144"/>
      <c r="AM750" s="144"/>
      <c r="AN750" s="144"/>
      <c r="AO750" s="144"/>
      <c r="AP750" s="144"/>
      <c r="AQ750" s="144"/>
      <c r="AR750" s="144"/>
      <c r="AS750" s="144"/>
      <c r="AT750" s="144"/>
      <c r="AU750" s="144"/>
      <c r="AV750" s="144"/>
    </row>
    <row r="751" spans="3:48" x14ac:dyDescent="0.25">
      <c r="C751" s="144"/>
      <c r="D751" s="144"/>
      <c r="E751" s="144"/>
      <c r="F751" s="144"/>
      <c r="G751" s="144"/>
      <c r="H751" s="232"/>
      <c r="I751" s="144"/>
      <c r="J751" s="144"/>
      <c r="K751" s="144"/>
      <c r="L751" s="144"/>
      <c r="M751" s="144"/>
      <c r="N751" s="144"/>
      <c r="O751" s="144"/>
      <c r="P751" s="144"/>
      <c r="Q751" s="144"/>
      <c r="R751" s="144"/>
      <c r="S751" s="144"/>
      <c r="T751" s="144"/>
      <c r="U751" s="232"/>
      <c r="V751" s="232"/>
      <c r="W751" s="144"/>
      <c r="X751" s="144"/>
      <c r="Y751" s="144"/>
      <c r="Z751" s="144"/>
      <c r="AA751" s="144"/>
      <c r="AB751" s="144"/>
      <c r="AC751" s="144"/>
      <c r="AD751" s="144"/>
      <c r="AE751" s="232"/>
      <c r="AF751" s="144"/>
      <c r="AG751" s="144"/>
      <c r="AH751" s="232"/>
      <c r="AI751" s="232"/>
      <c r="AJ751" s="144"/>
      <c r="AK751" s="144"/>
      <c r="AL751" s="144"/>
      <c r="AM751" s="144"/>
      <c r="AN751" s="144"/>
      <c r="AO751" s="144"/>
      <c r="AP751" s="144"/>
      <c r="AQ751" s="144"/>
      <c r="AR751" s="144"/>
      <c r="AS751" s="144"/>
      <c r="AT751" s="144"/>
      <c r="AU751" s="144"/>
      <c r="AV751" s="144"/>
    </row>
    <row r="752" spans="3:48" x14ac:dyDescent="0.25">
      <c r="C752" s="144"/>
      <c r="D752" s="144"/>
      <c r="E752" s="144"/>
      <c r="F752" s="144"/>
      <c r="G752" s="144"/>
      <c r="H752" s="232"/>
      <c r="I752" s="144"/>
      <c r="J752" s="144"/>
      <c r="K752" s="144"/>
      <c r="L752" s="144"/>
      <c r="M752" s="144"/>
      <c r="N752" s="144"/>
      <c r="O752" s="144"/>
      <c r="P752" s="144"/>
      <c r="Q752" s="144"/>
      <c r="R752" s="144"/>
      <c r="S752" s="144"/>
      <c r="T752" s="144"/>
      <c r="U752" s="232"/>
      <c r="V752" s="232"/>
      <c r="W752" s="144"/>
      <c r="X752" s="144"/>
      <c r="Y752" s="144"/>
      <c r="Z752" s="144"/>
      <c r="AA752" s="144"/>
      <c r="AB752" s="144"/>
      <c r="AC752" s="144"/>
      <c r="AD752" s="144"/>
      <c r="AE752" s="232"/>
      <c r="AF752" s="144"/>
      <c r="AG752" s="144"/>
      <c r="AH752" s="232"/>
      <c r="AI752" s="232"/>
      <c r="AJ752" s="144"/>
      <c r="AK752" s="144"/>
      <c r="AL752" s="144"/>
      <c r="AM752" s="144"/>
      <c r="AN752" s="144"/>
      <c r="AO752" s="144"/>
      <c r="AP752" s="144"/>
      <c r="AQ752" s="144"/>
      <c r="AR752" s="144"/>
      <c r="AS752" s="144"/>
      <c r="AT752" s="144"/>
      <c r="AU752" s="144"/>
      <c r="AV752" s="144"/>
    </row>
    <row r="753" spans="3:48" x14ac:dyDescent="0.25">
      <c r="C753" s="144"/>
      <c r="D753" s="144"/>
      <c r="E753" s="144"/>
      <c r="F753" s="144"/>
      <c r="G753" s="144"/>
      <c r="H753" s="232"/>
      <c r="I753" s="144"/>
      <c r="J753" s="144"/>
      <c r="K753" s="144"/>
      <c r="L753" s="144"/>
      <c r="M753" s="144"/>
      <c r="N753" s="144"/>
      <c r="O753" s="144"/>
      <c r="P753" s="144"/>
      <c r="Q753" s="144"/>
      <c r="R753" s="144"/>
      <c r="S753" s="144"/>
      <c r="T753" s="144"/>
      <c r="U753" s="232"/>
      <c r="V753" s="232"/>
      <c r="W753" s="144"/>
      <c r="X753" s="144"/>
      <c r="Y753" s="144"/>
      <c r="Z753" s="144"/>
      <c r="AA753" s="144"/>
      <c r="AB753" s="144"/>
      <c r="AC753" s="144"/>
      <c r="AD753" s="144"/>
      <c r="AE753" s="232"/>
      <c r="AF753" s="144"/>
      <c r="AG753" s="144"/>
      <c r="AH753" s="232"/>
      <c r="AI753" s="232"/>
      <c r="AJ753" s="144"/>
      <c r="AK753" s="144"/>
      <c r="AL753" s="144"/>
      <c r="AM753" s="144"/>
      <c r="AN753" s="144"/>
      <c r="AO753" s="144"/>
      <c r="AP753" s="144"/>
      <c r="AQ753" s="144"/>
      <c r="AR753" s="144"/>
      <c r="AS753" s="144"/>
      <c r="AT753" s="144"/>
      <c r="AU753" s="144"/>
      <c r="AV753" s="144"/>
    </row>
    <row r="754" spans="3:48" x14ac:dyDescent="0.25">
      <c r="C754" s="144"/>
      <c r="D754" s="144"/>
      <c r="E754" s="144"/>
      <c r="F754" s="144"/>
      <c r="G754" s="144"/>
      <c r="H754" s="232"/>
      <c r="I754" s="144"/>
      <c r="J754" s="144"/>
      <c r="K754" s="144"/>
      <c r="L754" s="144"/>
      <c r="M754" s="144"/>
      <c r="N754" s="144"/>
      <c r="O754" s="144"/>
      <c r="P754" s="144"/>
      <c r="Q754" s="144"/>
      <c r="R754" s="144"/>
      <c r="S754" s="144"/>
      <c r="T754" s="144"/>
      <c r="U754" s="232"/>
      <c r="V754" s="232"/>
      <c r="W754" s="144"/>
      <c r="X754" s="144"/>
      <c r="Y754" s="144"/>
      <c r="Z754" s="144"/>
      <c r="AA754" s="144"/>
      <c r="AB754" s="144"/>
      <c r="AC754" s="144"/>
      <c r="AD754" s="144"/>
      <c r="AE754" s="232"/>
      <c r="AF754" s="144"/>
      <c r="AG754" s="144"/>
      <c r="AH754" s="232"/>
      <c r="AI754" s="232"/>
      <c r="AJ754" s="144"/>
      <c r="AK754" s="144"/>
      <c r="AL754" s="144"/>
      <c r="AM754" s="144"/>
      <c r="AN754" s="144"/>
      <c r="AO754" s="144"/>
      <c r="AP754" s="144"/>
      <c r="AQ754" s="144"/>
      <c r="AR754" s="144"/>
      <c r="AS754" s="144"/>
      <c r="AT754" s="144"/>
      <c r="AU754" s="144"/>
      <c r="AV754" s="144"/>
    </row>
    <row r="755" spans="3:48" x14ac:dyDescent="0.25">
      <c r="C755" s="144"/>
      <c r="D755" s="144"/>
      <c r="E755" s="144"/>
      <c r="F755" s="144"/>
      <c r="G755" s="144"/>
      <c r="H755" s="232"/>
      <c r="I755" s="144"/>
      <c r="J755" s="144"/>
      <c r="K755" s="144"/>
      <c r="L755" s="144"/>
      <c r="M755" s="144"/>
      <c r="N755" s="144"/>
      <c r="O755" s="144"/>
      <c r="P755" s="144"/>
      <c r="Q755" s="144"/>
      <c r="R755" s="144"/>
      <c r="S755" s="144"/>
      <c r="T755" s="144"/>
      <c r="U755" s="232"/>
      <c r="V755" s="232"/>
      <c r="W755" s="144"/>
      <c r="X755" s="144"/>
      <c r="Y755" s="144"/>
      <c r="Z755" s="144"/>
      <c r="AA755" s="144"/>
      <c r="AB755" s="144"/>
      <c r="AC755" s="144"/>
      <c r="AD755" s="144"/>
      <c r="AE755" s="232"/>
      <c r="AF755" s="144"/>
      <c r="AG755" s="144"/>
      <c r="AH755" s="232"/>
      <c r="AI755" s="232"/>
      <c r="AJ755" s="144"/>
      <c r="AK755" s="144"/>
      <c r="AL755" s="144"/>
      <c r="AM755" s="144"/>
      <c r="AN755" s="144"/>
      <c r="AO755" s="144"/>
      <c r="AP755" s="144"/>
      <c r="AQ755" s="144"/>
      <c r="AR755" s="144"/>
      <c r="AS755" s="144"/>
      <c r="AT755" s="144"/>
      <c r="AU755" s="144"/>
      <c r="AV755" s="144"/>
    </row>
    <row r="756" spans="3:48" x14ac:dyDescent="0.25">
      <c r="C756" s="144"/>
      <c r="D756" s="144"/>
      <c r="E756" s="144"/>
      <c r="F756" s="144"/>
      <c r="G756" s="144"/>
      <c r="H756" s="232"/>
      <c r="I756" s="144"/>
      <c r="J756" s="144"/>
      <c r="K756" s="144"/>
      <c r="L756" s="144"/>
      <c r="M756" s="144"/>
      <c r="N756" s="144"/>
      <c r="O756" s="144"/>
      <c r="P756" s="144"/>
      <c r="Q756" s="144"/>
      <c r="R756" s="144"/>
      <c r="S756" s="144"/>
      <c r="T756" s="144"/>
      <c r="U756" s="232"/>
      <c r="V756" s="232"/>
      <c r="W756" s="144"/>
      <c r="X756" s="144"/>
      <c r="Y756" s="144"/>
      <c r="Z756" s="144"/>
      <c r="AA756" s="144"/>
      <c r="AB756" s="144"/>
      <c r="AC756" s="144"/>
      <c r="AD756" s="144"/>
      <c r="AE756" s="232"/>
      <c r="AF756" s="144"/>
      <c r="AG756" s="144"/>
      <c r="AH756" s="232"/>
      <c r="AI756" s="232"/>
      <c r="AJ756" s="144"/>
      <c r="AK756" s="144"/>
      <c r="AL756" s="144"/>
      <c r="AM756" s="144"/>
      <c r="AN756" s="144"/>
      <c r="AO756" s="144"/>
      <c r="AP756" s="144"/>
      <c r="AQ756" s="144"/>
      <c r="AR756" s="144"/>
      <c r="AS756" s="144"/>
      <c r="AT756" s="144"/>
      <c r="AU756" s="144"/>
      <c r="AV756" s="144"/>
    </row>
    <row r="757" spans="3:48" x14ac:dyDescent="0.25">
      <c r="C757" s="144"/>
      <c r="D757" s="144"/>
      <c r="E757" s="144"/>
      <c r="F757" s="144"/>
      <c r="G757" s="144"/>
      <c r="H757" s="232"/>
      <c r="I757" s="144"/>
      <c r="J757" s="144"/>
      <c r="K757" s="144"/>
      <c r="L757" s="144"/>
      <c r="M757" s="144"/>
      <c r="N757" s="144"/>
      <c r="O757" s="144"/>
      <c r="P757" s="144"/>
      <c r="Q757" s="144"/>
      <c r="R757" s="144"/>
      <c r="S757" s="144"/>
      <c r="T757" s="144"/>
      <c r="U757" s="232"/>
      <c r="V757" s="232"/>
      <c r="W757" s="144"/>
      <c r="X757" s="144"/>
      <c r="Y757" s="144"/>
      <c r="Z757" s="144"/>
      <c r="AA757" s="144"/>
      <c r="AB757" s="144"/>
      <c r="AC757" s="144"/>
      <c r="AD757" s="144"/>
      <c r="AE757" s="232"/>
      <c r="AF757" s="144"/>
      <c r="AG757" s="144"/>
      <c r="AH757" s="232"/>
      <c r="AI757" s="232"/>
      <c r="AJ757" s="144"/>
      <c r="AK757" s="144"/>
      <c r="AL757" s="144"/>
      <c r="AM757" s="144"/>
      <c r="AN757" s="144"/>
      <c r="AO757" s="144"/>
      <c r="AP757" s="144"/>
      <c r="AQ757" s="144"/>
      <c r="AR757" s="144"/>
      <c r="AS757" s="144"/>
      <c r="AT757" s="144"/>
      <c r="AU757" s="144"/>
      <c r="AV757" s="144"/>
    </row>
    <row r="758" spans="3:48" x14ac:dyDescent="0.25">
      <c r="C758" s="144"/>
      <c r="D758" s="144"/>
      <c r="E758" s="144"/>
      <c r="F758" s="144"/>
      <c r="G758" s="144"/>
      <c r="H758" s="232"/>
      <c r="I758" s="144"/>
      <c r="J758" s="144"/>
      <c r="K758" s="144"/>
      <c r="L758" s="144"/>
      <c r="M758" s="144"/>
      <c r="N758" s="144"/>
      <c r="O758" s="144"/>
      <c r="P758" s="144"/>
      <c r="Q758" s="144"/>
      <c r="R758" s="144"/>
      <c r="S758" s="144"/>
      <c r="T758" s="144"/>
      <c r="U758" s="232"/>
      <c r="V758" s="232"/>
      <c r="W758" s="144"/>
      <c r="X758" s="144"/>
      <c r="Y758" s="144"/>
      <c r="Z758" s="144"/>
      <c r="AA758" s="144"/>
      <c r="AB758" s="144"/>
      <c r="AC758" s="144"/>
      <c r="AD758" s="144"/>
      <c r="AE758" s="232"/>
      <c r="AF758" s="144"/>
      <c r="AG758" s="144"/>
      <c r="AH758" s="232"/>
      <c r="AI758" s="232"/>
      <c r="AJ758" s="144"/>
      <c r="AK758" s="144"/>
      <c r="AL758" s="144"/>
      <c r="AM758" s="144"/>
      <c r="AN758" s="144"/>
      <c r="AO758" s="144"/>
      <c r="AP758" s="144"/>
      <c r="AQ758" s="144"/>
      <c r="AR758" s="144"/>
      <c r="AS758" s="144"/>
      <c r="AT758" s="144"/>
      <c r="AU758" s="144"/>
      <c r="AV758" s="144"/>
    </row>
    <row r="759" spans="3:48" x14ac:dyDescent="0.25">
      <c r="C759" s="144"/>
      <c r="D759" s="144"/>
      <c r="E759" s="144"/>
      <c r="F759" s="144"/>
      <c r="G759" s="144"/>
      <c r="H759" s="232"/>
      <c r="I759" s="144"/>
      <c r="J759" s="144"/>
      <c r="K759" s="144"/>
      <c r="L759" s="144"/>
      <c r="M759" s="144"/>
      <c r="N759" s="144"/>
      <c r="O759" s="144"/>
      <c r="P759" s="144"/>
      <c r="Q759" s="144"/>
      <c r="R759" s="144"/>
      <c r="S759" s="144"/>
      <c r="T759" s="144"/>
      <c r="U759" s="232"/>
      <c r="V759" s="232"/>
      <c r="W759" s="144"/>
      <c r="X759" s="144"/>
      <c r="Y759" s="144"/>
      <c r="Z759" s="144"/>
      <c r="AA759" s="144"/>
      <c r="AB759" s="144"/>
      <c r="AC759" s="144"/>
      <c r="AD759" s="144"/>
      <c r="AE759" s="232"/>
      <c r="AF759" s="144"/>
      <c r="AG759" s="144"/>
      <c r="AH759" s="232"/>
      <c r="AI759" s="232"/>
      <c r="AJ759" s="144"/>
      <c r="AK759" s="144"/>
      <c r="AL759" s="144"/>
      <c r="AM759" s="144"/>
      <c r="AN759" s="144"/>
      <c r="AO759" s="144"/>
      <c r="AP759" s="144"/>
      <c r="AQ759" s="144"/>
      <c r="AR759" s="144"/>
      <c r="AS759" s="144"/>
      <c r="AT759" s="144"/>
      <c r="AU759" s="144"/>
      <c r="AV759" s="144"/>
    </row>
    <row r="760" spans="3:48" x14ac:dyDescent="0.25">
      <c r="C760" s="144"/>
      <c r="D760" s="144"/>
      <c r="E760" s="144"/>
      <c r="F760" s="144"/>
      <c r="G760" s="144"/>
      <c r="H760" s="232"/>
      <c r="I760" s="144"/>
      <c r="J760" s="144"/>
      <c r="K760" s="144"/>
      <c r="L760" s="144"/>
      <c r="M760" s="144"/>
      <c r="N760" s="144"/>
      <c r="O760" s="144"/>
      <c r="P760" s="144"/>
      <c r="Q760" s="144"/>
      <c r="R760" s="144"/>
      <c r="S760" s="144"/>
      <c r="T760" s="144"/>
      <c r="U760" s="232"/>
      <c r="V760" s="232"/>
      <c r="W760" s="144"/>
      <c r="X760" s="144"/>
      <c r="Y760" s="144"/>
      <c r="Z760" s="144"/>
      <c r="AA760" s="144"/>
      <c r="AB760" s="144"/>
      <c r="AC760" s="144"/>
      <c r="AD760" s="144"/>
      <c r="AE760" s="232"/>
      <c r="AF760" s="144"/>
      <c r="AG760" s="144"/>
      <c r="AH760" s="232"/>
      <c r="AI760" s="232"/>
      <c r="AJ760" s="144"/>
      <c r="AK760" s="144"/>
      <c r="AL760" s="144"/>
      <c r="AM760" s="144"/>
      <c r="AN760" s="144"/>
      <c r="AO760" s="144"/>
      <c r="AP760" s="144"/>
      <c r="AQ760" s="144"/>
      <c r="AR760" s="144"/>
      <c r="AS760" s="144"/>
      <c r="AT760" s="144"/>
      <c r="AU760" s="144"/>
      <c r="AV760" s="144"/>
    </row>
    <row r="761" spans="3:48" x14ac:dyDescent="0.25">
      <c r="C761" s="144"/>
      <c r="D761" s="144"/>
      <c r="E761" s="144"/>
      <c r="F761" s="144"/>
      <c r="G761" s="144"/>
      <c r="H761" s="232"/>
      <c r="I761" s="144"/>
      <c r="J761" s="144"/>
      <c r="K761" s="144"/>
      <c r="L761" s="144"/>
      <c r="M761" s="144"/>
      <c r="N761" s="144"/>
      <c r="O761" s="144"/>
      <c r="P761" s="144"/>
      <c r="Q761" s="144"/>
      <c r="R761" s="144"/>
      <c r="S761" s="144"/>
      <c r="T761" s="144"/>
      <c r="U761" s="232"/>
      <c r="V761" s="232"/>
      <c r="W761" s="144"/>
      <c r="X761" s="144"/>
      <c r="Y761" s="144"/>
      <c r="Z761" s="144"/>
      <c r="AA761" s="144"/>
      <c r="AB761" s="144"/>
      <c r="AC761" s="144"/>
      <c r="AD761" s="144"/>
      <c r="AE761" s="232"/>
      <c r="AF761" s="144"/>
      <c r="AG761" s="144"/>
      <c r="AH761" s="232"/>
      <c r="AI761" s="232"/>
      <c r="AJ761" s="144"/>
      <c r="AK761" s="144"/>
      <c r="AL761" s="144"/>
      <c r="AM761" s="144"/>
      <c r="AN761" s="144"/>
      <c r="AO761" s="144"/>
      <c r="AP761" s="144"/>
      <c r="AQ761" s="144"/>
      <c r="AR761" s="144"/>
      <c r="AS761" s="144"/>
      <c r="AT761" s="144"/>
      <c r="AU761" s="144"/>
      <c r="AV761" s="144"/>
    </row>
    <row r="762" spans="3:48" x14ac:dyDescent="0.25">
      <c r="C762" s="144"/>
      <c r="D762" s="144"/>
      <c r="E762" s="144"/>
      <c r="F762" s="144"/>
      <c r="G762" s="144"/>
      <c r="H762" s="232"/>
      <c r="I762" s="144"/>
      <c r="J762" s="144"/>
      <c r="K762" s="144"/>
      <c r="L762" s="144"/>
      <c r="M762" s="144"/>
      <c r="N762" s="144"/>
      <c r="O762" s="144"/>
      <c r="P762" s="144"/>
      <c r="Q762" s="144"/>
      <c r="R762" s="144"/>
      <c r="S762" s="144"/>
      <c r="T762" s="144"/>
      <c r="U762" s="232"/>
      <c r="V762" s="232"/>
      <c r="W762" s="144"/>
      <c r="X762" s="144"/>
      <c r="Y762" s="144"/>
      <c r="Z762" s="144"/>
      <c r="AA762" s="144"/>
      <c r="AB762" s="144"/>
      <c r="AC762" s="144"/>
      <c r="AD762" s="144"/>
      <c r="AE762" s="232"/>
      <c r="AF762" s="144"/>
      <c r="AG762" s="144"/>
      <c r="AH762" s="232"/>
      <c r="AI762" s="232"/>
      <c r="AJ762" s="144"/>
      <c r="AK762" s="144"/>
      <c r="AL762" s="144"/>
      <c r="AM762" s="144"/>
      <c r="AN762" s="144"/>
      <c r="AO762" s="144"/>
      <c r="AP762" s="144"/>
      <c r="AQ762" s="144"/>
      <c r="AR762" s="144"/>
      <c r="AS762" s="144"/>
      <c r="AT762" s="144"/>
      <c r="AU762" s="144"/>
      <c r="AV762" s="144"/>
    </row>
    <row r="763" spans="3:48" x14ac:dyDescent="0.25">
      <c r="C763" s="144"/>
      <c r="D763" s="144"/>
      <c r="E763" s="144"/>
      <c r="F763" s="144"/>
      <c r="G763" s="144"/>
      <c r="H763" s="232"/>
      <c r="I763" s="144"/>
      <c r="J763" s="144"/>
      <c r="K763" s="144"/>
      <c r="L763" s="144"/>
      <c r="M763" s="144"/>
      <c r="N763" s="144"/>
      <c r="O763" s="144"/>
      <c r="P763" s="144"/>
      <c r="Q763" s="144"/>
      <c r="R763" s="144"/>
      <c r="S763" s="144"/>
      <c r="T763" s="144"/>
      <c r="U763" s="232"/>
      <c r="V763" s="232"/>
      <c r="W763" s="144"/>
      <c r="X763" s="144"/>
      <c r="Y763" s="144"/>
      <c r="Z763" s="144"/>
      <c r="AA763" s="144"/>
      <c r="AB763" s="144"/>
      <c r="AC763" s="144"/>
      <c r="AD763" s="144"/>
      <c r="AE763" s="232"/>
      <c r="AF763" s="144"/>
      <c r="AG763" s="144"/>
      <c r="AH763" s="232"/>
      <c r="AI763" s="232"/>
      <c r="AJ763" s="144"/>
      <c r="AK763" s="144"/>
      <c r="AL763" s="144"/>
      <c r="AM763" s="144"/>
      <c r="AN763" s="144"/>
      <c r="AO763" s="144"/>
      <c r="AP763" s="144"/>
      <c r="AQ763" s="144"/>
      <c r="AR763" s="144"/>
      <c r="AS763" s="144"/>
      <c r="AT763" s="144"/>
      <c r="AU763" s="144"/>
      <c r="AV763" s="144"/>
    </row>
    <row r="764" spans="3:48" x14ac:dyDescent="0.25">
      <c r="C764" s="144"/>
      <c r="D764" s="144"/>
      <c r="E764" s="144"/>
      <c r="F764" s="144"/>
      <c r="G764" s="144"/>
      <c r="H764" s="232"/>
      <c r="I764" s="144"/>
      <c r="J764" s="144"/>
      <c r="K764" s="144"/>
      <c r="L764" s="144"/>
      <c r="M764" s="144"/>
      <c r="N764" s="144"/>
      <c r="O764" s="144"/>
      <c r="P764" s="144"/>
      <c r="Q764" s="144"/>
      <c r="R764" s="144"/>
      <c r="S764" s="144"/>
      <c r="T764" s="144"/>
      <c r="U764" s="232"/>
      <c r="V764" s="232"/>
      <c r="W764" s="144"/>
      <c r="X764" s="144"/>
      <c r="Y764" s="144"/>
      <c r="Z764" s="144"/>
      <c r="AA764" s="144"/>
      <c r="AB764" s="144"/>
      <c r="AC764" s="144"/>
      <c r="AD764" s="144"/>
      <c r="AE764" s="232"/>
      <c r="AF764" s="144"/>
      <c r="AG764" s="144"/>
      <c r="AH764" s="232"/>
      <c r="AI764" s="232"/>
      <c r="AJ764" s="144"/>
      <c r="AK764" s="144"/>
      <c r="AL764" s="144"/>
      <c r="AM764" s="144"/>
      <c r="AN764" s="144"/>
      <c r="AO764" s="144"/>
      <c r="AP764" s="144"/>
      <c r="AQ764" s="144"/>
      <c r="AR764" s="144"/>
      <c r="AS764" s="144"/>
      <c r="AT764" s="144"/>
      <c r="AU764" s="144"/>
      <c r="AV764" s="144"/>
    </row>
    <row r="765" spans="3:48" x14ac:dyDescent="0.25">
      <c r="C765" s="144"/>
      <c r="D765" s="144"/>
      <c r="E765" s="144"/>
      <c r="F765" s="144"/>
      <c r="G765" s="144"/>
      <c r="H765" s="232"/>
      <c r="I765" s="144"/>
      <c r="J765" s="144"/>
      <c r="K765" s="144"/>
      <c r="L765" s="144"/>
      <c r="M765" s="144"/>
      <c r="N765" s="144"/>
      <c r="O765" s="144"/>
      <c r="P765" s="144"/>
      <c r="Q765" s="144"/>
      <c r="R765" s="144"/>
      <c r="S765" s="144"/>
      <c r="T765" s="144"/>
      <c r="U765" s="232"/>
      <c r="V765" s="232"/>
      <c r="W765" s="144"/>
      <c r="X765" s="144"/>
      <c r="Y765" s="144"/>
      <c r="Z765" s="144"/>
      <c r="AA765" s="144"/>
      <c r="AB765" s="144"/>
      <c r="AC765" s="144"/>
      <c r="AD765" s="144"/>
      <c r="AE765" s="232"/>
      <c r="AF765" s="144"/>
      <c r="AG765" s="144"/>
      <c r="AH765" s="232"/>
      <c r="AI765" s="232"/>
      <c r="AJ765" s="144"/>
      <c r="AK765" s="144"/>
      <c r="AL765" s="144"/>
      <c r="AM765" s="144"/>
      <c r="AN765" s="144"/>
      <c r="AO765" s="144"/>
      <c r="AP765" s="144"/>
      <c r="AQ765" s="144"/>
      <c r="AR765" s="144"/>
      <c r="AS765" s="144"/>
      <c r="AT765" s="144"/>
      <c r="AU765" s="144"/>
      <c r="AV765" s="144"/>
    </row>
    <row r="766" spans="3:48" x14ac:dyDescent="0.25">
      <c r="C766" s="144"/>
      <c r="D766" s="144"/>
      <c r="E766" s="144"/>
      <c r="F766" s="144"/>
      <c r="G766" s="144"/>
      <c r="H766" s="232"/>
      <c r="I766" s="144"/>
      <c r="J766" s="144"/>
      <c r="K766" s="144"/>
      <c r="L766" s="144"/>
      <c r="M766" s="144"/>
      <c r="N766" s="144"/>
      <c r="O766" s="144"/>
      <c r="P766" s="144"/>
      <c r="Q766" s="144"/>
      <c r="R766" s="144"/>
      <c r="S766" s="144"/>
      <c r="T766" s="144"/>
      <c r="U766" s="232"/>
      <c r="V766" s="232"/>
      <c r="W766" s="144"/>
      <c r="X766" s="144"/>
      <c r="Y766" s="144"/>
      <c r="Z766" s="144"/>
      <c r="AA766" s="144"/>
      <c r="AB766" s="144"/>
      <c r="AC766" s="144"/>
      <c r="AD766" s="144"/>
      <c r="AE766" s="232"/>
      <c r="AF766" s="144"/>
      <c r="AG766" s="144"/>
      <c r="AH766" s="232"/>
      <c r="AI766" s="232"/>
      <c r="AJ766" s="144"/>
      <c r="AK766" s="144"/>
      <c r="AL766" s="144"/>
      <c r="AM766" s="144"/>
      <c r="AN766" s="144"/>
      <c r="AO766" s="144"/>
      <c r="AP766" s="144"/>
      <c r="AQ766" s="144"/>
      <c r="AR766" s="144"/>
      <c r="AS766" s="144"/>
      <c r="AT766" s="144"/>
      <c r="AU766" s="144"/>
      <c r="AV766" s="144"/>
    </row>
    <row r="767" spans="3:48" x14ac:dyDescent="0.25">
      <c r="C767" s="144"/>
      <c r="D767" s="144"/>
      <c r="E767" s="144"/>
      <c r="F767" s="144"/>
      <c r="G767" s="144"/>
      <c r="H767" s="232"/>
      <c r="I767" s="144"/>
      <c r="J767" s="144"/>
      <c r="K767" s="144"/>
      <c r="L767" s="144"/>
      <c r="M767" s="144"/>
      <c r="N767" s="144"/>
      <c r="O767" s="144"/>
      <c r="P767" s="144"/>
      <c r="Q767" s="144"/>
      <c r="R767" s="144"/>
      <c r="S767" s="144"/>
      <c r="T767" s="144"/>
      <c r="U767" s="232"/>
      <c r="V767" s="232"/>
      <c r="W767" s="144"/>
      <c r="X767" s="144"/>
      <c r="Y767" s="144"/>
      <c r="Z767" s="144"/>
      <c r="AA767" s="144"/>
      <c r="AB767" s="144"/>
      <c r="AC767" s="144"/>
      <c r="AD767" s="144"/>
      <c r="AE767" s="232"/>
      <c r="AF767" s="144"/>
      <c r="AG767" s="144"/>
      <c r="AH767" s="232"/>
      <c r="AI767" s="232"/>
      <c r="AJ767" s="144"/>
      <c r="AK767" s="144"/>
      <c r="AL767" s="144"/>
      <c r="AM767" s="144"/>
      <c r="AN767" s="144"/>
      <c r="AO767" s="144"/>
      <c r="AP767" s="144"/>
      <c r="AQ767" s="144"/>
      <c r="AR767" s="144"/>
      <c r="AS767" s="144"/>
      <c r="AT767" s="144"/>
      <c r="AU767" s="144"/>
      <c r="AV767" s="144"/>
    </row>
    <row r="768" spans="3:48" x14ac:dyDescent="0.25">
      <c r="C768" s="144"/>
      <c r="D768" s="144"/>
      <c r="E768" s="144"/>
      <c r="F768" s="144"/>
      <c r="G768" s="144"/>
      <c r="H768" s="232"/>
      <c r="I768" s="144"/>
      <c r="J768" s="144"/>
      <c r="K768" s="144"/>
      <c r="L768" s="144"/>
      <c r="M768" s="144"/>
      <c r="N768" s="144"/>
      <c r="O768" s="144"/>
      <c r="P768" s="144"/>
      <c r="Q768" s="144"/>
      <c r="R768" s="144"/>
      <c r="S768" s="144"/>
      <c r="T768" s="144"/>
      <c r="U768" s="232"/>
      <c r="V768" s="232"/>
      <c r="W768" s="144"/>
      <c r="X768" s="144"/>
      <c r="Y768" s="144"/>
      <c r="Z768" s="144"/>
      <c r="AA768" s="144"/>
      <c r="AB768" s="144"/>
      <c r="AC768" s="144"/>
      <c r="AD768" s="144"/>
      <c r="AE768" s="232"/>
      <c r="AF768" s="144"/>
      <c r="AG768" s="144"/>
      <c r="AH768" s="232"/>
      <c r="AI768" s="232"/>
      <c r="AJ768" s="144"/>
      <c r="AK768" s="144"/>
      <c r="AL768" s="144"/>
      <c r="AM768" s="144"/>
      <c r="AN768" s="144"/>
      <c r="AO768" s="144"/>
      <c r="AP768" s="144"/>
      <c r="AQ768" s="144"/>
      <c r="AR768" s="144"/>
      <c r="AS768" s="144"/>
      <c r="AT768" s="144"/>
      <c r="AU768" s="144"/>
      <c r="AV768" s="144"/>
    </row>
    <row r="769" spans="3:48" x14ac:dyDescent="0.25">
      <c r="C769" s="144"/>
      <c r="D769" s="144"/>
      <c r="E769" s="144"/>
      <c r="F769" s="144"/>
      <c r="G769" s="144"/>
      <c r="H769" s="232"/>
      <c r="I769" s="144"/>
      <c r="J769" s="144"/>
      <c r="K769" s="144"/>
      <c r="L769" s="144"/>
      <c r="M769" s="144"/>
      <c r="N769" s="144"/>
      <c r="O769" s="144"/>
      <c r="P769" s="144"/>
      <c r="Q769" s="144"/>
      <c r="R769" s="144"/>
      <c r="S769" s="144"/>
      <c r="T769" s="144"/>
      <c r="U769" s="232"/>
      <c r="V769" s="232"/>
      <c r="W769" s="144"/>
      <c r="X769" s="144"/>
      <c r="Y769" s="144"/>
      <c r="Z769" s="144"/>
      <c r="AA769" s="144"/>
      <c r="AB769" s="144"/>
      <c r="AC769" s="144"/>
      <c r="AD769" s="144"/>
      <c r="AE769" s="232"/>
      <c r="AF769" s="144"/>
      <c r="AG769" s="144"/>
      <c r="AH769" s="232"/>
      <c r="AI769" s="232"/>
      <c r="AJ769" s="144"/>
      <c r="AK769" s="144"/>
      <c r="AL769" s="144"/>
      <c r="AM769" s="144"/>
      <c r="AN769" s="144"/>
      <c r="AO769" s="144"/>
      <c r="AP769" s="144"/>
      <c r="AQ769" s="144"/>
      <c r="AR769" s="144"/>
      <c r="AS769" s="144"/>
      <c r="AT769" s="144"/>
      <c r="AU769" s="144"/>
      <c r="AV769" s="144"/>
    </row>
    <row r="770" spans="3:48" x14ac:dyDescent="0.25">
      <c r="C770" s="144"/>
      <c r="D770" s="144"/>
      <c r="E770" s="144"/>
      <c r="F770" s="144"/>
      <c r="G770" s="144"/>
      <c r="H770" s="232"/>
      <c r="I770" s="144"/>
      <c r="J770" s="144"/>
      <c r="K770" s="144"/>
      <c r="L770" s="144"/>
      <c r="M770" s="144"/>
      <c r="N770" s="144"/>
      <c r="O770" s="144"/>
      <c r="P770" s="144"/>
      <c r="Q770" s="144"/>
      <c r="R770" s="144"/>
      <c r="S770" s="144"/>
      <c r="T770" s="144"/>
      <c r="U770" s="232"/>
      <c r="V770" s="232"/>
      <c r="W770" s="144"/>
      <c r="X770" s="144"/>
      <c r="Y770" s="144"/>
      <c r="Z770" s="144"/>
      <c r="AA770" s="144"/>
      <c r="AB770" s="144"/>
      <c r="AC770" s="144"/>
      <c r="AD770" s="144"/>
      <c r="AE770" s="232"/>
      <c r="AF770" s="144"/>
      <c r="AG770" s="144"/>
      <c r="AH770" s="232"/>
      <c r="AI770" s="232"/>
      <c r="AJ770" s="144"/>
      <c r="AK770" s="144"/>
      <c r="AL770" s="144"/>
      <c r="AM770" s="144"/>
      <c r="AN770" s="144"/>
      <c r="AO770" s="144"/>
      <c r="AP770" s="144"/>
      <c r="AQ770" s="144"/>
      <c r="AR770" s="144"/>
      <c r="AS770" s="144"/>
      <c r="AT770" s="144"/>
      <c r="AU770" s="144"/>
      <c r="AV770" s="144"/>
    </row>
    <row r="771" spans="3:48" x14ac:dyDescent="0.25">
      <c r="C771" s="144"/>
      <c r="D771" s="144"/>
      <c r="E771" s="144"/>
      <c r="F771" s="144"/>
      <c r="G771" s="144"/>
      <c r="H771" s="232"/>
      <c r="I771" s="144"/>
      <c r="J771" s="144"/>
      <c r="K771" s="144"/>
      <c r="L771" s="144"/>
      <c r="M771" s="144"/>
      <c r="N771" s="144"/>
      <c r="O771" s="144"/>
      <c r="P771" s="144"/>
      <c r="Q771" s="144"/>
      <c r="R771" s="144"/>
      <c r="S771" s="144"/>
      <c r="T771" s="144"/>
      <c r="U771" s="232"/>
      <c r="V771" s="232"/>
      <c r="W771" s="144"/>
      <c r="X771" s="144"/>
      <c r="Y771" s="144"/>
      <c r="Z771" s="144"/>
      <c r="AA771" s="144"/>
      <c r="AB771" s="144"/>
      <c r="AC771" s="144"/>
      <c r="AD771" s="144"/>
      <c r="AE771" s="232"/>
      <c r="AF771" s="144"/>
      <c r="AG771" s="144"/>
      <c r="AH771" s="232"/>
      <c r="AI771" s="232"/>
      <c r="AJ771" s="144"/>
      <c r="AK771" s="144"/>
      <c r="AL771" s="144"/>
      <c r="AM771" s="144"/>
      <c r="AN771" s="144"/>
      <c r="AO771" s="144"/>
      <c r="AP771" s="144"/>
      <c r="AQ771" s="144"/>
      <c r="AR771" s="144"/>
      <c r="AS771" s="144"/>
      <c r="AT771" s="144"/>
      <c r="AU771" s="144"/>
      <c r="AV771" s="144"/>
    </row>
    <row r="772" spans="3:48" x14ac:dyDescent="0.25">
      <c r="C772" s="144"/>
      <c r="D772" s="144"/>
      <c r="E772" s="144"/>
      <c r="F772" s="144"/>
      <c r="G772" s="144"/>
      <c r="H772" s="232"/>
      <c r="I772" s="144"/>
      <c r="J772" s="144"/>
      <c r="K772" s="144"/>
      <c r="L772" s="144"/>
      <c r="M772" s="144"/>
      <c r="N772" s="144"/>
      <c r="O772" s="144"/>
      <c r="P772" s="144"/>
      <c r="Q772" s="144"/>
      <c r="R772" s="144"/>
      <c r="S772" s="144"/>
      <c r="T772" s="144"/>
      <c r="U772" s="232"/>
      <c r="V772" s="232"/>
      <c r="W772" s="144"/>
      <c r="X772" s="144"/>
      <c r="Y772" s="144"/>
      <c r="Z772" s="144"/>
      <c r="AA772" s="144"/>
      <c r="AB772" s="144"/>
      <c r="AC772" s="144"/>
      <c r="AD772" s="144"/>
      <c r="AE772" s="232"/>
      <c r="AF772" s="144"/>
      <c r="AG772" s="144"/>
      <c r="AH772" s="232"/>
      <c r="AI772" s="232"/>
      <c r="AJ772" s="144"/>
      <c r="AK772" s="144"/>
      <c r="AL772" s="144"/>
      <c r="AM772" s="144"/>
      <c r="AN772" s="144"/>
      <c r="AO772" s="144"/>
      <c r="AP772" s="144"/>
      <c r="AQ772" s="144"/>
      <c r="AR772" s="144"/>
      <c r="AS772" s="144"/>
      <c r="AT772" s="144"/>
      <c r="AU772" s="144"/>
      <c r="AV772" s="144"/>
    </row>
    <row r="773" spans="3:48" x14ac:dyDescent="0.25">
      <c r="C773" s="144"/>
      <c r="D773" s="144"/>
      <c r="E773" s="144"/>
      <c r="F773" s="144"/>
      <c r="G773" s="144"/>
      <c r="H773" s="232"/>
      <c r="I773" s="144"/>
      <c r="J773" s="144"/>
      <c r="K773" s="144"/>
      <c r="L773" s="144"/>
      <c r="M773" s="144"/>
      <c r="N773" s="144"/>
      <c r="O773" s="144"/>
      <c r="P773" s="144"/>
      <c r="Q773" s="144"/>
      <c r="R773" s="144"/>
      <c r="S773" s="144"/>
      <c r="T773" s="144"/>
      <c r="U773" s="232"/>
      <c r="V773" s="232"/>
      <c r="W773" s="144"/>
      <c r="X773" s="144"/>
      <c r="Y773" s="144"/>
      <c r="Z773" s="144"/>
      <c r="AA773" s="144"/>
      <c r="AB773" s="144"/>
      <c r="AC773" s="144"/>
      <c r="AD773" s="144"/>
      <c r="AE773" s="232"/>
      <c r="AF773" s="144"/>
      <c r="AG773" s="144"/>
      <c r="AH773" s="232"/>
      <c r="AI773" s="232"/>
      <c r="AJ773" s="144"/>
      <c r="AK773" s="144"/>
      <c r="AL773" s="144"/>
      <c r="AM773" s="144"/>
      <c r="AN773" s="144"/>
      <c r="AO773" s="144"/>
      <c r="AP773" s="144"/>
      <c r="AQ773" s="144"/>
      <c r="AR773" s="144"/>
      <c r="AS773" s="144"/>
      <c r="AT773" s="144"/>
      <c r="AU773" s="144"/>
      <c r="AV773" s="144"/>
    </row>
    <row r="774" spans="3:48" x14ac:dyDescent="0.25">
      <c r="C774" s="144"/>
      <c r="D774" s="144"/>
      <c r="E774" s="144"/>
      <c r="F774" s="144"/>
      <c r="G774" s="144"/>
      <c r="H774" s="232"/>
      <c r="I774" s="144"/>
      <c r="J774" s="144"/>
      <c r="K774" s="144"/>
      <c r="L774" s="144"/>
      <c r="M774" s="144"/>
      <c r="N774" s="144"/>
      <c r="O774" s="144"/>
      <c r="P774" s="144"/>
      <c r="Q774" s="144"/>
      <c r="R774" s="144"/>
      <c r="S774" s="144"/>
      <c r="T774" s="144"/>
      <c r="U774" s="232"/>
      <c r="V774" s="232"/>
      <c r="W774" s="144"/>
      <c r="X774" s="144"/>
      <c r="Y774" s="144"/>
      <c r="Z774" s="144"/>
      <c r="AA774" s="144"/>
      <c r="AB774" s="144"/>
      <c r="AC774" s="144"/>
      <c r="AD774" s="144"/>
      <c r="AE774" s="232"/>
      <c r="AF774" s="144"/>
      <c r="AG774" s="144"/>
      <c r="AH774" s="232"/>
      <c r="AI774" s="232"/>
      <c r="AJ774" s="144"/>
      <c r="AK774" s="144"/>
      <c r="AL774" s="144"/>
      <c r="AM774" s="144"/>
      <c r="AN774" s="144"/>
      <c r="AO774" s="144"/>
      <c r="AP774" s="144"/>
      <c r="AQ774" s="144"/>
      <c r="AR774" s="144"/>
      <c r="AS774" s="144"/>
      <c r="AT774" s="144"/>
      <c r="AU774" s="144"/>
      <c r="AV774" s="144"/>
    </row>
    <row r="775" spans="3:48" x14ac:dyDescent="0.25">
      <c r="C775" s="144"/>
      <c r="D775" s="144"/>
      <c r="E775" s="144"/>
      <c r="F775" s="144"/>
      <c r="G775" s="144"/>
      <c r="H775" s="232"/>
      <c r="I775" s="144"/>
      <c r="J775" s="144"/>
      <c r="K775" s="144"/>
      <c r="L775" s="144"/>
      <c r="M775" s="144"/>
      <c r="N775" s="144"/>
      <c r="O775" s="144"/>
      <c r="P775" s="144"/>
      <c r="Q775" s="144"/>
      <c r="R775" s="144"/>
      <c r="S775" s="144"/>
      <c r="T775" s="144"/>
      <c r="U775" s="232"/>
      <c r="V775" s="232"/>
      <c r="W775" s="144"/>
      <c r="X775" s="144"/>
      <c r="Y775" s="144"/>
      <c r="Z775" s="144"/>
      <c r="AA775" s="144"/>
      <c r="AB775" s="144"/>
      <c r="AC775" s="144"/>
      <c r="AD775" s="144"/>
      <c r="AE775" s="232"/>
      <c r="AF775" s="144"/>
      <c r="AG775" s="144"/>
      <c r="AH775" s="232"/>
      <c r="AI775" s="232"/>
      <c r="AJ775" s="144"/>
      <c r="AK775" s="144"/>
      <c r="AL775" s="144"/>
      <c r="AM775" s="144"/>
      <c r="AN775" s="144"/>
      <c r="AO775" s="144"/>
      <c r="AP775" s="144"/>
      <c r="AQ775" s="144"/>
      <c r="AR775" s="144"/>
      <c r="AS775" s="144"/>
      <c r="AT775" s="144"/>
      <c r="AU775" s="144"/>
      <c r="AV775" s="144"/>
    </row>
    <row r="776" spans="3:48" x14ac:dyDescent="0.25">
      <c r="C776" s="144"/>
      <c r="D776" s="144"/>
      <c r="E776" s="144"/>
      <c r="F776" s="144"/>
      <c r="G776" s="144"/>
      <c r="H776" s="232"/>
      <c r="I776" s="144"/>
      <c r="J776" s="144"/>
      <c r="K776" s="144"/>
      <c r="L776" s="144"/>
      <c r="M776" s="144"/>
      <c r="N776" s="144"/>
      <c r="O776" s="144"/>
      <c r="P776" s="144"/>
      <c r="Q776" s="144"/>
      <c r="R776" s="144"/>
      <c r="S776" s="144"/>
      <c r="T776" s="144"/>
      <c r="U776" s="232"/>
      <c r="V776" s="232"/>
      <c r="W776" s="144"/>
      <c r="X776" s="144"/>
      <c r="Y776" s="144"/>
      <c r="Z776" s="144"/>
      <c r="AA776" s="144"/>
      <c r="AB776" s="144"/>
      <c r="AC776" s="144"/>
      <c r="AD776" s="144"/>
      <c r="AE776" s="232"/>
      <c r="AF776" s="144"/>
      <c r="AG776" s="144"/>
      <c r="AH776" s="232"/>
      <c r="AI776" s="232"/>
      <c r="AJ776" s="144"/>
      <c r="AK776" s="144"/>
      <c r="AL776" s="144"/>
      <c r="AM776" s="144"/>
      <c r="AN776" s="144"/>
      <c r="AO776" s="144"/>
      <c r="AP776" s="144"/>
      <c r="AQ776" s="144"/>
      <c r="AR776" s="144"/>
      <c r="AS776" s="144"/>
      <c r="AT776" s="144"/>
      <c r="AU776" s="144"/>
      <c r="AV776" s="144"/>
    </row>
    <row r="777" spans="3:48" x14ac:dyDescent="0.25">
      <c r="C777" s="144"/>
      <c r="D777" s="144"/>
      <c r="E777" s="144"/>
      <c r="F777" s="144"/>
      <c r="G777" s="144"/>
      <c r="H777" s="232"/>
      <c r="I777" s="144"/>
      <c r="J777" s="144"/>
      <c r="K777" s="144"/>
      <c r="L777" s="144"/>
      <c r="M777" s="144"/>
      <c r="N777" s="144"/>
      <c r="O777" s="144"/>
      <c r="P777" s="144"/>
      <c r="Q777" s="144"/>
      <c r="R777" s="144"/>
      <c r="S777" s="144"/>
      <c r="T777" s="144"/>
      <c r="U777" s="232"/>
      <c r="V777" s="232"/>
      <c r="W777" s="144"/>
      <c r="X777" s="144"/>
      <c r="Y777" s="144"/>
      <c r="Z777" s="144"/>
      <c r="AA777" s="144"/>
      <c r="AB777" s="144"/>
      <c r="AC777" s="144"/>
      <c r="AD777" s="144"/>
      <c r="AE777" s="232"/>
      <c r="AF777" s="144"/>
      <c r="AG777" s="144"/>
      <c r="AH777" s="232"/>
      <c r="AI777" s="232"/>
      <c r="AJ777" s="144"/>
      <c r="AK777" s="144"/>
      <c r="AL777" s="144"/>
      <c r="AM777" s="144"/>
      <c r="AN777" s="144"/>
      <c r="AO777" s="144"/>
      <c r="AP777" s="144"/>
      <c r="AQ777" s="144"/>
      <c r="AR777" s="144"/>
      <c r="AS777" s="144"/>
      <c r="AT777" s="144"/>
      <c r="AU777" s="144"/>
      <c r="AV777" s="144"/>
    </row>
    <row r="778" spans="3:48" x14ac:dyDescent="0.25">
      <c r="C778" s="144"/>
      <c r="D778" s="144"/>
      <c r="E778" s="144"/>
      <c r="F778" s="144"/>
      <c r="G778" s="144"/>
      <c r="H778" s="232"/>
      <c r="I778" s="144"/>
      <c r="J778" s="144"/>
      <c r="K778" s="144"/>
      <c r="L778" s="144"/>
      <c r="M778" s="144"/>
      <c r="N778" s="144"/>
      <c r="O778" s="144"/>
      <c r="P778" s="144"/>
      <c r="Q778" s="144"/>
      <c r="R778" s="144"/>
      <c r="S778" s="144"/>
      <c r="T778" s="144"/>
      <c r="U778" s="232"/>
      <c r="V778" s="232"/>
      <c r="W778" s="144"/>
      <c r="X778" s="144"/>
      <c r="Y778" s="144"/>
      <c r="Z778" s="144"/>
      <c r="AA778" s="144"/>
      <c r="AB778" s="144"/>
      <c r="AC778" s="144"/>
      <c r="AD778" s="144"/>
      <c r="AE778" s="232"/>
      <c r="AF778" s="144"/>
      <c r="AG778" s="144"/>
      <c r="AH778" s="232"/>
      <c r="AI778" s="232"/>
      <c r="AJ778" s="144"/>
      <c r="AK778" s="144"/>
      <c r="AL778" s="144"/>
      <c r="AM778" s="144"/>
      <c r="AN778" s="144"/>
      <c r="AO778" s="144"/>
      <c r="AP778" s="144"/>
      <c r="AQ778" s="144"/>
      <c r="AR778" s="144"/>
      <c r="AS778" s="144"/>
      <c r="AT778" s="144"/>
      <c r="AU778" s="144"/>
      <c r="AV778" s="144"/>
    </row>
    <row r="779" spans="3:48" x14ac:dyDescent="0.25">
      <c r="C779" s="144"/>
      <c r="D779" s="144"/>
      <c r="E779" s="144"/>
      <c r="F779" s="144"/>
      <c r="G779" s="144"/>
      <c r="H779" s="232"/>
      <c r="I779" s="144"/>
      <c r="J779" s="144"/>
      <c r="K779" s="144"/>
      <c r="L779" s="144"/>
      <c r="M779" s="144"/>
      <c r="N779" s="144"/>
      <c r="O779" s="144"/>
      <c r="P779" s="144"/>
      <c r="Q779" s="144"/>
      <c r="R779" s="144"/>
      <c r="S779" s="144"/>
      <c r="T779" s="144"/>
      <c r="U779" s="232"/>
      <c r="V779" s="232"/>
      <c r="W779" s="144"/>
      <c r="X779" s="144"/>
      <c r="Y779" s="144"/>
      <c r="Z779" s="144"/>
      <c r="AA779" s="144"/>
      <c r="AB779" s="144"/>
      <c r="AC779" s="144"/>
      <c r="AD779" s="144"/>
      <c r="AE779" s="232"/>
      <c r="AF779" s="144"/>
      <c r="AG779" s="144"/>
      <c r="AH779" s="232"/>
      <c r="AI779" s="232"/>
      <c r="AJ779" s="144"/>
      <c r="AK779" s="144"/>
      <c r="AL779" s="144"/>
      <c r="AM779" s="144"/>
      <c r="AN779" s="144"/>
      <c r="AO779" s="144"/>
      <c r="AP779" s="144"/>
      <c r="AQ779" s="144"/>
      <c r="AR779" s="144"/>
      <c r="AS779" s="144"/>
      <c r="AT779" s="144"/>
      <c r="AU779" s="144"/>
      <c r="AV779" s="144"/>
    </row>
    <row r="780" spans="3:48" x14ac:dyDescent="0.25">
      <c r="C780" s="144"/>
      <c r="D780" s="144"/>
      <c r="E780" s="144"/>
      <c r="F780" s="144"/>
      <c r="G780" s="144"/>
      <c r="H780" s="232"/>
      <c r="I780" s="144"/>
      <c r="J780" s="144"/>
      <c r="K780" s="144"/>
      <c r="L780" s="144"/>
      <c r="M780" s="144"/>
      <c r="N780" s="144"/>
      <c r="O780" s="144"/>
      <c r="P780" s="144"/>
      <c r="Q780" s="144"/>
      <c r="R780" s="144"/>
      <c r="S780" s="144"/>
      <c r="T780" s="144"/>
      <c r="U780" s="232"/>
      <c r="V780" s="232"/>
      <c r="W780" s="144"/>
      <c r="X780" s="144"/>
      <c r="Y780" s="144"/>
      <c r="Z780" s="144"/>
      <c r="AA780" s="144"/>
      <c r="AB780" s="144"/>
      <c r="AC780" s="144"/>
      <c r="AD780" s="144"/>
      <c r="AE780" s="232"/>
      <c r="AF780" s="144"/>
      <c r="AG780" s="144"/>
      <c r="AH780" s="232"/>
      <c r="AI780" s="232"/>
      <c r="AJ780" s="144"/>
      <c r="AK780" s="144"/>
      <c r="AL780" s="144"/>
      <c r="AM780" s="144"/>
      <c r="AN780" s="144"/>
      <c r="AO780" s="144"/>
      <c r="AP780" s="144"/>
      <c r="AQ780" s="144"/>
      <c r="AR780" s="144"/>
      <c r="AS780" s="144"/>
      <c r="AT780" s="144"/>
      <c r="AU780" s="144"/>
      <c r="AV780" s="144"/>
    </row>
    <row r="781" spans="3:48" x14ac:dyDescent="0.25">
      <c r="C781" s="144"/>
      <c r="D781" s="144"/>
      <c r="E781" s="144"/>
      <c r="F781" s="144"/>
      <c r="G781" s="144"/>
      <c r="H781" s="232"/>
      <c r="I781" s="144"/>
      <c r="J781" s="144"/>
      <c r="K781" s="144"/>
      <c r="L781" s="144"/>
      <c r="M781" s="144"/>
      <c r="N781" s="144"/>
      <c r="O781" s="144"/>
      <c r="P781" s="144"/>
      <c r="Q781" s="144"/>
      <c r="R781" s="144"/>
      <c r="S781" s="144"/>
      <c r="T781" s="144"/>
      <c r="U781" s="232"/>
      <c r="V781" s="232"/>
      <c r="W781" s="144"/>
      <c r="X781" s="144"/>
      <c r="Y781" s="144"/>
      <c r="Z781" s="144"/>
      <c r="AA781" s="144"/>
      <c r="AB781" s="144"/>
      <c r="AC781" s="144"/>
      <c r="AD781" s="144"/>
      <c r="AE781" s="232"/>
      <c r="AF781" s="144"/>
      <c r="AG781" s="144"/>
      <c r="AH781" s="232"/>
      <c r="AI781" s="232"/>
      <c r="AJ781" s="144"/>
      <c r="AK781" s="144"/>
      <c r="AL781" s="144"/>
      <c r="AM781" s="144"/>
      <c r="AN781" s="144"/>
      <c r="AO781" s="144"/>
      <c r="AP781" s="144"/>
      <c r="AQ781" s="144"/>
      <c r="AR781" s="144"/>
      <c r="AS781" s="144"/>
      <c r="AT781" s="144"/>
      <c r="AU781" s="144"/>
      <c r="AV781" s="144"/>
    </row>
    <row r="782" spans="3:48" x14ac:dyDescent="0.25">
      <c r="C782" s="144"/>
      <c r="D782" s="144"/>
      <c r="E782" s="144"/>
      <c r="F782" s="144"/>
      <c r="G782" s="144"/>
      <c r="H782" s="232"/>
      <c r="I782" s="144"/>
      <c r="J782" s="144"/>
      <c r="K782" s="144"/>
      <c r="L782" s="144"/>
      <c r="M782" s="144"/>
      <c r="N782" s="144"/>
      <c r="O782" s="144"/>
      <c r="P782" s="144"/>
      <c r="Q782" s="144"/>
      <c r="R782" s="144"/>
      <c r="S782" s="144"/>
      <c r="T782" s="144"/>
      <c r="U782" s="232"/>
      <c r="V782" s="232"/>
      <c r="W782" s="144"/>
      <c r="X782" s="144"/>
      <c r="Y782" s="144"/>
      <c r="Z782" s="144"/>
      <c r="AA782" s="144"/>
      <c r="AB782" s="144"/>
      <c r="AC782" s="144"/>
      <c r="AD782" s="144"/>
      <c r="AE782" s="232"/>
      <c r="AF782" s="144"/>
      <c r="AG782" s="144"/>
      <c r="AH782" s="232"/>
      <c r="AI782" s="232"/>
      <c r="AJ782" s="144"/>
      <c r="AK782" s="144"/>
      <c r="AL782" s="144"/>
      <c r="AM782" s="144"/>
      <c r="AN782" s="144"/>
      <c r="AO782" s="144"/>
      <c r="AP782" s="144"/>
      <c r="AQ782" s="144"/>
      <c r="AR782" s="144"/>
      <c r="AS782" s="144"/>
      <c r="AT782" s="144"/>
      <c r="AU782" s="144"/>
      <c r="AV782" s="144"/>
    </row>
    <row r="783" spans="3:48" x14ac:dyDescent="0.25">
      <c r="C783" s="144"/>
      <c r="D783" s="144"/>
      <c r="E783" s="144"/>
      <c r="F783" s="144"/>
      <c r="G783" s="144"/>
      <c r="H783" s="232"/>
      <c r="I783" s="144"/>
      <c r="J783" s="144"/>
      <c r="K783" s="144"/>
      <c r="L783" s="144"/>
      <c r="M783" s="144"/>
      <c r="N783" s="144"/>
      <c r="O783" s="144"/>
      <c r="P783" s="144"/>
      <c r="Q783" s="144"/>
      <c r="R783" s="144"/>
      <c r="S783" s="144"/>
      <c r="T783" s="144"/>
      <c r="U783" s="232"/>
      <c r="V783" s="232"/>
      <c r="W783" s="144"/>
      <c r="X783" s="144"/>
      <c r="Y783" s="144"/>
      <c r="Z783" s="144"/>
      <c r="AA783" s="144"/>
      <c r="AB783" s="144"/>
      <c r="AC783" s="144"/>
      <c r="AD783" s="144"/>
      <c r="AE783" s="232"/>
      <c r="AF783" s="144"/>
      <c r="AG783" s="144"/>
      <c r="AH783" s="232"/>
      <c r="AI783" s="232"/>
      <c r="AJ783" s="144"/>
      <c r="AK783" s="144"/>
      <c r="AL783" s="144"/>
      <c r="AM783" s="144"/>
      <c r="AN783" s="144"/>
      <c r="AO783" s="144"/>
      <c r="AP783" s="144"/>
      <c r="AQ783" s="144"/>
      <c r="AR783" s="144"/>
      <c r="AS783" s="144"/>
      <c r="AT783" s="144"/>
      <c r="AU783" s="144"/>
      <c r="AV783" s="144"/>
    </row>
    <row r="784" spans="3:48" x14ac:dyDescent="0.25">
      <c r="C784" s="144"/>
      <c r="D784" s="144"/>
      <c r="E784" s="144"/>
      <c r="F784" s="144"/>
      <c r="G784" s="144"/>
      <c r="H784" s="232"/>
      <c r="I784" s="144"/>
      <c r="J784" s="144"/>
      <c r="K784" s="144"/>
      <c r="L784" s="144"/>
      <c r="M784" s="144"/>
      <c r="N784" s="144"/>
      <c r="O784" s="144"/>
      <c r="P784" s="144"/>
      <c r="Q784" s="144"/>
      <c r="R784" s="144"/>
      <c r="S784" s="144"/>
      <c r="T784" s="144"/>
      <c r="U784" s="232"/>
      <c r="V784" s="232"/>
      <c r="W784" s="144"/>
      <c r="X784" s="144"/>
      <c r="Y784" s="144"/>
      <c r="Z784" s="144"/>
      <c r="AA784" s="144"/>
      <c r="AB784" s="144"/>
      <c r="AC784" s="144"/>
      <c r="AD784" s="144"/>
      <c r="AE784" s="232"/>
      <c r="AF784" s="144"/>
      <c r="AG784" s="144"/>
      <c r="AH784" s="232"/>
      <c r="AI784" s="232"/>
      <c r="AJ784" s="144"/>
      <c r="AK784" s="144"/>
      <c r="AL784" s="144"/>
      <c r="AM784" s="144"/>
      <c r="AN784" s="144"/>
      <c r="AO784" s="144"/>
      <c r="AP784" s="144"/>
      <c r="AQ784" s="144"/>
      <c r="AR784" s="144"/>
      <c r="AS784" s="144"/>
      <c r="AT784" s="144"/>
      <c r="AU784" s="144"/>
      <c r="AV784" s="144"/>
    </row>
    <row r="785" spans="3:48" x14ac:dyDescent="0.25">
      <c r="C785" s="144"/>
      <c r="D785" s="144"/>
      <c r="E785" s="144"/>
      <c r="F785" s="144"/>
      <c r="G785" s="144"/>
      <c r="H785" s="232"/>
      <c r="I785" s="144"/>
      <c r="J785" s="144"/>
      <c r="K785" s="144"/>
      <c r="L785" s="144"/>
      <c r="M785" s="144"/>
      <c r="N785" s="144"/>
      <c r="O785" s="144"/>
      <c r="P785" s="144"/>
      <c r="Q785" s="144"/>
      <c r="R785" s="144"/>
      <c r="S785" s="144"/>
      <c r="T785" s="144"/>
      <c r="U785" s="232"/>
      <c r="V785" s="232"/>
      <c r="W785" s="144"/>
      <c r="X785" s="144"/>
      <c r="Y785" s="144"/>
      <c r="Z785" s="144"/>
      <c r="AA785" s="144"/>
      <c r="AB785" s="144"/>
      <c r="AC785" s="144"/>
      <c r="AD785" s="144"/>
      <c r="AE785" s="232"/>
      <c r="AF785" s="144"/>
      <c r="AG785" s="144"/>
      <c r="AH785" s="232"/>
      <c r="AI785" s="232"/>
      <c r="AJ785" s="144"/>
      <c r="AK785" s="144"/>
      <c r="AL785" s="144"/>
      <c r="AM785" s="144"/>
      <c r="AN785" s="144"/>
      <c r="AO785" s="144"/>
      <c r="AP785" s="144"/>
      <c r="AQ785" s="144"/>
      <c r="AR785" s="144"/>
      <c r="AS785" s="144"/>
      <c r="AT785" s="144"/>
      <c r="AU785" s="144"/>
      <c r="AV785" s="144"/>
    </row>
    <row r="786" spans="3:48" x14ac:dyDescent="0.25">
      <c r="C786" s="144"/>
      <c r="D786" s="144"/>
      <c r="E786" s="144"/>
      <c r="F786" s="144"/>
      <c r="G786" s="144"/>
      <c r="H786" s="232"/>
      <c r="I786" s="144"/>
      <c r="J786" s="144"/>
      <c r="K786" s="144"/>
      <c r="L786" s="144"/>
      <c r="M786" s="144"/>
      <c r="N786" s="144"/>
      <c r="O786" s="144"/>
      <c r="P786" s="144"/>
      <c r="Q786" s="144"/>
      <c r="R786" s="144"/>
      <c r="S786" s="144"/>
      <c r="T786" s="144"/>
      <c r="U786" s="232"/>
      <c r="V786" s="232"/>
      <c r="W786" s="144"/>
      <c r="X786" s="144"/>
      <c r="Y786" s="144"/>
      <c r="Z786" s="144"/>
      <c r="AA786" s="144"/>
      <c r="AB786" s="144"/>
      <c r="AC786" s="144"/>
      <c r="AD786" s="144"/>
      <c r="AE786" s="232"/>
      <c r="AF786" s="144"/>
      <c r="AG786" s="144"/>
      <c r="AH786" s="232"/>
      <c r="AI786" s="232"/>
      <c r="AJ786" s="144"/>
      <c r="AK786" s="144"/>
      <c r="AL786" s="144"/>
      <c r="AM786" s="144"/>
      <c r="AN786" s="144"/>
      <c r="AO786" s="144"/>
      <c r="AP786" s="144"/>
      <c r="AQ786" s="144"/>
      <c r="AR786" s="144"/>
      <c r="AS786" s="144"/>
      <c r="AT786" s="144"/>
      <c r="AU786" s="144"/>
      <c r="AV786" s="144"/>
    </row>
    <row r="787" spans="3:48" x14ac:dyDescent="0.25">
      <c r="C787" s="144"/>
      <c r="D787" s="144"/>
      <c r="E787" s="144"/>
      <c r="F787" s="144"/>
      <c r="G787" s="144"/>
      <c r="H787" s="232"/>
      <c r="I787" s="144"/>
      <c r="J787" s="144"/>
      <c r="K787" s="144"/>
      <c r="L787" s="144"/>
      <c r="M787" s="144"/>
      <c r="N787" s="144"/>
      <c r="O787" s="144"/>
      <c r="P787" s="144"/>
      <c r="Q787" s="144"/>
      <c r="R787" s="144"/>
      <c r="S787" s="144"/>
      <c r="T787" s="144"/>
      <c r="U787" s="232"/>
      <c r="V787" s="232"/>
      <c r="W787" s="144"/>
      <c r="X787" s="144"/>
      <c r="Y787" s="144"/>
      <c r="Z787" s="144"/>
      <c r="AA787" s="144"/>
      <c r="AB787" s="144"/>
      <c r="AC787" s="144"/>
      <c r="AD787" s="144"/>
      <c r="AE787" s="232"/>
      <c r="AF787" s="144"/>
      <c r="AG787" s="144"/>
      <c r="AH787" s="232"/>
      <c r="AI787" s="232"/>
      <c r="AJ787" s="144"/>
      <c r="AK787" s="144"/>
      <c r="AL787" s="144"/>
      <c r="AM787" s="144"/>
      <c r="AN787" s="144"/>
      <c r="AO787" s="144"/>
      <c r="AP787" s="144"/>
      <c r="AQ787" s="144"/>
      <c r="AR787" s="144"/>
      <c r="AS787" s="144"/>
      <c r="AT787" s="144"/>
      <c r="AU787" s="144"/>
      <c r="AV787" s="144"/>
    </row>
    <row r="788" spans="3:48" x14ac:dyDescent="0.25">
      <c r="C788" s="144"/>
      <c r="D788" s="144"/>
      <c r="E788" s="144"/>
      <c r="F788" s="144"/>
      <c r="G788" s="144"/>
      <c r="H788" s="232"/>
      <c r="I788" s="144"/>
      <c r="J788" s="144"/>
      <c r="K788" s="144"/>
      <c r="L788" s="144"/>
      <c r="M788" s="144"/>
      <c r="N788" s="144"/>
      <c r="O788" s="144"/>
      <c r="P788" s="144"/>
      <c r="Q788" s="144"/>
      <c r="R788" s="144"/>
      <c r="S788" s="144"/>
      <c r="T788" s="144"/>
      <c r="U788" s="232"/>
      <c r="V788" s="232"/>
      <c r="W788" s="144"/>
      <c r="X788" s="144"/>
      <c r="Y788" s="144"/>
      <c r="Z788" s="144"/>
      <c r="AA788" s="144"/>
      <c r="AB788" s="144"/>
      <c r="AC788" s="144"/>
      <c r="AD788" s="144"/>
      <c r="AE788" s="232"/>
      <c r="AF788" s="144"/>
      <c r="AG788" s="144"/>
      <c r="AH788" s="232"/>
      <c r="AI788" s="232"/>
      <c r="AJ788" s="144"/>
      <c r="AK788" s="144"/>
      <c r="AL788" s="144"/>
      <c r="AM788" s="144"/>
      <c r="AN788" s="144"/>
      <c r="AO788" s="144"/>
      <c r="AP788" s="144"/>
      <c r="AQ788" s="144"/>
      <c r="AR788" s="144"/>
      <c r="AS788" s="144"/>
      <c r="AT788" s="144"/>
      <c r="AU788" s="144"/>
      <c r="AV788" s="144"/>
    </row>
    <row r="789" spans="3:48" x14ac:dyDescent="0.25">
      <c r="C789" s="144"/>
      <c r="D789" s="144"/>
      <c r="E789" s="144"/>
      <c r="F789" s="144"/>
      <c r="G789" s="144"/>
      <c r="H789" s="232"/>
      <c r="I789" s="144"/>
      <c r="J789" s="144"/>
      <c r="K789" s="144"/>
      <c r="L789" s="144"/>
      <c r="M789" s="144"/>
      <c r="N789" s="144"/>
      <c r="O789" s="144"/>
      <c r="P789" s="144"/>
      <c r="Q789" s="144"/>
      <c r="R789" s="144"/>
      <c r="S789" s="144"/>
      <c r="T789" s="144"/>
      <c r="U789" s="232"/>
      <c r="V789" s="232"/>
      <c r="W789" s="144"/>
      <c r="X789" s="144"/>
      <c r="Y789" s="144"/>
      <c r="Z789" s="144"/>
      <c r="AA789" s="144"/>
      <c r="AB789" s="144"/>
      <c r="AC789" s="144"/>
      <c r="AD789" s="144"/>
      <c r="AE789" s="232"/>
      <c r="AF789" s="144"/>
      <c r="AG789" s="144"/>
      <c r="AH789" s="232"/>
      <c r="AI789" s="232"/>
      <c r="AJ789" s="144"/>
      <c r="AK789" s="144"/>
      <c r="AL789" s="144"/>
      <c r="AM789" s="144"/>
      <c r="AN789" s="144"/>
      <c r="AO789" s="144"/>
      <c r="AP789" s="144"/>
      <c r="AQ789" s="144"/>
      <c r="AR789" s="144"/>
      <c r="AS789" s="144"/>
      <c r="AT789" s="144"/>
      <c r="AU789" s="144"/>
      <c r="AV789" s="144"/>
    </row>
    <row r="790" spans="3:48" x14ac:dyDescent="0.25">
      <c r="C790" s="144"/>
      <c r="D790" s="144"/>
      <c r="E790" s="144"/>
      <c r="F790" s="144"/>
      <c r="G790" s="144"/>
      <c r="H790" s="232"/>
      <c r="I790" s="144"/>
      <c r="J790" s="144"/>
      <c r="K790" s="144"/>
      <c r="L790" s="144"/>
      <c r="M790" s="144"/>
      <c r="N790" s="144"/>
      <c r="O790" s="144"/>
      <c r="P790" s="144"/>
      <c r="Q790" s="144"/>
      <c r="R790" s="144"/>
      <c r="S790" s="144"/>
      <c r="T790" s="144"/>
      <c r="U790" s="232"/>
      <c r="V790" s="232"/>
      <c r="W790" s="144"/>
      <c r="X790" s="144"/>
      <c r="Y790" s="144"/>
      <c r="Z790" s="144"/>
      <c r="AA790" s="144"/>
      <c r="AB790" s="144"/>
      <c r="AC790" s="144"/>
      <c r="AD790" s="144"/>
      <c r="AE790" s="232"/>
      <c r="AF790" s="144"/>
      <c r="AG790" s="144"/>
      <c r="AH790" s="232"/>
      <c r="AI790" s="232"/>
      <c r="AJ790" s="144"/>
      <c r="AK790" s="144"/>
      <c r="AL790" s="144"/>
      <c r="AM790" s="144"/>
      <c r="AN790" s="144"/>
      <c r="AO790" s="144"/>
      <c r="AP790" s="144"/>
      <c r="AQ790" s="144"/>
      <c r="AR790" s="144"/>
      <c r="AS790" s="144"/>
      <c r="AT790" s="144"/>
      <c r="AU790" s="144"/>
      <c r="AV790" s="144"/>
    </row>
    <row r="791" spans="3:48" x14ac:dyDescent="0.25">
      <c r="C791" s="144"/>
      <c r="D791" s="144"/>
      <c r="E791" s="144"/>
      <c r="F791" s="144"/>
      <c r="G791" s="144"/>
      <c r="H791" s="232"/>
      <c r="I791" s="144"/>
      <c r="J791" s="144"/>
      <c r="K791" s="144"/>
      <c r="L791" s="144"/>
      <c r="M791" s="144"/>
      <c r="N791" s="144"/>
      <c r="O791" s="144"/>
      <c r="P791" s="144"/>
      <c r="Q791" s="144"/>
      <c r="R791" s="144"/>
      <c r="S791" s="144"/>
      <c r="T791" s="144"/>
      <c r="U791" s="232"/>
      <c r="V791" s="232"/>
      <c r="W791" s="144"/>
      <c r="X791" s="144"/>
      <c r="Y791" s="144"/>
      <c r="Z791" s="144"/>
      <c r="AA791" s="144"/>
      <c r="AB791" s="144"/>
      <c r="AC791" s="144"/>
      <c r="AD791" s="144"/>
      <c r="AE791" s="232"/>
      <c r="AF791" s="144"/>
      <c r="AG791" s="144"/>
      <c r="AH791" s="232"/>
      <c r="AI791" s="232"/>
      <c r="AJ791" s="144"/>
      <c r="AK791" s="144"/>
      <c r="AL791" s="144"/>
      <c r="AM791" s="144"/>
      <c r="AN791" s="144"/>
      <c r="AO791" s="144"/>
      <c r="AP791" s="144"/>
      <c r="AQ791" s="144"/>
      <c r="AR791" s="144"/>
      <c r="AS791" s="144"/>
      <c r="AT791" s="144"/>
      <c r="AU791" s="144"/>
      <c r="AV791" s="144"/>
    </row>
    <row r="792" spans="3:48" x14ac:dyDescent="0.25">
      <c r="C792" s="144"/>
      <c r="D792" s="144"/>
      <c r="E792" s="144"/>
      <c r="F792" s="144"/>
      <c r="G792" s="144"/>
      <c r="H792" s="232"/>
      <c r="I792" s="144"/>
      <c r="J792" s="144"/>
      <c r="K792" s="144"/>
      <c r="L792" s="144"/>
      <c r="M792" s="144"/>
      <c r="N792" s="144"/>
      <c r="O792" s="144"/>
      <c r="P792" s="144"/>
      <c r="Q792" s="144"/>
      <c r="R792" s="144"/>
      <c r="S792" s="144"/>
      <c r="T792" s="144"/>
      <c r="U792" s="232"/>
      <c r="V792" s="232"/>
      <c r="W792" s="144"/>
      <c r="X792" s="144"/>
      <c r="Y792" s="144"/>
      <c r="Z792" s="144"/>
      <c r="AA792" s="144"/>
      <c r="AB792" s="144"/>
      <c r="AC792" s="144"/>
      <c r="AD792" s="144"/>
      <c r="AE792" s="232"/>
      <c r="AF792" s="144"/>
      <c r="AG792" s="144"/>
      <c r="AH792" s="232"/>
      <c r="AI792" s="232"/>
      <c r="AJ792" s="144"/>
      <c r="AK792" s="144"/>
      <c r="AL792" s="144"/>
      <c r="AM792" s="144"/>
      <c r="AN792" s="144"/>
      <c r="AO792" s="144"/>
      <c r="AP792" s="144"/>
      <c r="AQ792" s="144"/>
      <c r="AR792" s="144"/>
      <c r="AS792" s="144"/>
      <c r="AT792" s="144"/>
      <c r="AU792" s="144"/>
      <c r="AV792" s="144"/>
    </row>
    <row r="793" spans="3:48" x14ac:dyDescent="0.25">
      <c r="C793" s="144"/>
      <c r="D793" s="144"/>
      <c r="E793" s="144"/>
      <c r="F793" s="144"/>
      <c r="G793" s="144"/>
      <c r="H793" s="232"/>
      <c r="I793" s="144"/>
      <c r="J793" s="144"/>
      <c r="K793" s="144"/>
      <c r="L793" s="144"/>
      <c r="M793" s="144"/>
      <c r="N793" s="144"/>
      <c r="O793" s="144"/>
      <c r="P793" s="144"/>
      <c r="Q793" s="144"/>
      <c r="R793" s="144"/>
      <c r="S793" s="144"/>
      <c r="T793" s="144"/>
      <c r="U793" s="232"/>
      <c r="V793" s="232"/>
      <c r="W793" s="144"/>
      <c r="X793" s="144"/>
      <c r="Y793" s="144"/>
      <c r="Z793" s="144"/>
      <c r="AA793" s="144"/>
      <c r="AB793" s="144"/>
      <c r="AC793" s="144"/>
      <c r="AD793" s="144"/>
      <c r="AE793" s="232"/>
      <c r="AF793" s="144"/>
      <c r="AG793" s="144"/>
      <c r="AH793" s="232"/>
      <c r="AI793" s="232"/>
      <c r="AJ793" s="144"/>
      <c r="AK793" s="144"/>
      <c r="AL793" s="144"/>
      <c r="AM793" s="144"/>
      <c r="AN793" s="144"/>
      <c r="AO793" s="144"/>
      <c r="AP793" s="144"/>
      <c r="AQ793" s="144"/>
      <c r="AR793" s="144"/>
      <c r="AS793" s="144"/>
      <c r="AT793" s="144"/>
      <c r="AU793" s="144"/>
      <c r="AV793" s="144"/>
    </row>
    <row r="794" spans="3:48" x14ac:dyDescent="0.25">
      <c r="C794" s="144"/>
      <c r="D794" s="144"/>
      <c r="E794" s="144"/>
      <c r="F794" s="144"/>
      <c r="G794" s="144"/>
      <c r="H794" s="232"/>
      <c r="I794" s="144"/>
      <c r="J794" s="144"/>
      <c r="K794" s="144"/>
      <c r="L794" s="144"/>
      <c r="M794" s="144"/>
      <c r="N794" s="144"/>
      <c r="O794" s="144"/>
      <c r="P794" s="144"/>
      <c r="Q794" s="144"/>
      <c r="R794" s="144"/>
      <c r="S794" s="144"/>
      <c r="T794" s="144"/>
      <c r="U794" s="232"/>
      <c r="V794" s="232"/>
      <c r="W794" s="144"/>
      <c r="X794" s="144"/>
      <c r="Y794" s="144"/>
      <c r="Z794" s="144"/>
      <c r="AA794" s="144"/>
      <c r="AB794" s="144"/>
      <c r="AC794" s="144"/>
      <c r="AD794" s="144"/>
      <c r="AE794" s="232"/>
      <c r="AF794" s="144"/>
      <c r="AG794" s="144"/>
      <c r="AH794" s="232"/>
      <c r="AI794" s="232"/>
      <c r="AJ794" s="144"/>
      <c r="AK794" s="144"/>
      <c r="AL794" s="144"/>
      <c r="AM794" s="144"/>
      <c r="AN794" s="144"/>
      <c r="AO794" s="144"/>
      <c r="AP794" s="144"/>
      <c r="AQ794" s="144"/>
      <c r="AR794" s="144"/>
      <c r="AS794" s="144"/>
      <c r="AT794" s="144"/>
      <c r="AU794" s="144"/>
      <c r="AV794" s="144"/>
    </row>
    <row r="795" spans="3:48" x14ac:dyDescent="0.25">
      <c r="C795" s="144"/>
      <c r="D795" s="144"/>
      <c r="E795" s="144"/>
      <c r="F795" s="144"/>
      <c r="G795" s="144"/>
      <c r="H795" s="232"/>
      <c r="I795" s="144"/>
      <c r="J795" s="144"/>
      <c r="K795" s="144"/>
      <c r="L795" s="144"/>
      <c r="M795" s="144"/>
      <c r="N795" s="144"/>
      <c r="O795" s="144"/>
      <c r="P795" s="144"/>
      <c r="Q795" s="144"/>
      <c r="R795" s="144"/>
      <c r="S795" s="144"/>
      <c r="T795" s="144"/>
      <c r="U795" s="232"/>
      <c r="V795" s="232"/>
      <c r="W795" s="144"/>
      <c r="X795" s="144"/>
      <c r="Y795" s="144"/>
      <c r="Z795" s="144"/>
      <c r="AA795" s="144"/>
      <c r="AB795" s="144"/>
      <c r="AC795" s="144"/>
      <c r="AD795" s="144"/>
      <c r="AE795" s="232"/>
      <c r="AF795" s="144"/>
      <c r="AG795" s="144"/>
      <c r="AH795" s="232"/>
      <c r="AI795" s="232"/>
      <c r="AJ795" s="144"/>
      <c r="AK795" s="144"/>
      <c r="AL795" s="144"/>
      <c r="AM795" s="144"/>
      <c r="AN795" s="144"/>
      <c r="AO795" s="144"/>
      <c r="AP795" s="144"/>
      <c r="AQ795" s="144"/>
      <c r="AR795" s="144"/>
      <c r="AS795" s="144"/>
      <c r="AT795" s="144"/>
      <c r="AU795" s="144"/>
      <c r="AV795" s="144"/>
    </row>
    <row r="796" spans="3:48" x14ac:dyDescent="0.25">
      <c r="C796" s="144"/>
      <c r="D796" s="144"/>
      <c r="E796" s="144"/>
      <c r="F796" s="144"/>
      <c r="G796" s="144"/>
      <c r="H796" s="232"/>
      <c r="I796" s="144"/>
      <c r="J796" s="144"/>
      <c r="K796" s="144"/>
      <c r="L796" s="144"/>
      <c r="M796" s="144"/>
      <c r="N796" s="144"/>
      <c r="O796" s="144"/>
      <c r="P796" s="144"/>
      <c r="Q796" s="144"/>
      <c r="R796" s="144"/>
      <c r="S796" s="144"/>
      <c r="T796" s="144"/>
      <c r="U796" s="232"/>
      <c r="V796" s="232"/>
      <c r="W796" s="144"/>
      <c r="X796" s="144"/>
      <c r="Y796" s="144"/>
      <c r="Z796" s="144"/>
      <c r="AA796" s="144"/>
      <c r="AB796" s="144"/>
      <c r="AC796" s="144"/>
      <c r="AD796" s="144"/>
      <c r="AE796" s="232"/>
      <c r="AF796" s="144"/>
      <c r="AG796" s="144"/>
      <c r="AH796" s="232"/>
      <c r="AI796" s="232"/>
      <c r="AJ796" s="144"/>
      <c r="AK796" s="144"/>
      <c r="AL796" s="144"/>
      <c r="AM796" s="144"/>
      <c r="AN796" s="144"/>
      <c r="AO796" s="144"/>
      <c r="AP796" s="144"/>
      <c r="AQ796" s="144"/>
      <c r="AR796" s="144"/>
      <c r="AS796" s="144"/>
      <c r="AT796" s="144"/>
      <c r="AU796" s="144"/>
      <c r="AV796" s="144"/>
    </row>
    <row r="797" spans="3:48" x14ac:dyDescent="0.25">
      <c r="C797" s="144"/>
      <c r="D797" s="144"/>
      <c r="E797" s="144"/>
      <c r="F797" s="144"/>
      <c r="G797" s="144"/>
      <c r="H797" s="232"/>
      <c r="I797" s="144"/>
      <c r="J797" s="144"/>
      <c r="K797" s="144"/>
      <c r="L797" s="144"/>
      <c r="M797" s="144"/>
      <c r="N797" s="144"/>
      <c r="O797" s="144"/>
      <c r="P797" s="144"/>
      <c r="Q797" s="144"/>
      <c r="R797" s="144"/>
      <c r="S797" s="144"/>
      <c r="T797" s="144"/>
      <c r="U797" s="232"/>
      <c r="V797" s="232"/>
      <c r="W797" s="144"/>
      <c r="X797" s="144"/>
      <c r="Y797" s="144"/>
      <c r="Z797" s="144"/>
      <c r="AA797" s="144"/>
      <c r="AB797" s="144"/>
      <c r="AC797" s="144"/>
      <c r="AD797" s="144"/>
      <c r="AE797" s="232"/>
      <c r="AF797" s="144"/>
      <c r="AG797" s="144"/>
      <c r="AH797" s="232"/>
      <c r="AI797" s="232"/>
      <c r="AJ797" s="144"/>
      <c r="AK797" s="144"/>
      <c r="AL797" s="144"/>
      <c r="AM797" s="144"/>
      <c r="AN797" s="144"/>
      <c r="AO797" s="144"/>
      <c r="AP797" s="144"/>
      <c r="AQ797" s="144"/>
      <c r="AR797" s="144"/>
      <c r="AS797" s="144"/>
      <c r="AT797" s="144"/>
      <c r="AU797" s="144"/>
      <c r="AV797" s="144"/>
    </row>
    <row r="798" spans="3:48" x14ac:dyDescent="0.25">
      <c r="C798" s="144"/>
      <c r="D798" s="144"/>
      <c r="E798" s="144"/>
      <c r="F798" s="144"/>
      <c r="G798" s="144"/>
      <c r="H798" s="232"/>
      <c r="I798" s="144"/>
      <c r="J798" s="144"/>
      <c r="K798" s="144"/>
      <c r="L798" s="144"/>
      <c r="M798" s="144"/>
      <c r="N798" s="144"/>
      <c r="O798" s="144"/>
      <c r="P798" s="144"/>
      <c r="Q798" s="144"/>
      <c r="R798" s="144"/>
      <c r="S798" s="144"/>
      <c r="T798" s="144"/>
      <c r="U798" s="232"/>
      <c r="V798" s="232"/>
      <c r="W798" s="144"/>
      <c r="X798" s="144"/>
      <c r="Y798" s="144"/>
      <c r="Z798" s="144"/>
      <c r="AA798" s="144"/>
      <c r="AB798" s="144"/>
      <c r="AC798" s="144"/>
      <c r="AD798" s="144"/>
      <c r="AE798" s="232"/>
      <c r="AF798" s="144"/>
      <c r="AG798" s="144"/>
      <c r="AH798" s="232"/>
      <c r="AI798" s="232"/>
      <c r="AJ798" s="144"/>
      <c r="AK798" s="144"/>
      <c r="AL798" s="144"/>
      <c r="AM798" s="144"/>
      <c r="AN798" s="144"/>
      <c r="AO798" s="144"/>
      <c r="AP798" s="144"/>
      <c r="AQ798" s="144"/>
      <c r="AR798" s="144"/>
      <c r="AS798" s="144"/>
      <c r="AT798" s="144"/>
      <c r="AU798" s="144"/>
      <c r="AV798" s="144"/>
    </row>
    <row r="799" spans="3:48" x14ac:dyDescent="0.25">
      <c r="C799" s="144"/>
      <c r="D799" s="144"/>
      <c r="E799" s="144"/>
      <c r="F799" s="144"/>
      <c r="G799" s="144"/>
      <c r="H799" s="232"/>
      <c r="I799" s="144"/>
      <c r="J799" s="144"/>
      <c r="K799" s="144"/>
      <c r="L799" s="144"/>
      <c r="M799" s="144"/>
      <c r="N799" s="144"/>
      <c r="O799" s="144"/>
      <c r="P799" s="144"/>
      <c r="Q799" s="144"/>
      <c r="R799" s="144"/>
      <c r="S799" s="144"/>
      <c r="T799" s="144"/>
      <c r="U799" s="232"/>
      <c r="V799" s="232"/>
      <c r="W799" s="144"/>
      <c r="X799" s="144"/>
      <c r="Y799" s="144"/>
      <c r="Z799" s="144"/>
      <c r="AA799" s="144"/>
      <c r="AB799" s="144"/>
      <c r="AC799" s="144"/>
      <c r="AD799" s="144"/>
      <c r="AE799" s="232"/>
      <c r="AF799" s="144"/>
      <c r="AG799" s="144"/>
      <c r="AH799" s="232"/>
      <c r="AI799" s="232"/>
      <c r="AJ799" s="144"/>
      <c r="AK799" s="144"/>
      <c r="AL799" s="144"/>
      <c r="AM799" s="144"/>
      <c r="AN799" s="144"/>
      <c r="AO799" s="144"/>
      <c r="AP799" s="144"/>
      <c r="AQ799" s="144"/>
      <c r="AR799" s="144"/>
      <c r="AS799" s="144"/>
      <c r="AT799" s="144"/>
      <c r="AU799" s="144"/>
      <c r="AV799" s="144"/>
    </row>
    <row r="800" spans="3:48" x14ac:dyDescent="0.25">
      <c r="C800" s="144"/>
      <c r="D800" s="144"/>
      <c r="E800" s="144"/>
      <c r="F800" s="144"/>
      <c r="G800" s="144"/>
      <c r="H800" s="232"/>
      <c r="I800" s="144"/>
      <c r="J800" s="144"/>
      <c r="K800" s="144"/>
      <c r="L800" s="144"/>
      <c r="M800" s="144"/>
      <c r="N800" s="144"/>
      <c r="O800" s="144"/>
      <c r="P800" s="144"/>
      <c r="Q800" s="144"/>
      <c r="R800" s="144"/>
      <c r="S800" s="144"/>
      <c r="T800" s="144"/>
      <c r="U800" s="232"/>
      <c r="V800" s="232"/>
      <c r="W800" s="144"/>
      <c r="X800" s="144"/>
      <c r="Y800" s="144"/>
      <c r="Z800" s="144"/>
      <c r="AA800" s="144"/>
      <c r="AB800" s="144"/>
      <c r="AC800" s="144"/>
      <c r="AD800" s="144"/>
      <c r="AE800" s="232"/>
      <c r="AF800" s="144"/>
      <c r="AG800" s="144"/>
      <c r="AH800" s="232"/>
      <c r="AI800" s="232"/>
      <c r="AJ800" s="144"/>
      <c r="AK800" s="144"/>
      <c r="AL800" s="144"/>
      <c r="AM800" s="144"/>
      <c r="AN800" s="144"/>
      <c r="AO800" s="144"/>
      <c r="AP800" s="144"/>
      <c r="AQ800" s="144"/>
      <c r="AR800" s="144"/>
      <c r="AS800" s="144"/>
      <c r="AT800" s="144"/>
      <c r="AU800" s="144"/>
      <c r="AV800" s="144"/>
    </row>
    <row r="801" spans="3:48" x14ac:dyDescent="0.25">
      <c r="C801" s="144"/>
      <c r="D801" s="144"/>
      <c r="E801" s="144"/>
      <c r="F801" s="144"/>
      <c r="G801" s="144"/>
      <c r="H801" s="232"/>
      <c r="I801" s="144"/>
      <c r="J801" s="144"/>
      <c r="K801" s="144"/>
      <c r="L801" s="144"/>
      <c r="M801" s="144"/>
      <c r="N801" s="144"/>
      <c r="O801" s="144"/>
      <c r="P801" s="144"/>
      <c r="Q801" s="144"/>
      <c r="R801" s="144"/>
      <c r="S801" s="144"/>
      <c r="T801" s="144"/>
      <c r="U801" s="232"/>
      <c r="V801" s="232"/>
      <c r="W801" s="144"/>
      <c r="X801" s="144"/>
      <c r="Y801" s="144"/>
      <c r="Z801" s="144"/>
      <c r="AA801" s="144"/>
      <c r="AB801" s="144"/>
      <c r="AC801" s="144"/>
      <c r="AD801" s="144"/>
      <c r="AE801" s="232"/>
      <c r="AF801" s="144"/>
      <c r="AG801" s="144"/>
      <c r="AH801" s="232"/>
      <c r="AI801" s="232"/>
      <c r="AJ801" s="144"/>
      <c r="AK801" s="144"/>
      <c r="AL801" s="144"/>
      <c r="AM801" s="144"/>
      <c r="AN801" s="144"/>
      <c r="AO801" s="144"/>
      <c r="AP801" s="144"/>
      <c r="AQ801" s="144"/>
      <c r="AR801" s="144"/>
      <c r="AS801" s="144"/>
      <c r="AT801" s="144"/>
      <c r="AU801" s="144"/>
      <c r="AV801" s="144"/>
    </row>
    <row r="802" spans="3:48" x14ac:dyDescent="0.25">
      <c r="C802" s="144"/>
      <c r="D802" s="144"/>
      <c r="E802" s="144"/>
      <c r="F802" s="144"/>
      <c r="G802" s="144"/>
      <c r="H802" s="232"/>
      <c r="I802" s="144"/>
      <c r="J802" s="144"/>
      <c r="K802" s="144"/>
      <c r="L802" s="144"/>
      <c r="M802" s="144"/>
      <c r="N802" s="144"/>
      <c r="O802" s="144"/>
      <c r="P802" s="144"/>
      <c r="Q802" s="144"/>
      <c r="R802" s="144"/>
      <c r="S802" s="144"/>
      <c r="T802" s="144"/>
      <c r="U802" s="232"/>
      <c r="V802" s="232"/>
      <c r="W802" s="144"/>
      <c r="X802" s="144"/>
      <c r="Y802" s="144"/>
      <c r="Z802" s="144"/>
      <c r="AA802" s="144"/>
      <c r="AB802" s="144"/>
      <c r="AC802" s="144"/>
      <c r="AD802" s="144"/>
      <c r="AE802" s="232"/>
      <c r="AF802" s="144"/>
      <c r="AG802" s="144"/>
      <c r="AH802" s="232"/>
      <c r="AI802" s="232"/>
      <c r="AJ802" s="144"/>
      <c r="AK802" s="144"/>
      <c r="AL802" s="144"/>
      <c r="AM802" s="144"/>
      <c r="AN802" s="144"/>
      <c r="AO802" s="144"/>
      <c r="AP802" s="144"/>
      <c r="AQ802" s="144"/>
      <c r="AR802" s="144"/>
      <c r="AS802" s="144"/>
      <c r="AT802" s="144"/>
      <c r="AU802" s="144"/>
      <c r="AV802" s="144"/>
    </row>
    <row r="803" spans="3:48" x14ac:dyDescent="0.25">
      <c r="C803" s="144"/>
      <c r="D803" s="144"/>
      <c r="E803" s="144"/>
      <c r="F803" s="144"/>
      <c r="G803" s="144"/>
      <c r="H803" s="232"/>
      <c r="I803" s="144"/>
      <c r="J803" s="144"/>
      <c r="K803" s="144"/>
      <c r="L803" s="144"/>
      <c r="M803" s="144"/>
      <c r="N803" s="144"/>
      <c r="O803" s="144"/>
      <c r="P803" s="144"/>
      <c r="Q803" s="144"/>
      <c r="R803" s="144"/>
      <c r="S803" s="144"/>
      <c r="T803" s="144"/>
      <c r="U803" s="232"/>
      <c r="V803" s="232"/>
      <c r="W803" s="144"/>
      <c r="X803" s="144"/>
      <c r="Y803" s="144"/>
      <c r="Z803" s="144"/>
      <c r="AA803" s="144"/>
      <c r="AB803" s="144"/>
      <c r="AC803" s="144"/>
      <c r="AD803" s="144"/>
      <c r="AE803" s="232"/>
      <c r="AF803" s="144"/>
      <c r="AG803" s="144"/>
      <c r="AH803" s="232"/>
      <c r="AI803" s="232"/>
      <c r="AJ803" s="144"/>
      <c r="AK803" s="144"/>
      <c r="AL803" s="144"/>
      <c r="AM803" s="144"/>
      <c r="AN803" s="144"/>
      <c r="AO803" s="144"/>
      <c r="AP803" s="144"/>
      <c r="AQ803" s="144"/>
      <c r="AR803" s="144"/>
      <c r="AS803" s="144"/>
      <c r="AT803" s="144"/>
      <c r="AU803" s="144"/>
      <c r="AV803" s="144"/>
    </row>
    <row r="804" spans="3:48" x14ac:dyDescent="0.25">
      <c r="C804" s="144"/>
      <c r="D804" s="144"/>
      <c r="E804" s="144"/>
      <c r="F804" s="144"/>
      <c r="G804" s="144"/>
      <c r="H804" s="232"/>
      <c r="I804" s="144"/>
      <c r="J804" s="144"/>
      <c r="K804" s="144"/>
      <c r="L804" s="144"/>
      <c r="M804" s="144"/>
      <c r="N804" s="144"/>
      <c r="O804" s="144"/>
      <c r="P804" s="144"/>
      <c r="Q804" s="144"/>
      <c r="R804" s="144"/>
      <c r="S804" s="144"/>
      <c r="T804" s="144"/>
      <c r="U804" s="232"/>
      <c r="V804" s="232"/>
      <c r="W804" s="144"/>
      <c r="X804" s="144"/>
      <c r="Y804" s="144"/>
      <c r="Z804" s="144"/>
      <c r="AA804" s="144"/>
      <c r="AB804" s="144"/>
      <c r="AC804" s="144"/>
      <c r="AD804" s="144"/>
      <c r="AE804" s="232"/>
      <c r="AF804" s="144"/>
      <c r="AG804" s="144"/>
      <c r="AH804" s="232"/>
      <c r="AI804" s="232"/>
      <c r="AJ804" s="144"/>
      <c r="AK804" s="144"/>
      <c r="AL804" s="144"/>
      <c r="AM804" s="144"/>
      <c r="AN804" s="144"/>
      <c r="AO804" s="144"/>
      <c r="AP804" s="144"/>
      <c r="AQ804" s="144"/>
      <c r="AR804" s="144"/>
      <c r="AS804" s="144"/>
      <c r="AT804" s="144"/>
      <c r="AU804" s="144"/>
      <c r="AV804" s="144"/>
    </row>
    <row r="805" spans="3:48" x14ac:dyDescent="0.25">
      <c r="C805" s="144"/>
      <c r="D805" s="144"/>
      <c r="E805" s="144"/>
      <c r="F805" s="144"/>
      <c r="G805" s="144"/>
      <c r="H805" s="232"/>
      <c r="I805" s="144"/>
      <c r="J805" s="144"/>
      <c r="K805" s="144"/>
      <c r="L805" s="144"/>
      <c r="M805" s="144"/>
      <c r="N805" s="144"/>
      <c r="O805" s="144"/>
      <c r="P805" s="144"/>
      <c r="Q805" s="144"/>
      <c r="R805" s="144"/>
      <c r="S805" s="144"/>
      <c r="T805" s="144"/>
      <c r="U805" s="232"/>
      <c r="V805" s="232"/>
      <c r="W805" s="144"/>
      <c r="X805" s="144"/>
      <c r="Y805" s="144"/>
      <c r="Z805" s="144"/>
      <c r="AA805" s="144"/>
      <c r="AB805" s="144"/>
      <c r="AC805" s="144"/>
      <c r="AD805" s="144"/>
      <c r="AE805" s="232"/>
      <c r="AF805" s="144"/>
      <c r="AG805" s="144"/>
      <c r="AH805" s="232"/>
      <c r="AI805" s="232"/>
      <c r="AJ805" s="144"/>
      <c r="AK805" s="144"/>
      <c r="AL805" s="144"/>
      <c r="AM805" s="144"/>
      <c r="AN805" s="144"/>
      <c r="AO805" s="144"/>
      <c r="AP805" s="144"/>
      <c r="AQ805" s="144"/>
      <c r="AR805" s="144"/>
      <c r="AS805" s="144"/>
      <c r="AT805" s="144"/>
      <c r="AU805" s="144"/>
      <c r="AV805" s="144"/>
    </row>
    <row r="806" spans="3:48" x14ac:dyDescent="0.25">
      <c r="C806" s="144"/>
      <c r="D806" s="144"/>
      <c r="E806" s="144"/>
      <c r="F806" s="144"/>
      <c r="G806" s="144"/>
      <c r="H806" s="232"/>
      <c r="I806" s="144"/>
      <c r="J806" s="144"/>
      <c r="K806" s="144"/>
      <c r="L806" s="144"/>
      <c r="M806" s="144"/>
      <c r="N806" s="144"/>
      <c r="O806" s="144"/>
      <c r="P806" s="144"/>
      <c r="Q806" s="144"/>
      <c r="R806" s="144"/>
      <c r="S806" s="144"/>
      <c r="T806" s="144"/>
      <c r="U806" s="232"/>
      <c r="V806" s="232"/>
      <c r="W806" s="144"/>
      <c r="X806" s="144"/>
      <c r="Y806" s="144"/>
      <c r="Z806" s="144"/>
      <c r="AA806" s="144"/>
      <c r="AB806" s="144"/>
      <c r="AC806" s="144"/>
      <c r="AD806" s="144"/>
      <c r="AE806" s="232"/>
      <c r="AF806" s="144"/>
      <c r="AG806" s="144"/>
      <c r="AH806" s="232"/>
      <c r="AI806" s="232"/>
      <c r="AJ806" s="144"/>
      <c r="AK806" s="144"/>
      <c r="AL806" s="144"/>
      <c r="AM806" s="144"/>
      <c r="AN806" s="144"/>
      <c r="AO806" s="144"/>
      <c r="AP806" s="144"/>
      <c r="AQ806" s="144"/>
      <c r="AR806" s="144"/>
      <c r="AS806" s="144"/>
      <c r="AT806" s="144"/>
      <c r="AU806" s="144"/>
      <c r="AV806" s="144"/>
    </row>
    <row r="807" spans="3:48" x14ac:dyDescent="0.25">
      <c r="C807" s="144"/>
      <c r="D807" s="144"/>
      <c r="E807" s="144"/>
      <c r="F807" s="144"/>
      <c r="G807" s="144"/>
      <c r="H807" s="232"/>
      <c r="I807" s="144"/>
      <c r="J807" s="144"/>
      <c r="K807" s="144"/>
      <c r="L807" s="144"/>
      <c r="M807" s="144"/>
      <c r="N807" s="144"/>
      <c r="O807" s="144"/>
      <c r="P807" s="144"/>
      <c r="Q807" s="144"/>
      <c r="R807" s="144"/>
      <c r="S807" s="144"/>
      <c r="T807" s="144"/>
      <c r="U807" s="232"/>
      <c r="V807" s="232"/>
      <c r="W807" s="144"/>
      <c r="X807" s="144"/>
      <c r="Y807" s="144"/>
      <c r="Z807" s="144"/>
      <c r="AA807" s="144"/>
      <c r="AB807" s="144"/>
      <c r="AC807" s="144"/>
      <c r="AD807" s="144"/>
      <c r="AE807" s="232"/>
      <c r="AF807" s="144"/>
      <c r="AG807" s="144"/>
      <c r="AH807" s="232"/>
      <c r="AI807" s="232"/>
      <c r="AJ807" s="144"/>
      <c r="AK807" s="144"/>
      <c r="AL807" s="144"/>
      <c r="AM807" s="144"/>
      <c r="AN807" s="144"/>
      <c r="AO807" s="144"/>
      <c r="AP807" s="144"/>
      <c r="AQ807" s="144"/>
      <c r="AR807" s="144"/>
      <c r="AS807" s="144"/>
      <c r="AT807" s="144"/>
      <c r="AU807" s="144"/>
      <c r="AV807" s="144"/>
    </row>
    <row r="808" spans="3:48" x14ac:dyDescent="0.25">
      <c r="C808" s="144"/>
      <c r="D808" s="144"/>
      <c r="E808" s="144"/>
      <c r="F808" s="144"/>
      <c r="G808" s="144"/>
      <c r="H808" s="232"/>
      <c r="I808" s="144"/>
      <c r="J808" s="144"/>
      <c r="K808" s="144"/>
      <c r="L808" s="144"/>
      <c r="M808" s="144"/>
      <c r="N808" s="144"/>
      <c r="O808" s="144"/>
      <c r="P808" s="144"/>
      <c r="Q808" s="144"/>
      <c r="R808" s="144"/>
      <c r="S808" s="144"/>
      <c r="T808" s="144"/>
      <c r="U808" s="232"/>
      <c r="V808" s="232"/>
      <c r="W808" s="144"/>
      <c r="X808" s="144"/>
      <c r="Y808" s="144"/>
      <c r="Z808" s="144"/>
      <c r="AA808" s="144"/>
      <c r="AB808" s="144"/>
      <c r="AC808" s="144"/>
      <c r="AD808" s="144"/>
      <c r="AE808" s="232"/>
      <c r="AF808" s="144"/>
      <c r="AG808" s="144"/>
      <c r="AH808" s="232"/>
      <c r="AI808" s="232"/>
      <c r="AJ808" s="144"/>
      <c r="AK808" s="144"/>
      <c r="AL808" s="144"/>
      <c r="AM808" s="144"/>
      <c r="AN808" s="144"/>
      <c r="AO808" s="144"/>
      <c r="AP808" s="144"/>
      <c r="AQ808" s="144"/>
      <c r="AR808" s="144"/>
      <c r="AS808" s="144"/>
      <c r="AT808" s="144"/>
      <c r="AU808" s="144"/>
      <c r="AV808" s="144"/>
    </row>
    <row r="809" spans="3:48" x14ac:dyDescent="0.25">
      <c r="C809" s="144"/>
      <c r="D809" s="144"/>
      <c r="E809" s="144"/>
      <c r="F809" s="144"/>
      <c r="G809" s="144"/>
      <c r="H809" s="232"/>
      <c r="I809" s="144"/>
      <c r="J809" s="144"/>
      <c r="K809" s="144"/>
      <c r="L809" s="144"/>
      <c r="M809" s="144"/>
      <c r="N809" s="144"/>
      <c r="O809" s="144"/>
      <c r="P809" s="144"/>
      <c r="Q809" s="144"/>
      <c r="R809" s="144"/>
      <c r="S809" s="144"/>
      <c r="T809" s="144"/>
      <c r="U809" s="232"/>
      <c r="V809" s="232"/>
      <c r="W809" s="144"/>
      <c r="X809" s="144"/>
      <c r="Y809" s="144"/>
      <c r="Z809" s="144"/>
      <c r="AA809" s="144"/>
      <c r="AB809" s="144"/>
      <c r="AC809" s="144"/>
      <c r="AD809" s="144"/>
      <c r="AE809" s="232"/>
      <c r="AF809" s="144"/>
      <c r="AG809" s="144"/>
      <c r="AH809" s="232"/>
      <c r="AI809" s="232"/>
      <c r="AJ809" s="144"/>
      <c r="AK809" s="144"/>
      <c r="AL809" s="144"/>
      <c r="AM809" s="144"/>
      <c r="AN809" s="144"/>
      <c r="AO809" s="144"/>
      <c r="AP809" s="144"/>
      <c r="AQ809" s="144"/>
      <c r="AR809" s="144"/>
      <c r="AS809" s="144"/>
      <c r="AT809" s="144"/>
      <c r="AU809" s="144"/>
      <c r="AV809" s="144"/>
    </row>
    <row r="810" spans="3:48" x14ac:dyDescent="0.25">
      <c r="C810" s="144"/>
      <c r="D810" s="144"/>
      <c r="E810" s="144"/>
      <c r="F810" s="144"/>
      <c r="G810" s="144"/>
      <c r="H810" s="232"/>
      <c r="I810" s="144"/>
      <c r="J810" s="144"/>
      <c r="K810" s="144"/>
      <c r="L810" s="144"/>
      <c r="M810" s="144"/>
      <c r="N810" s="144"/>
      <c r="O810" s="144"/>
      <c r="P810" s="144"/>
      <c r="Q810" s="144"/>
      <c r="R810" s="144"/>
      <c r="S810" s="144"/>
      <c r="T810" s="144"/>
      <c r="U810" s="232"/>
      <c r="V810" s="232"/>
      <c r="W810" s="144"/>
      <c r="X810" s="144"/>
      <c r="Y810" s="144"/>
      <c r="Z810" s="144"/>
      <c r="AA810" s="144"/>
      <c r="AB810" s="144"/>
      <c r="AC810" s="144"/>
      <c r="AD810" s="144"/>
      <c r="AE810" s="232"/>
      <c r="AF810" s="144"/>
      <c r="AG810" s="144"/>
      <c r="AH810" s="232"/>
      <c r="AI810" s="232"/>
      <c r="AJ810" s="144"/>
      <c r="AK810" s="144"/>
      <c r="AL810" s="144"/>
      <c r="AM810" s="144"/>
      <c r="AN810" s="144"/>
      <c r="AO810" s="144"/>
      <c r="AP810" s="144"/>
      <c r="AQ810" s="144"/>
      <c r="AR810" s="144"/>
      <c r="AS810" s="144"/>
      <c r="AT810" s="144"/>
      <c r="AU810" s="144"/>
      <c r="AV810" s="144"/>
    </row>
    <row r="811" spans="3:48" x14ac:dyDescent="0.25">
      <c r="C811" s="144"/>
      <c r="D811" s="144"/>
      <c r="E811" s="144"/>
      <c r="F811" s="144"/>
      <c r="G811" s="144"/>
      <c r="H811" s="232"/>
      <c r="I811" s="144"/>
      <c r="J811" s="144"/>
      <c r="K811" s="144"/>
      <c r="L811" s="144"/>
      <c r="M811" s="144"/>
      <c r="N811" s="144"/>
      <c r="O811" s="144"/>
      <c r="P811" s="144"/>
      <c r="Q811" s="144"/>
      <c r="R811" s="144"/>
      <c r="S811" s="144"/>
      <c r="T811" s="144"/>
      <c r="U811" s="232"/>
      <c r="V811" s="232"/>
      <c r="W811" s="144"/>
      <c r="X811" s="144"/>
      <c r="Y811" s="144"/>
      <c r="Z811" s="144"/>
      <c r="AA811" s="144"/>
      <c r="AB811" s="144"/>
      <c r="AC811" s="144"/>
      <c r="AD811" s="144"/>
      <c r="AE811" s="232"/>
      <c r="AF811" s="144"/>
      <c r="AG811" s="144"/>
      <c r="AH811" s="232"/>
      <c r="AI811" s="232"/>
      <c r="AJ811" s="144"/>
      <c r="AK811" s="144"/>
      <c r="AL811" s="144"/>
      <c r="AM811" s="144"/>
      <c r="AN811" s="144"/>
      <c r="AO811" s="144"/>
      <c r="AP811" s="144"/>
      <c r="AQ811" s="144"/>
      <c r="AR811" s="144"/>
      <c r="AS811" s="144"/>
      <c r="AT811" s="144"/>
      <c r="AU811" s="144"/>
      <c r="AV811" s="144"/>
    </row>
    <row r="812" spans="3:48" x14ac:dyDescent="0.25">
      <c r="C812" s="144"/>
      <c r="D812" s="144"/>
      <c r="E812" s="144"/>
      <c r="F812" s="144"/>
      <c r="G812" s="144"/>
      <c r="H812" s="232"/>
      <c r="I812" s="144"/>
      <c r="J812" s="144"/>
      <c r="K812" s="144"/>
      <c r="L812" s="144"/>
      <c r="M812" s="144"/>
      <c r="N812" s="144"/>
      <c r="O812" s="144"/>
      <c r="P812" s="144"/>
      <c r="Q812" s="144"/>
      <c r="R812" s="144"/>
      <c r="S812" s="144"/>
      <c r="T812" s="144"/>
      <c r="U812" s="232"/>
      <c r="V812" s="232"/>
      <c r="W812" s="144"/>
      <c r="X812" s="144"/>
      <c r="Y812" s="144"/>
      <c r="Z812" s="144"/>
      <c r="AA812" s="144"/>
      <c r="AB812" s="144"/>
      <c r="AC812" s="144"/>
      <c r="AD812" s="144"/>
      <c r="AE812" s="232"/>
      <c r="AF812" s="144"/>
      <c r="AG812" s="144"/>
      <c r="AH812" s="232"/>
      <c r="AI812" s="232"/>
      <c r="AJ812" s="144"/>
      <c r="AK812" s="144"/>
      <c r="AL812" s="144"/>
      <c r="AM812" s="144"/>
      <c r="AN812" s="144"/>
      <c r="AO812" s="144"/>
      <c r="AP812" s="144"/>
      <c r="AQ812" s="144"/>
      <c r="AR812" s="144"/>
      <c r="AS812" s="144"/>
      <c r="AT812" s="144"/>
      <c r="AU812" s="144"/>
      <c r="AV812" s="144"/>
    </row>
    <row r="813" spans="3:48" x14ac:dyDescent="0.25">
      <c r="C813" s="144"/>
      <c r="D813" s="144"/>
      <c r="E813" s="144"/>
      <c r="F813" s="144"/>
      <c r="G813" s="144"/>
      <c r="H813" s="232"/>
      <c r="I813" s="144"/>
      <c r="J813" s="144"/>
      <c r="K813" s="144"/>
      <c r="L813" s="144"/>
      <c r="M813" s="144"/>
      <c r="N813" s="144"/>
      <c r="O813" s="144"/>
      <c r="P813" s="144"/>
      <c r="Q813" s="144"/>
      <c r="R813" s="144"/>
      <c r="S813" s="144"/>
      <c r="T813" s="144"/>
      <c r="U813" s="232"/>
      <c r="V813" s="232"/>
      <c r="W813" s="144"/>
      <c r="X813" s="144"/>
      <c r="Y813" s="144"/>
      <c r="Z813" s="144"/>
      <c r="AA813" s="144"/>
      <c r="AB813" s="144"/>
      <c r="AC813" s="144"/>
      <c r="AD813" s="144"/>
      <c r="AE813" s="232"/>
      <c r="AF813" s="144"/>
      <c r="AG813" s="144"/>
      <c r="AH813" s="232"/>
      <c r="AI813" s="232"/>
      <c r="AJ813" s="144"/>
      <c r="AK813" s="144"/>
      <c r="AL813" s="144"/>
      <c r="AM813" s="144"/>
      <c r="AN813" s="144"/>
      <c r="AO813" s="144"/>
      <c r="AP813" s="144"/>
      <c r="AQ813" s="144"/>
      <c r="AR813" s="144"/>
      <c r="AS813" s="144"/>
      <c r="AT813" s="144"/>
      <c r="AU813" s="144"/>
      <c r="AV813" s="144"/>
    </row>
    <row r="814" spans="3:48" x14ac:dyDescent="0.25">
      <c r="C814" s="144"/>
      <c r="D814" s="144"/>
      <c r="E814" s="144"/>
      <c r="F814" s="144"/>
      <c r="G814" s="144"/>
      <c r="H814" s="232"/>
      <c r="I814" s="144"/>
      <c r="J814" s="144"/>
      <c r="K814" s="144"/>
      <c r="L814" s="144"/>
      <c r="M814" s="144"/>
      <c r="N814" s="144"/>
      <c r="O814" s="144"/>
      <c r="P814" s="144"/>
      <c r="Q814" s="144"/>
      <c r="R814" s="144"/>
      <c r="S814" s="144"/>
      <c r="T814" s="144"/>
      <c r="U814" s="232"/>
      <c r="V814" s="232"/>
      <c r="W814" s="144"/>
      <c r="X814" s="144"/>
      <c r="Y814" s="144"/>
      <c r="Z814" s="144"/>
      <c r="AA814" s="144"/>
      <c r="AB814" s="144"/>
      <c r="AC814" s="144"/>
      <c r="AD814" s="144"/>
      <c r="AE814" s="232"/>
      <c r="AF814" s="144"/>
      <c r="AG814" s="144"/>
      <c r="AH814" s="232"/>
      <c r="AI814" s="232"/>
      <c r="AJ814" s="144"/>
      <c r="AK814" s="144"/>
      <c r="AL814" s="144"/>
      <c r="AM814" s="144"/>
      <c r="AN814" s="144"/>
      <c r="AO814" s="144"/>
      <c r="AP814" s="144"/>
      <c r="AQ814" s="144"/>
      <c r="AR814" s="144"/>
      <c r="AS814" s="144"/>
      <c r="AT814" s="144"/>
      <c r="AU814" s="144"/>
      <c r="AV814" s="144"/>
    </row>
    <row r="815" spans="3:48" x14ac:dyDescent="0.25">
      <c r="C815" s="144"/>
      <c r="D815" s="144"/>
      <c r="E815" s="144"/>
      <c r="F815" s="144"/>
      <c r="G815" s="144"/>
      <c r="H815" s="232"/>
      <c r="I815" s="144"/>
      <c r="J815" s="144"/>
      <c r="K815" s="144"/>
      <c r="L815" s="144"/>
      <c r="M815" s="144"/>
      <c r="N815" s="144"/>
      <c r="O815" s="144"/>
      <c r="P815" s="144"/>
      <c r="Q815" s="144"/>
      <c r="R815" s="144"/>
      <c r="S815" s="144"/>
      <c r="T815" s="144"/>
      <c r="U815" s="232"/>
      <c r="V815" s="232"/>
      <c r="W815" s="144"/>
      <c r="X815" s="144"/>
      <c r="Y815" s="144"/>
      <c r="Z815" s="144"/>
      <c r="AA815" s="144"/>
      <c r="AB815" s="144"/>
      <c r="AC815" s="144"/>
      <c r="AD815" s="144"/>
      <c r="AE815" s="232"/>
      <c r="AF815" s="144"/>
      <c r="AG815" s="144"/>
      <c r="AH815" s="232"/>
      <c r="AI815" s="232"/>
      <c r="AJ815" s="144"/>
      <c r="AK815" s="144"/>
      <c r="AL815" s="144"/>
      <c r="AM815" s="144"/>
      <c r="AN815" s="144"/>
      <c r="AO815" s="144"/>
      <c r="AP815" s="144"/>
      <c r="AQ815" s="144"/>
      <c r="AR815" s="144"/>
      <c r="AS815" s="144"/>
      <c r="AT815" s="144"/>
      <c r="AU815" s="144"/>
      <c r="AV815" s="144"/>
    </row>
    <row r="816" spans="3:48" x14ac:dyDescent="0.25">
      <c r="C816" s="144"/>
      <c r="D816" s="144"/>
      <c r="E816" s="144"/>
      <c r="F816" s="144"/>
      <c r="G816" s="144"/>
      <c r="H816" s="232"/>
      <c r="I816" s="144"/>
      <c r="J816" s="144"/>
      <c r="K816" s="144"/>
      <c r="L816" s="144"/>
      <c r="M816" s="144"/>
      <c r="N816" s="144"/>
      <c r="O816" s="144"/>
      <c r="P816" s="144"/>
      <c r="Q816" s="144"/>
      <c r="R816" s="144"/>
      <c r="S816" s="144"/>
      <c r="T816" s="144"/>
      <c r="U816" s="232"/>
      <c r="V816" s="232"/>
      <c r="W816" s="144"/>
      <c r="X816" s="144"/>
      <c r="Y816" s="144"/>
      <c r="Z816" s="144"/>
      <c r="AA816" s="144"/>
      <c r="AB816" s="144"/>
      <c r="AC816" s="144"/>
      <c r="AD816" s="144"/>
      <c r="AE816" s="232"/>
      <c r="AF816" s="144"/>
      <c r="AG816" s="144"/>
      <c r="AH816" s="232"/>
      <c r="AI816" s="232"/>
      <c r="AJ816" s="144"/>
      <c r="AK816" s="144"/>
      <c r="AL816" s="144"/>
      <c r="AM816" s="144"/>
      <c r="AN816" s="144"/>
      <c r="AO816" s="144"/>
      <c r="AP816" s="144"/>
      <c r="AQ816" s="144"/>
      <c r="AR816" s="144"/>
      <c r="AS816" s="144"/>
      <c r="AT816" s="144"/>
      <c r="AU816" s="144"/>
      <c r="AV816" s="144"/>
    </row>
    <row r="817" spans="3:48" x14ac:dyDescent="0.25">
      <c r="C817" s="144"/>
      <c r="D817" s="144"/>
      <c r="E817" s="144"/>
      <c r="F817" s="144"/>
      <c r="G817" s="144"/>
      <c r="H817" s="232"/>
      <c r="I817" s="144"/>
      <c r="J817" s="144"/>
      <c r="K817" s="144"/>
      <c r="L817" s="144"/>
      <c r="M817" s="144"/>
      <c r="N817" s="144"/>
      <c r="O817" s="144"/>
      <c r="P817" s="144"/>
      <c r="Q817" s="144"/>
      <c r="R817" s="144"/>
      <c r="S817" s="144"/>
      <c r="T817" s="144"/>
      <c r="U817" s="232"/>
      <c r="V817" s="232"/>
      <c r="W817" s="144"/>
      <c r="X817" s="144"/>
      <c r="Y817" s="144"/>
      <c r="Z817" s="144"/>
      <c r="AA817" s="144"/>
      <c r="AB817" s="144"/>
      <c r="AC817" s="144"/>
      <c r="AD817" s="144"/>
      <c r="AE817" s="232"/>
      <c r="AF817" s="144"/>
      <c r="AG817" s="144"/>
      <c r="AH817" s="232"/>
      <c r="AI817" s="232"/>
      <c r="AJ817" s="144"/>
      <c r="AK817" s="144"/>
      <c r="AL817" s="144"/>
      <c r="AM817" s="144"/>
      <c r="AN817" s="144"/>
      <c r="AO817" s="144"/>
      <c r="AP817" s="144"/>
      <c r="AQ817" s="144"/>
      <c r="AR817" s="144"/>
      <c r="AS817" s="144"/>
      <c r="AT817" s="144"/>
      <c r="AU817" s="144"/>
      <c r="AV817" s="144"/>
    </row>
    <row r="818" spans="3:48" x14ac:dyDescent="0.25">
      <c r="C818" s="144"/>
      <c r="D818" s="144"/>
      <c r="E818" s="144"/>
      <c r="F818" s="144"/>
      <c r="G818" s="144"/>
      <c r="H818" s="232"/>
      <c r="I818" s="144"/>
      <c r="J818" s="144"/>
      <c r="K818" s="144"/>
      <c r="L818" s="144"/>
      <c r="M818" s="144"/>
      <c r="N818" s="144"/>
      <c r="O818" s="144"/>
      <c r="P818" s="144"/>
      <c r="Q818" s="144"/>
      <c r="R818" s="144"/>
      <c r="S818" s="144"/>
      <c r="T818" s="144"/>
      <c r="U818" s="232"/>
      <c r="V818" s="232"/>
      <c r="W818" s="144"/>
      <c r="X818" s="144"/>
      <c r="Y818" s="144"/>
      <c r="Z818" s="144"/>
      <c r="AA818" s="144"/>
      <c r="AB818" s="144"/>
      <c r="AC818" s="144"/>
      <c r="AD818" s="144"/>
      <c r="AE818" s="232"/>
      <c r="AF818" s="144"/>
      <c r="AG818" s="144"/>
      <c r="AH818" s="232"/>
      <c r="AI818" s="232"/>
      <c r="AJ818" s="144"/>
      <c r="AK818" s="144"/>
      <c r="AL818" s="144"/>
      <c r="AM818" s="144"/>
      <c r="AN818" s="144"/>
      <c r="AO818" s="144"/>
      <c r="AP818" s="144"/>
      <c r="AQ818" s="144"/>
      <c r="AR818" s="144"/>
      <c r="AS818" s="144"/>
      <c r="AT818" s="144"/>
      <c r="AU818" s="144"/>
      <c r="AV818" s="144"/>
    </row>
    <row r="819" spans="3:48" x14ac:dyDescent="0.25">
      <c r="C819" s="144"/>
      <c r="D819" s="144"/>
      <c r="E819" s="144"/>
      <c r="F819" s="144"/>
      <c r="G819" s="144"/>
      <c r="H819" s="232"/>
      <c r="I819" s="144"/>
      <c r="J819" s="144"/>
      <c r="K819" s="144"/>
      <c r="L819" s="144"/>
      <c r="M819" s="144"/>
      <c r="N819" s="144"/>
      <c r="O819" s="144"/>
      <c r="P819" s="144"/>
      <c r="Q819" s="144"/>
      <c r="R819" s="144"/>
      <c r="S819" s="144"/>
      <c r="T819" s="144"/>
      <c r="U819" s="232"/>
      <c r="V819" s="232"/>
      <c r="W819" s="144"/>
      <c r="X819" s="144"/>
      <c r="Y819" s="144"/>
      <c r="Z819" s="144"/>
      <c r="AA819" s="144"/>
      <c r="AB819" s="144"/>
      <c r="AC819" s="144"/>
      <c r="AD819" s="144"/>
      <c r="AE819" s="232"/>
      <c r="AF819" s="144"/>
      <c r="AG819" s="144"/>
      <c r="AH819" s="232"/>
      <c r="AI819" s="232"/>
      <c r="AJ819" s="144"/>
      <c r="AK819" s="144"/>
      <c r="AL819" s="144"/>
      <c r="AM819" s="144"/>
      <c r="AN819" s="144"/>
      <c r="AO819" s="144"/>
      <c r="AP819" s="144"/>
      <c r="AQ819" s="144"/>
      <c r="AR819" s="144"/>
      <c r="AS819" s="144"/>
      <c r="AT819" s="144"/>
      <c r="AU819" s="144"/>
      <c r="AV819" s="144"/>
    </row>
    <row r="820" spans="3:48" x14ac:dyDescent="0.25">
      <c r="C820" s="144"/>
      <c r="D820" s="144"/>
      <c r="E820" s="144"/>
      <c r="F820" s="144"/>
      <c r="G820" s="144"/>
      <c r="H820" s="232"/>
      <c r="I820" s="144"/>
      <c r="J820" s="144"/>
      <c r="K820" s="144"/>
      <c r="L820" s="144"/>
      <c r="M820" s="144"/>
      <c r="N820" s="144"/>
      <c r="O820" s="144"/>
      <c r="P820" s="144"/>
      <c r="Q820" s="144"/>
      <c r="R820" s="144"/>
      <c r="S820" s="144"/>
      <c r="T820" s="144"/>
      <c r="U820" s="232"/>
      <c r="V820" s="232"/>
      <c r="W820" s="144"/>
      <c r="X820" s="144"/>
      <c r="Y820" s="144"/>
      <c r="Z820" s="144"/>
      <c r="AA820" s="144"/>
      <c r="AB820" s="144"/>
      <c r="AC820" s="144"/>
      <c r="AD820" s="144"/>
      <c r="AE820" s="232"/>
      <c r="AF820" s="144"/>
      <c r="AG820" s="144"/>
      <c r="AH820" s="232"/>
      <c r="AI820" s="232"/>
      <c r="AJ820" s="144"/>
      <c r="AK820" s="144"/>
      <c r="AL820" s="144"/>
      <c r="AM820" s="144"/>
      <c r="AN820" s="144"/>
      <c r="AO820" s="144"/>
      <c r="AP820" s="144"/>
      <c r="AQ820" s="144"/>
      <c r="AR820" s="144"/>
      <c r="AS820" s="144"/>
      <c r="AT820" s="144"/>
      <c r="AU820" s="144"/>
      <c r="AV820" s="144"/>
    </row>
    <row r="821" spans="3:48" x14ac:dyDescent="0.25">
      <c r="C821" s="144"/>
      <c r="D821" s="144"/>
      <c r="E821" s="144"/>
      <c r="F821" s="144"/>
      <c r="G821" s="144"/>
      <c r="H821" s="232"/>
      <c r="I821" s="144"/>
      <c r="J821" s="144"/>
      <c r="K821" s="144"/>
      <c r="L821" s="144"/>
      <c r="M821" s="144"/>
      <c r="N821" s="144"/>
      <c r="O821" s="144"/>
      <c r="P821" s="144"/>
      <c r="Q821" s="144"/>
      <c r="R821" s="144"/>
      <c r="S821" s="144"/>
      <c r="T821" s="144"/>
      <c r="U821" s="232"/>
      <c r="V821" s="232"/>
      <c r="W821" s="144"/>
      <c r="X821" s="144"/>
      <c r="Y821" s="144"/>
      <c r="Z821" s="144"/>
      <c r="AA821" s="144"/>
      <c r="AB821" s="144"/>
      <c r="AC821" s="144"/>
      <c r="AD821" s="144"/>
      <c r="AE821" s="232"/>
      <c r="AF821" s="144"/>
      <c r="AG821" s="144"/>
      <c r="AH821" s="232"/>
      <c r="AI821" s="232"/>
      <c r="AJ821" s="144"/>
      <c r="AK821" s="144"/>
      <c r="AL821" s="144"/>
      <c r="AM821" s="144"/>
      <c r="AN821" s="144"/>
      <c r="AO821" s="144"/>
      <c r="AP821" s="144"/>
      <c r="AQ821" s="144"/>
      <c r="AR821" s="144"/>
      <c r="AS821" s="144"/>
      <c r="AT821" s="144"/>
      <c r="AU821" s="144"/>
      <c r="AV821" s="144"/>
    </row>
    <row r="822" spans="3:48" x14ac:dyDescent="0.25">
      <c r="C822" s="144"/>
      <c r="D822" s="144"/>
      <c r="E822" s="144"/>
      <c r="F822" s="144"/>
      <c r="G822" s="144"/>
      <c r="H822" s="232"/>
      <c r="I822" s="144"/>
      <c r="J822" s="144"/>
      <c r="K822" s="144"/>
      <c r="L822" s="144"/>
      <c r="M822" s="144"/>
      <c r="N822" s="144"/>
      <c r="O822" s="144"/>
      <c r="P822" s="144"/>
      <c r="Q822" s="144"/>
      <c r="R822" s="144"/>
      <c r="S822" s="144"/>
      <c r="T822" s="144"/>
      <c r="U822" s="232"/>
      <c r="V822" s="232"/>
      <c r="W822" s="144"/>
      <c r="X822" s="144"/>
      <c r="Y822" s="144"/>
      <c r="Z822" s="144"/>
      <c r="AA822" s="144"/>
      <c r="AB822" s="144"/>
      <c r="AC822" s="144"/>
      <c r="AD822" s="144"/>
      <c r="AE822" s="232"/>
      <c r="AF822" s="144"/>
      <c r="AG822" s="144"/>
      <c r="AH822" s="232"/>
      <c r="AI822" s="232"/>
      <c r="AJ822" s="144"/>
      <c r="AK822" s="144"/>
      <c r="AL822" s="144"/>
      <c r="AM822" s="144"/>
      <c r="AN822" s="144"/>
      <c r="AO822" s="144"/>
      <c r="AP822" s="144"/>
      <c r="AQ822" s="144"/>
      <c r="AR822" s="144"/>
      <c r="AS822" s="144"/>
      <c r="AT822" s="144"/>
      <c r="AU822" s="144"/>
      <c r="AV822" s="144"/>
    </row>
    <row r="823" spans="3:48" x14ac:dyDescent="0.25">
      <c r="C823" s="144"/>
      <c r="D823" s="144"/>
      <c r="E823" s="144"/>
      <c r="F823" s="144"/>
      <c r="G823" s="144"/>
      <c r="H823" s="232"/>
      <c r="I823" s="144"/>
      <c r="J823" s="144"/>
      <c r="K823" s="144"/>
      <c r="L823" s="144"/>
      <c r="M823" s="144"/>
      <c r="N823" s="144"/>
      <c r="O823" s="144"/>
      <c r="P823" s="144"/>
      <c r="Q823" s="144"/>
      <c r="R823" s="144"/>
      <c r="S823" s="144"/>
      <c r="T823" s="144"/>
      <c r="U823" s="232"/>
      <c r="V823" s="232"/>
      <c r="W823" s="144"/>
      <c r="X823" s="144"/>
      <c r="Y823" s="144"/>
      <c r="Z823" s="144"/>
      <c r="AA823" s="144"/>
      <c r="AB823" s="144"/>
      <c r="AC823" s="144"/>
      <c r="AD823" s="144"/>
      <c r="AE823" s="232"/>
      <c r="AF823" s="144"/>
      <c r="AG823" s="144"/>
      <c r="AH823" s="232"/>
      <c r="AI823" s="232"/>
      <c r="AJ823" s="144"/>
      <c r="AK823" s="144"/>
      <c r="AL823" s="144"/>
      <c r="AM823" s="144"/>
      <c r="AN823" s="144"/>
      <c r="AO823" s="144"/>
      <c r="AP823" s="144"/>
      <c r="AQ823" s="144"/>
      <c r="AR823" s="144"/>
      <c r="AS823" s="144"/>
      <c r="AT823" s="144"/>
      <c r="AU823" s="144"/>
      <c r="AV823" s="144"/>
    </row>
    <row r="824" spans="3:48" x14ac:dyDescent="0.25">
      <c r="C824" s="144"/>
      <c r="D824" s="144"/>
      <c r="E824" s="144"/>
      <c r="F824" s="144"/>
      <c r="G824" s="144"/>
      <c r="H824" s="232"/>
      <c r="I824" s="144"/>
      <c r="J824" s="144"/>
      <c r="K824" s="144"/>
      <c r="L824" s="144"/>
      <c r="M824" s="144"/>
      <c r="N824" s="144"/>
      <c r="O824" s="144"/>
      <c r="P824" s="144"/>
      <c r="Q824" s="144"/>
      <c r="R824" s="144"/>
      <c r="S824" s="144"/>
      <c r="T824" s="144"/>
      <c r="U824" s="232"/>
      <c r="V824" s="232"/>
      <c r="W824" s="144"/>
      <c r="X824" s="144"/>
      <c r="Y824" s="144"/>
      <c r="Z824" s="144"/>
      <c r="AA824" s="144"/>
      <c r="AB824" s="144"/>
      <c r="AC824" s="144"/>
      <c r="AD824" s="144"/>
      <c r="AE824" s="232"/>
      <c r="AF824" s="144"/>
      <c r="AG824" s="144"/>
      <c r="AH824" s="232"/>
      <c r="AI824" s="232"/>
      <c r="AJ824" s="144"/>
      <c r="AK824" s="144"/>
      <c r="AL824" s="144"/>
      <c r="AM824" s="144"/>
      <c r="AN824" s="144"/>
      <c r="AO824" s="144"/>
      <c r="AP824" s="144"/>
      <c r="AQ824" s="144"/>
      <c r="AR824" s="144"/>
      <c r="AS824" s="144"/>
      <c r="AT824" s="144"/>
      <c r="AU824" s="144"/>
      <c r="AV824" s="144"/>
    </row>
    <row r="825" spans="3:48" x14ac:dyDescent="0.25">
      <c r="C825" s="144"/>
      <c r="D825" s="144"/>
      <c r="E825" s="144"/>
      <c r="F825" s="144"/>
      <c r="G825" s="144"/>
      <c r="H825" s="232"/>
      <c r="I825" s="144"/>
      <c r="J825" s="144"/>
      <c r="K825" s="144"/>
      <c r="L825" s="144"/>
      <c r="M825" s="144"/>
      <c r="N825" s="144"/>
      <c r="O825" s="144"/>
      <c r="P825" s="144"/>
      <c r="Q825" s="144"/>
      <c r="R825" s="144"/>
      <c r="S825" s="144"/>
      <c r="T825" s="144"/>
      <c r="U825" s="232"/>
      <c r="V825" s="232"/>
      <c r="W825" s="144"/>
      <c r="X825" s="144"/>
      <c r="Y825" s="144"/>
      <c r="Z825" s="144"/>
      <c r="AA825" s="144"/>
      <c r="AB825" s="144"/>
      <c r="AC825" s="144"/>
      <c r="AD825" s="144"/>
      <c r="AE825" s="232"/>
      <c r="AF825" s="144"/>
      <c r="AG825" s="144"/>
      <c r="AH825" s="232"/>
      <c r="AI825" s="232"/>
      <c r="AJ825" s="144"/>
      <c r="AK825" s="144"/>
      <c r="AL825" s="144"/>
      <c r="AM825" s="144"/>
      <c r="AN825" s="144"/>
      <c r="AO825" s="144"/>
      <c r="AP825" s="144"/>
      <c r="AQ825" s="144"/>
      <c r="AR825" s="144"/>
      <c r="AS825" s="144"/>
      <c r="AT825" s="144"/>
      <c r="AU825" s="144"/>
      <c r="AV825" s="144"/>
    </row>
    <row r="826" spans="3:48" x14ac:dyDescent="0.25">
      <c r="C826" s="144"/>
      <c r="D826" s="144"/>
      <c r="E826" s="144"/>
      <c r="F826" s="144"/>
      <c r="G826" s="144"/>
      <c r="H826" s="232"/>
      <c r="I826" s="144"/>
      <c r="J826" s="144"/>
      <c r="K826" s="144"/>
      <c r="L826" s="144"/>
      <c r="M826" s="144"/>
      <c r="N826" s="144"/>
      <c r="O826" s="144"/>
      <c r="P826" s="144"/>
      <c r="Q826" s="144"/>
      <c r="R826" s="144"/>
      <c r="S826" s="144"/>
      <c r="T826" s="144"/>
      <c r="U826" s="232"/>
      <c r="V826" s="232"/>
      <c r="W826" s="144"/>
      <c r="X826" s="144"/>
      <c r="Y826" s="144"/>
      <c r="Z826" s="144"/>
      <c r="AA826" s="144"/>
      <c r="AB826" s="144"/>
      <c r="AC826" s="144"/>
      <c r="AD826" s="144"/>
      <c r="AE826" s="232"/>
      <c r="AF826" s="144"/>
      <c r="AG826" s="144"/>
      <c r="AH826" s="232"/>
      <c r="AI826" s="232"/>
      <c r="AJ826" s="144"/>
      <c r="AK826" s="144"/>
      <c r="AL826" s="144"/>
      <c r="AM826" s="144"/>
      <c r="AN826" s="144"/>
      <c r="AO826" s="144"/>
      <c r="AP826" s="144"/>
      <c r="AQ826" s="144"/>
      <c r="AR826" s="144"/>
      <c r="AS826" s="144"/>
      <c r="AT826" s="144"/>
      <c r="AU826" s="144"/>
      <c r="AV826" s="144"/>
    </row>
    <row r="827" spans="3:48" x14ac:dyDescent="0.25">
      <c r="C827" s="144"/>
      <c r="D827" s="144"/>
      <c r="E827" s="144"/>
      <c r="F827" s="144"/>
      <c r="G827" s="144"/>
      <c r="H827" s="232"/>
      <c r="I827" s="144"/>
      <c r="J827" s="144"/>
      <c r="K827" s="144"/>
      <c r="L827" s="144"/>
      <c r="M827" s="144"/>
      <c r="N827" s="144"/>
      <c r="O827" s="144"/>
      <c r="P827" s="144"/>
      <c r="Q827" s="144"/>
      <c r="R827" s="144"/>
      <c r="S827" s="144"/>
      <c r="T827" s="144"/>
      <c r="U827" s="232"/>
      <c r="V827" s="232"/>
      <c r="W827" s="144"/>
      <c r="X827" s="144"/>
      <c r="Y827" s="144"/>
      <c r="Z827" s="144"/>
      <c r="AA827" s="144"/>
      <c r="AB827" s="144"/>
      <c r="AC827" s="144"/>
      <c r="AD827" s="144"/>
      <c r="AE827" s="232"/>
      <c r="AF827" s="144"/>
      <c r="AG827" s="144"/>
      <c r="AH827" s="232"/>
      <c r="AI827" s="232"/>
      <c r="AJ827" s="144"/>
      <c r="AK827" s="144"/>
      <c r="AL827" s="144"/>
      <c r="AM827" s="144"/>
      <c r="AN827" s="144"/>
      <c r="AO827" s="144"/>
      <c r="AP827" s="144"/>
      <c r="AQ827" s="144"/>
      <c r="AR827" s="144"/>
      <c r="AS827" s="144"/>
      <c r="AT827" s="144"/>
      <c r="AU827" s="144"/>
      <c r="AV827" s="144"/>
    </row>
    <row r="828" spans="3:48" x14ac:dyDescent="0.25">
      <c r="C828" s="144"/>
      <c r="D828" s="144"/>
      <c r="E828" s="144"/>
      <c r="F828" s="144"/>
      <c r="G828" s="144"/>
      <c r="H828" s="232"/>
      <c r="I828" s="144"/>
      <c r="J828" s="144"/>
      <c r="K828" s="144"/>
      <c r="L828" s="144"/>
      <c r="M828" s="144"/>
      <c r="N828" s="144"/>
      <c r="O828" s="144"/>
      <c r="P828" s="144"/>
      <c r="Q828" s="144"/>
      <c r="R828" s="144"/>
      <c r="S828" s="144"/>
      <c r="T828" s="144"/>
      <c r="U828" s="232"/>
      <c r="V828" s="232"/>
      <c r="W828" s="144"/>
      <c r="X828" s="144"/>
      <c r="Y828" s="144"/>
      <c r="Z828" s="144"/>
      <c r="AA828" s="144"/>
      <c r="AB828" s="144"/>
      <c r="AC828" s="144"/>
      <c r="AD828" s="144"/>
      <c r="AE828" s="232"/>
      <c r="AF828" s="144"/>
      <c r="AG828" s="144"/>
      <c r="AH828" s="232"/>
      <c r="AI828" s="232"/>
      <c r="AJ828" s="144"/>
      <c r="AK828" s="144"/>
      <c r="AL828" s="144"/>
      <c r="AM828" s="144"/>
      <c r="AN828" s="144"/>
      <c r="AO828" s="144"/>
      <c r="AP828" s="144"/>
      <c r="AQ828" s="144"/>
      <c r="AR828" s="144"/>
      <c r="AS828" s="144"/>
      <c r="AT828" s="144"/>
      <c r="AU828" s="144"/>
      <c r="AV828" s="144"/>
    </row>
    <row r="829" spans="3:48" x14ac:dyDescent="0.25">
      <c r="C829" s="144"/>
      <c r="D829" s="144"/>
      <c r="E829" s="144"/>
      <c r="F829" s="144"/>
      <c r="G829" s="144"/>
      <c r="H829" s="232"/>
      <c r="I829" s="144"/>
      <c r="J829" s="144"/>
      <c r="K829" s="144"/>
      <c r="L829" s="144"/>
      <c r="M829" s="144"/>
      <c r="N829" s="144"/>
      <c r="O829" s="144"/>
      <c r="P829" s="144"/>
      <c r="Q829" s="144"/>
      <c r="R829" s="144"/>
      <c r="S829" s="144"/>
      <c r="T829" s="144"/>
      <c r="U829" s="232"/>
      <c r="V829" s="232"/>
      <c r="W829" s="144"/>
      <c r="X829" s="144"/>
      <c r="Y829" s="144"/>
      <c r="Z829" s="144"/>
      <c r="AA829" s="144"/>
      <c r="AB829" s="144"/>
      <c r="AC829" s="144"/>
      <c r="AD829" s="144"/>
      <c r="AE829" s="232"/>
      <c r="AF829" s="144"/>
      <c r="AG829" s="144"/>
      <c r="AH829" s="232"/>
      <c r="AI829" s="232"/>
      <c r="AJ829" s="144"/>
      <c r="AK829" s="144"/>
      <c r="AL829" s="144"/>
      <c r="AM829" s="144"/>
      <c r="AN829" s="144"/>
      <c r="AO829" s="144"/>
      <c r="AP829" s="144"/>
      <c r="AQ829" s="144"/>
      <c r="AR829" s="144"/>
      <c r="AS829" s="144"/>
      <c r="AT829" s="144"/>
      <c r="AU829" s="144"/>
      <c r="AV829" s="144"/>
    </row>
    <row r="830" spans="3:48" x14ac:dyDescent="0.25">
      <c r="C830" s="144"/>
      <c r="D830" s="144"/>
      <c r="E830" s="144"/>
      <c r="F830" s="144"/>
      <c r="G830" s="144"/>
      <c r="H830" s="232"/>
      <c r="I830" s="144"/>
      <c r="J830" s="144"/>
      <c r="K830" s="144"/>
      <c r="L830" s="144"/>
      <c r="M830" s="144"/>
      <c r="N830" s="144"/>
      <c r="O830" s="144"/>
      <c r="P830" s="144"/>
      <c r="Q830" s="144"/>
      <c r="R830" s="144"/>
      <c r="S830" s="144"/>
      <c r="T830" s="144"/>
      <c r="U830" s="232"/>
      <c r="V830" s="232"/>
      <c r="W830" s="144"/>
      <c r="X830" s="144"/>
      <c r="Y830" s="144"/>
      <c r="Z830" s="144"/>
      <c r="AA830" s="144"/>
      <c r="AB830" s="144"/>
      <c r="AC830" s="144"/>
      <c r="AD830" s="144"/>
      <c r="AE830" s="232"/>
      <c r="AF830" s="144"/>
      <c r="AG830" s="144"/>
      <c r="AH830" s="232"/>
      <c r="AI830" s="232"/>
      <c r="AJ830" s="144"/>
      <c r="AK830" s="144"/>
      <c r="AL830" s="144"/>
      <c r="AM830" s="144"/>
      <c r="AN830" s="144"/>
      <c r="AO830" s="144"/>
      <c r="AP830" s="144"/>
      <c r="AQ830" s="144"/>
      <c r="AR830" s="144"/>
      <c r="AS830" s="144"/>
      <c r="AT830" s="144"/>
      <c r="AU830" s="144"/>
      <c r="AV830" s="144"/>
    </row>
    <row r="831" spans="3:48" x14ac:dyDescent="0.25">
      <c r="C831" s="144"/>
      <c r="D831" s="144"/>
      <c r="E831" s="144"/>
      <c r="F831" s="144"/>
      <c r="G831" s="144"/>
      <c r="H831" s="232"/>
      <c r="I831" s="144"/>
      <c r="J831" s="144"/>
      <c r="K831" s="144"/>
      <c r="L831" s="144"/>
      <c r="M831" s="144"/>
      <c r="N831" s="144"/>
      <c r="O831" s="144"/>
      <c r="P831" s="144"/>
      <c r="Q831" s="144"/>
      <c r="R831" s="144"/>
      <c r="S831" s="144"/>
      <c r="T831" s="144"/>
      <c r="U831" s="232"/>
      <c r="V831" s="232"/>
      <c r="W831" s="144"/>
      <c r="X831" s="144"/>
      <c r="Y831" s="144"/>
      <c r="Z831" s="144"/>
      <c r="AA831" s="144"/>
      <c r="AB831" s="144"/>
      <c r="AC831" s="144"/>
      <c r="AD831" s="144"/>
      <c r="AE831" s="232"/>
      <c r="AF831" s="144"/>
      <c r="AG831" s="144"/>
      <c r="AH831" s="232"/>
      <c r="AI831" s="232"/>
      <c r="AJ831" s="144"/>
      <c r="AK831" s="144"/>
      <c r="AL831" s="144"/>
      <c r="AM831" s="144"/>
      <c r="AN831" s="144"/>
      <c r="AO831" s="144"/>
      <c r="AP831" s="144"/>
      <c r="AQ831" s="144"/>
      <c r="AR831" s="144"/>
      <c r="AS831" s="144"/>
      <c r="AT831" s="144"/>
      <c r="AU831" s="144"/>
      <c r="AV831" s="144"/>
    </row>
    <row r="832" spans="3:48" x14ac:dyDescent="0.25">
      <c r="C832" s="144"/>
      <c r="D832" s="144"/>
      <c r="E832" s="144"/>
      <c r="F832" s="144"/>
      <c r="G832" s="144"/>
      <c r="H832" s="232"/>
      <c r="I832" s="144"/>
      <c r="J832" s="144"/>
      <c r="K832" s="144"/>
      <c r="L832" s="144"/>
      <c r="M832" s="144"/>
      <c r="N832" s="144"/>
      <c r="O832" s="144"/>
      <c r="P832" s="144"/>
      <c r="Q832" s="144"/>
      <c r="R832" s="144"/>
      <c r="S832" s="144"/>
      <c r="T832" s="144"/>
      <c r="U832" s="232"/>
      <c r="V832" s="232"/>
      <c r="W832" s="144"/>
      <c r="X832" s="144"/>
      <c r="Y832" s="144"/>
      <c r="Z832" s="144"/>
      <c r="AA832" s="144"/>
      <c r="AB832" s="144"/>
      <c r="AC832" s="144"/>
      <c r="AD832" s="144"/>
      <c r="AE832" s="232"/>
      <c r="AF832" s="144"/>
      <c r="AG832" s="144"/>
      <c r="AH832" s="232"/>
      <c r="AI832" s="232"/>
      <c r="AJ832" s="144"/>
      <c r="AK832" s="144"/>
      <c r="AL832" s="144"/>
      <c r="AM832" s="144"/>
      <c r="AN832" s="144"/>
      <c r="AO832" s="144"/>
      <c r="AP832" s="144"/>
      <c r="AQ832" s="144"/>
      <c r="AR832" s="144"/>
      <c r="AS832" s="144"/>
      <c r="AT832" s="144"/>
      <c r="AU832" s="144"/>
      <c r="AV832" s="144"/>
    </row>
    <row r="833" spans="3:48" x14ac:dyDescent="0.25">
      <c r="C833" s="144"/>
      <c r="D833" s="144"/>
      <c r="E833" s="144"/>
      <c r="F833" s="144"/>
      <c r="G833" s="144"/>
      <c r="H833" s="232"/>
      <c r="I833" s="144"/>
      <c r="J833" s="144"/>
      <c r="K833" s="144"/>
      <c r="L833" s="144"/>
      <c r="M833" s="144"/>
      <c r="N833" s="144"/>
      <c r="O833" s="144"/>
      <c r="P833" s="144"/>
      <c r="Q833" s="144"/>
      <c r="R833" s="144"/>
      <c r="S833" s="144"/>
      <c r="T833" s="144"/>
      <c r="U833" s="232"/>
      <c r="V833" s="232"/>
      <c r="W833" s="144"/>
      <c r="X833" s="144"/>
      <c r="Y833" s="144"/>
      <c r="Z833" s="144"/>
      <c r="AA833" s="144"/>
      <c r="AB833" s="144"/>
      <c r="AC833" s="144"/>
      <c r="AD833" s="144"/>
      <c r="AE833" s="232"/>
      <c r="AF833" s="144"/>
      <c r="AG833" s="144"/>
      <c r="AH833" s="232"/>
      <c r="AI833" s="232"/>
      <c r="AJ833" s="144"/>
      <c r="AK833" s="144"/>
      <c r="AL833" s="144"/>
      <c r="AM833" s="144"/>
      <c r="AN833" s="144"/>
      <c r="AO833" s="144"/>
      <c r="AP833" s="144"/>
      <c r="AQ833" s="144"/>
      <c r="AR833" s="144"/>
      <c r="AS833" s="144"/>
      <c r="AT833" s="144"/>
      <c r="AU833" s="144"/>
      <c r="AV833" s="144"/>
    </row>
    <row r="834" spans="3:48" x14ac:dyDescent="0.25">
      <c r="C834" s="144"/>
      <c r="D834" s="144"/>
      <c r="E834" s="144"/>
      <c r="F834" s="144"/>
      <c r="G834" s="144"/>
      <c r="H834" s="232"/>
      <c r="I834" s="144"/>
      <c r="J834" s="144"/>
      <c r="K834" s="144"/>
      <c r="L834" s="144"/>
      <c r="M834" s="144"/>
      <c r="N834" s="144"/>
      <c r="O834" s="144"/>
      <c r="P834" s="144"/>
      <c r="Q834" s="144"/>
      <c r="R834" s="144"/>
      <c r="S834" s="144"/>
      <c r="T834" s="144"/>
      <c r="U834" s="232"/>
      <c r="V834" s="232"/>
      <c r="W834" s="144"/>
      <c r="X834" s="144"/>
      <c r="Y834" s="144"/>
      <c r="Z834" s="144"/>
      <c r="AA834" s="144"/>
      <c r="AB834" s="144"/>
      <c r="AC834" s="144"/>
      <c r="AD834" s="144"/>
      <c r="AE834" s="232"/>
      <c r="AF834" s="144"/>
      <c r="AG834" s="144"/>
      <c r="AH834" s="232"/>
      <c r="AI834" s="232"/>
      <c r="AJ834" s="144"/>
      <c r="AK834" s="144"/>
      <c r="AL834" s="144"/>
      <c r="AM834" s="144"/>
      <c r="AN834" s="144"/>
      <c r="AO834" s="144"/>
      <c r="AP834" s="144"/>
      <c r="AQ834" s="144"/>
      <c r="AR834" s="144"/>
      <c r="AS834" s="144"/>
      <c r="AT834" s="144"/>
      <c r="AU834" s="144"/>
      <c r="AV834" s="144"/>
    </row>
    <row r="835" spans="3:48" x14ac:dyDescent="0.25">
      <c r="C835" s="144"/>
      <c r="D835" s="144"/>
      <c r="E835" s="144"/>
      <c r="F835" s="144"/>
      <c r="G835" s="144"/>
      <c r="H835" s="232"/>
      <c r="I835" s="144"/>
      <c r="J835" s="144"/>
      <c r="K835" s="144"/>
      <c r="L835" s="144"/>
      <c r="M835" s="144"/>
      <c r="N835" s="144"/>
      <c r="O835" s="144"/>
      <c r="P835" s="144"/>
      <c r="Q835" s="144"/>
      <c r="R835" s="144"/>
      <c r="S835" s="144"/>
      <c r="T835" s="144"/>
      <c r="U835" s="232"/>
      <c r="V835" s="232"/>
      <c r="W835" s="144"/>
      <c r="X835" s="144"/>
      <c r="Y835" s="144"/>
      <c r="Z835" s="144"/>
      <c r="AA835" s="144"/>
      <c r="AB835" s="144"/>
      <c r="AC835" s="144"/>
      <c r="AD835" s="144"/>
      <c r="AE835" s="232"/>
      <c r="AF835" s="144"/>
      <c r="AG835" s="144"/>
      <c r="AH835" s="232"/>
      <c r="AI835" s="232"/>
      <c r="AJ835" s="144"/>
      <c r="AK835" s="144"/>
      <c r="AL835" s="144"/>
      <c r="AM835" s="144"/>
      <c r="AN835" s="144"/>
      <c r="AO835" s="144"/>
      <c r="AP835" s="144"/>
      <c r="AQ835" s="144"/>
      <c r="AR835" s="144"/>
      <c r="AS835" s="144"/>
      <c r="AT835" s="144"/>
      <c r="AU835" s="144"/>
      <c r="AV835" s="144"/>
    </row>
    <row r="836" spans="3:48" x14ac:dyDescent="0.25">
      <c r="C836" s="144"/>
      <c r="D836" s="144"/>
      <c r="E836" s="144"/>
      <c r="F836" s="144"/>
      <c r="G836" s="144"/>
      <c r="H836" s="232"/>
      <c r="I836" s="144"/>
      <c r="J836" s="144"/>
      <c r="K836" s="144"/>
      <c r="L836" s="144"/>
      <c r="M836" s="144"/>
      <c r="N836" s="144"/>
      <c r="O836" s="144"/>
      <c r="P836" s="144"/>
      <c r="Q836" s="144"/>
      <c r="R836" s="144"/>
      <c r="S836" s="144"/>
      <c r="T836" s="144"/>
      <c r="U836" s="232"/>
      <c r="V836" s="232"/>
      <c r="W836" s="144"/>
      <c r="X836" s="144"/>
      <c r="Y836" s="144"/>
      <c r="Z836" s="144"/>
      <c r="AA836" s="144"/>
      <c r="AB836" s="144"/>
      <c r="AC836" s="144"/>
      <c r="AD836" s="144"/>
      <c r="AE836" s="232"/>
      <c r="AF836" s="144"/>
      <c r="AG836" s="144"/>
      <c r="AH836" s="232"/>
      <c r="AI836" s="232"/>
      <c r="AJ836" s="144"/>
      <c r="AK836" s="144"/>
      <c r="AL836" s="144"/>
      <c r="AM836" s="144"/>
      <c r="AN836" s="144"/>
      <c r="AO836" s="144"/>
      <c r="AP836" s="144"/>
      <c r="AQ836" s="144"/>
      <c r="AR836" s="144"/>
      <c r="AS836" s="144"/>
      <c r="AT836" s="144"/>
      <c r="AU836" s="144"/>
      <c r="AV836" s="144"/>
    </row>
    <row r="837" spans="3:48" x14ac:dyDescent="0.25">
      <c r="C837" s="144"/>
      <c r="D837" s="144"/>
      <c r="E837" s="144"/>
      <c r="F837" s="144"/>
      <c r="G837" s="144"/>
      <c r="H837" s="232"/>
      <c r="I837" s="144"/>
      <c r="J837" s="144"/>
      <c r="K837" s="144"/>
      <c r="L837" s="144"/>
      <c r="M837" s="144"/>
      <c r="N837" s="144"/>
      <c r="O837" s="144"/>
      <c r="P837" s="144"/>
      <c r="Q837" s="144"/>
      <c r="R837" s="144"/>
      <c r="S837" s="144"/>
      <c r="T837" s="144"/>
      <c r="U837" s="232"/>
      <c r="V837" s="232"/>
      <c r="W837" s="144"/>
      <c r="X837" s="144"/>
      <c r="Y837" s="144"/>
      <c r="Z837" s="144"/>
      <c r="AA837" s="144"/>
      <c r="AB837" s="144"/>
      <c r="AC837" s="144"/>
      <c r="AD837" s="144"/>
      <c r="AE837" s="232"/>
      <c r="AF837" s="144"/>
      <c r="AG837" s="144"/>
      <c r="AH837" s="232"/>
      <c r="AI837" s="232"/>
      <c r="AJ837" s="144"/>
      <c r="AK837" s="144"/>
      <c r="AL837" s="144"/>
      <c r="AM837" s="144"/>
      <c r="AN837" s="144"/>
      <c r="AO837" s="144"/>
      <c r="AP837" s="144"/>
      <c r="AQ837" s="144"/>
      <c r="AR837" s="144"/>
      <c r="AS837" s="144"/>
      <c r="AT837" s="144"/>
      <c r="AU837" s="144"/>
      <c r="AV837" s="144"/>
    </row>
    <row r="838" spans="3:48" x14ac:dyDescent="0.25">
      <c r="C838" s="144"/>
      <c r="D838" s="144"/>
      <c r="E838" s="144"/>
      <c r="F838" s="144"/>
      <c r="G838" s="144"/>
      <c r="H838" s="232"/>
      <c r="I838" s="144"/>
      <c r="J838" s="144"/>
      <c r="K838" s="144"/>
      <c r="L838" s="144"/>
      <c r="M838" s="144"/>
      <c r="N838" s="144"/>
      <c r="O838" s="144"/>
      <c r="P838" s="144"/>
      <c r="Q838" s="144"/>
      <c r="R838" s="144"/>
      <c r="S838" s="144"/>
      <c r="T838" s="144"/>
      <c r="U838" s="232"/>
      <c r="V838" s="232"/>
      <c r="W838" s="144"/>
      <c r="X838" s="144"/>
      <c r="Y838" s="144"/>
      <c r="Z838" s="144"/>
      <c r="AA838" s="144"/>
      <c r="AB838" s="144"/>
      <c r="AC838" s="144"/>
      <c r="AD838" s="144"/>
      <c r="AE838" s="232"/>
      <c r="AF838" s="144"/>
      <c r="AG838" s="144"/>
      <c r="AH838" s="232"/>
      <c r="AI838" s="232"/>
      <c r="AJ838" s="144"/>
      <c r="AK838" s="144"/>
      <c r="AL838" s="144"/>
      <c r="AM838" s="144"/>
      <c r="AN838" s="144"/>
      <c r="AO838" s="144"/>
      <c r="AP838" s="144"/>
      <c r="AQ838" s="144"/>
      <c r="AR838" s="144"/>
      <c r="AS838" s="144"/>
      <c r="AT838" s="144"/>
      <c r="AU838" s="144"/>
      <c r="AV838" s="144"/>
    </row>
    <row r="839" spans="3:48" x14ac:dyDescent="0.25">
      <c r="C839" s="144"/>
      <c r="D839" s="144"/>
      <c r="E839" s="144"/>
      <c r="F839" s="144"/>
      <c r="G839" s="144"/>
      <c r="H839" s="232"/>
      <c r="I839" s="144"/>
      <c r="J839" s="144"/>
      <c r="K839" s="144"/>
      <c r="L839" s="144"/>
      <c r="M839" s="144"/>
      <c r="N839" s="144"/>
      <c r="O839" s="144"/>
      <c r="P839" s="144"/>
      <c r="Q839" s="144"/>
      <c r="R839" s="144"/>
      <c r="S839" s="144"/>
      <c r="T839" s="144"/>
      <c r="U839" s="232"/>
      <c r="V839" s="232"/>
      <c r="W839" s="144"/>
      <c r="X839" s="144"/>
      <c r="Y839" s="144"/>
      <c r="Z839" s="144"/>
      <c r="AA839" s="144"/>
      <c r="AB839" s="144"/>
      <c r="AC839" s="144"/>
      <c r="AD839" s="144"/>
      <c r="AE839" s="232"/>
      <c r="AF839" s="144"/>
      <c r="AG839" s="144"/>
      <c r="AH839" s="232"/>
      <c r="AI839" s="232"/>
      <c r="AJ839" s="144"/>
      <c r="AK839" s="144"/>
      <c r="AL839" s="144"/>
      <c r="AM839" s="144"/>
      <c r="AN839" s="144"/>
      <c r="AO839" s="144"/>
      <c r="AP839" s="144"/>
      <c r="AQ839" s="144"/>
      <c r="AR839" s="144"/>
      <c r="AS839" s="144"/>
      <c r="AT839" s="144"/>
      <c r="AU839" s="144"/>
      <c r="AV839" s="144"/>
    </row>
    <row r="840" spans="3:48" x14ac:dyDescent="0.25">
      <c r="C840" s="144"/>
      <c r="D840" s="144"/>
      <c r="E840" s="144"/>
      <c r="F840" s="144"/>
      <c r="G840" s="144"/>
      <c r="H840" s="232"/>
      <c r="I840" s="144"/>
      <c r="J840" s="144"/>
      <c r="K840" s="144"/>
      <c r="L840" s="144"/>
      <c r="M840" s="144"/>
      <c r="N840" s="144"/>
      <c r="O840" s="144"/>
      <c r="P840" s="144"/>
      <c r="Q840" s="144"/>
      <c r="R840" s="144"/>
      <c r="S840" s="144"/>
      <c r="T840" s="144"/>
      <c r="U840" s="232"/>
      <c r="V840" s="232"/>
      <c r="W840" s="144"/>
      <c r="X840" s="144"/>
      <c r="Y840" s="144"/>
      <c r="Z840" s="144"/>
      <c r="AA840" s="144"/>
      <c r="AB840" s="144"/>
      <c r="AC840" s="144"/>
      <c r="AD840" s="144"/>
      <c r="AE840" s="232"/>
      <c r="AF840" s="144"/>
      <c r="AG840" s="144"/>
      <c r="AH840" s="232"/>
      <c r="AI840" s="232"/>
      <c r="AJ840" s="144"/>
      <c r="AK840" s="144"/>
      <c r="AL840" s="144"/>
      <c r="AM840" s="144"/>
      <c r="AN840" s="144"/>
      <c r="AO840" s="144"/>
      <c r="AP840" s="144"/>
      <c r="AQ840" s="144"/>
      <c r="AR840" s="144"/>
      <c r="AS840" s="144"/>
      <c r="AT840" s="144"/>
      <c r="AU840" s="144"/>
      <c r="AV840" s="144"/>
    </row>
    <row r="841" spans="3:48" x14ac:dyDescent="0.25">
      <c r="C841" s="144"/>
      <c r="D841" s="144"/>
      <c r="E841" s="144"/>
      <c r="F841" s="144"/>
      <c r="G841" s="144"/>
      <c r="H841" s="232"/>
      <c r="I841" s="144"/>
      <c r="J841" s="144"/>
      <c r="K841" s="144"/>
      <c r="L841" s="144"/>
      <c r="M841" s="144"/>
      <c r="N841" s="144"/>
      <c r="O841" s="144"/>
      <c r="P841" s="144"/>
      <c r="Q841" s="144"/>
      <c r="R841" s="144"/>
      <c r="S841" s="144"/>
      <c r="T841" s="144"/>
      <c r="U841" s="232"/>
      <c r="V841" s="232"/>
      <c r="W841" s="144"/>
      <c r="X841" s="144"/>
      <c r="Y841" s="144"/>
      <c r="Z841" s="144"/>
      <c r="AA841" s="144"/>
      <c r="AB841" s="144"/>
      <c r="AC841" s="144"/>
      <c r="AD841" s="144"/>
      <c r="AE841" s="232"/>
      <c r="AF841" s="144"/>
      <c r="AG841" s="144"/>
      <c r="AH841" s="232"/>
      <c r="AI841" s="232"/>
      <c r="AJ841" s="144"/>
      <c r="AK841" s="144"/>
      <c r="AL841" s="144"/>
      <c r="AM841" s="144"/>
      <c r="AN841" s="144"/>
      <c r="AO841" s="144"/>
      <c r="AP841" s="144"/>
      <c r="AQ841" s="144"/>
      <c r="AR841" s="144"/>
      <c r="AS841" s="144"/>
      <c r="AT841" s="144"/>
      <c r="AU841" s="144"/>
      <c r="AV841" s="144"/>
    </row>
    <row r="842" spans="3:48" x14ac:dyDescent="0.25">
      <c r="C842" s="144"/>
      <c r="D842" s="144"/>
      <c r="E842" s="144"/>
      <c r="F842" s="144"/>
      <c r="G842" s="144"/>
      <c r="H842" s="232"/>
      <c r="I842" s="144"/>
      <c r="J842" s="144"/>
      <c r="K842" s="144"/>
      <c r="L842" s="144"/>
      <c r="M842" s="144"/>
      <c r="N842" s="144"/>
      <c r="O842" s="144"/>
      <c r="P842" s="144"/>
      <c r="Q842" s="144"/>
      <c r="R842" s="144"/>
      <c r="S842" s="144"/>
      <c r="T842" s="144"/>
      <c r="U842" s="232"/>
      <c r="V842" s="232"/>
      <c r="W842" s="144"/>
      <c r="X842" s="144"/>
      <c r="Y842" s="144"/>
      <c r="Z842" s="144"/>
      <c r="AA842" s="144"/>
      <c r="AB842" s="144"/>
      <c r="AC842" s="144"/>
      <c r="AD842" s="144"/>
      <c r="AE842" s="232"/>
      <c r="AF842" s="144"/>
      <c r="AG842" s="144"/>
      <c r="AH842" s="232"/>
      <c r="AI842" s="232"/>
      <c r="AJ842" s="144"/>
      <c r="AK842" s="144"/>
      <c r="AL842" s="144"/>
      <c r="AM842" s="144"/>
      <c r="AN842" s="144"/>
      <c r="AO842" s="144"/>
      <c r="AP842" s="144"/>
      <c r="AQ842" s="144"/>
      <c r="AR842" s="144"/>
      <c r="AS842" s="144"/>
      <c r="AT842" s="144"/>
      <c r="AU842" s="144"/>
      <c r="AV842" s="144"/>
    </row>
    <row r="843" spans="3:48" x14ac:dyDescent="0.25">
      <c r="C843" s="144"/>
      <c r="D843" s="144"/>
      <c r="E843" s="144"/>
      <c r="F843" s="144"/>
      <c r="G843" s="144"/>
      <c r="H843" s="232"/>
      <c r="I843" s="144"/>
      <c r="J843" s="144"/>
      <c r="K843" s="144"/>
      <c r="L843" s="144"/>
      <c r="M843" s="144"/>
      <c r="N843" s="144"/>
      <c r="O843" s="144"/>
      <c r="P843" s="144"/>
      <c r="Q843" s="144"/>
      <c r="R843" s="144"/>
      <c r="S843" s="144"/>
      <c r="T843" s="144"/>
      <c r="U843" s="232"/>
      <c r="V843" s="232"/>
      <c r="W843" s="144"/>
      <c r="X843" s="144"/>
      <c r="Y843" s="144"/>
      <c r="Z843" s="144"/>
      <c r="AA843" s="144"/>
      <c r="AB843" s="144"/>
      <c r="AC843" s="144"/>
      <c r="AD843" s="144"/>
      <c r="AE843" s="232"/>
      <c r="AF843" s="144"/>
      <c r="AG843" s="144"/>
      <c r="AH843" s="232"/>
      <c r="AI843" s="232"/>
      <c r="AJ843" s="144"/>
      <c r="AK843" s="144"/>
      <c r="AL843" s="144"/>
      <c r="AM843" s="144"/>
      <c r="AN843" s="144"/>
      <c r="AO843" s="144"/>
      <c r="AP843" s="144"/>
      <c r="AQ843" s="144"/>
      <c r="AR843" s="144"/>
      <c r="AS843" s="144"/>
      <c r="AT843" s="144"/>
      <c r="AU843" s="144"/>
      <c r="AV843" s="144"/>
    </row>
    <row r="844" spans="3:48" x14ac:dyDescent="0.25">
      <c r="C844" s="144"/>
      <c r="D844" s="144"/>
      <c r="E844" s="144"/>
      <c r="F844" s="144"/>
      <c r="G844" s="144"/>
      <c r="H844" s="232"/>
      <c r="I844" s="144"/>
      <c r="J844" s="144"/>
      <c r="K844" s="144"/>
      <c r="L844" s="144"/>
      <c r="M844" s="144"/>
      <c r="N844" s="144"/>
      <c r="O844" s="144"/>
      <c r="P844" s="144"/>
      <c r="Q844" s="144"/>
      <c r="R844" s="144"/>
      <c r="S844" s="144"/>
      <c r="T844" s="144"/>
      <c r="U844" s="232"/>
      <c r="V844" s="232"/>
      <c r="W844" s="144"/>
      <c r="X844" s="144"/>
      <c r="Y844" s="144"/>
      <c r="Z844" s="144"/>
      <c r="AA844" s="144"/>
      <c r="AB844" s="144"/>
      <c r="AC844" s="144"/>
      <c r="AD844" s="144"/>
      <c r="AE844" s="232"/>
      <c r="AF844" s="144"/>
      <c r="AG844" s="144"/>
      <c r="AH844" s="232"/>
      <c r="AI844" s="232"/>
      <c r="AJ844" s="144"/>
      <c r="AK844" s="144"/>
      <c r="AL844" s="144"/>
      <c r="AM844" s="144"/>
      <c r="AN844" s="144"/>
      <c r="AO844" s="144"/>
      <c r="AP844" s="144"/>
      <c r="AQ844" s="144"/>
      <c r="AR844" s="144"/>
      <c r="AS844" s="144"/>
      <c r="AT844" s="144"/>
      <c r="AU844" s="144"/>
      <c r="AV844" s="144"/>
    </row>
    <row r="845" spans="3:48" x14ac:dyDescent="0.25">
      <c r="C845" s="144"/>
      <c r="D845" s="144"/>
      <c r="E845" s="144"/>
      <c r="F845" s="144"/>
      <c r="G845" s="144"/>
      <c r="H845" s="232"/>
      <c r="I845" s="144"/>
      <c r="J845" s="144"/>
      <c r="K845" s="144"/>
      <c r="L845" s="144"/>
      <c r="M845" s="144"/>
      <c r="N845" s="144"/>
      <c r="O845" s="144"/>
      <c r="P845" s="144"/>
      <c r="Q845" s="144"/>
      <c r="R845" s="144"/>
      <c r="S845" s="144"/>
      <c r="T845" s="144"/>
      <c r="U845" s="232"/>
      <c r="V845" s="232"/>
      <c r="W845" s="144"/>
      <c r="X845" s="144"/>
      <c r="Y845" s="144"/>
      <c r="Z845" s="144"/>
      <c r="AA845" s="144"/>
      <c r="AB845" s="144"/>
      <c r="AC845" s="144"/>
      <c r="AD845" s="144"/>
      <c r="AE845" s="232"/>
      <c r="AF845" s="144"/>
      <c r="AG845" s="144"/>
      <c r="AH845" s="232"/>
      <c r="AI845" s="232"/>
      <c r="AJ845" s="144"/>
      <c r="AK845" s="144"/>
      <c r="AL845" s="144"/>
      <c r="AM845" s="144"/>
      <c r="AN845" s="144"/>
      <c r="AO845" s="144"/>
      <c r="AP845" s="144"/>
      <c r="AQ845" s="144"/>
      <c r="AR845" s="144"/>
      <c r="AS845" s="144"/>
      <c r="AT845" s="144"/>
      <c r="AU845" s="144"/>
      <c r="AV845" s="144"/>
    </row>
    <row r="846" spans="3:48" x14ac:dyDescent="0.25">
      <c r="C846" s="144"/>
      <c r="D846" s="144"/>
      <c r="E846" s="144"/>
      <c r="F846" s="144"/>
      <c r="G846" s="144"/>
      <c r="H846" s="232"/>
      <c r="I846" s="144"/>
      <c r="J846" s="144"/>
      <c r="K846" s="144"/>
      <c r="L846" s="144"/>
      <c r="M846" s="144"/>
      <c r="N846" s="144"/>
      <c r="O846" s="144"/>
      <c r="P846" s="144"/>
      <c r="Q846" s="144"/>
      <c r="R846" s="144"/>
      <c r="S846" s="144"/>
      <c r="T846" s="144"/>
      <c r="U846" s="232"/>
      <c r="V846" s="232"/>
      <c r="W846" s="144"/>
      <c r="X846" s="144"/>
      <c r="Y846" s="144"/>
      <c r="Z846" s="144"/>
      <c r="AA846" s="144"/>
      <c r="AB846" s="144"/>
      <c r="AC846" s="144"/>
      <c r="AD846" s="144"/>
      <c r="AE846" s="232"/>
      <c r="AF846" s="144"/>
      <c r="AG846" s="144"/>
      <c r="AH846" s="232"/>
      <c r="AI846" s="232"/>
      <c r="AJ846" s="144"/>
      <c r="AK846" s="144"/>
      <c r="AL846" s="144"/>
      <c r="AM846" s="144"/>
      <c r="AN846" s="144"/>
      <c r="AO846" s="144"/>
      <c r="AP846" s="144"/>
      <c r="AQ846" s="144"/>
      <c r="AR846" s="144"/>
      <c r="AS846" s="144"/>
      <c r="AT846" s="144"/>
      <c r="AU846" s="144"/>
      <c r="AV846" s="144"/>
    </row>
    <row r="847" spans="3:48" x14ac:dyDescent="0.25">
      <c r="C847" s="144"/>
      <c r="D847" s="144"/>
      <c r="E847" s="144"/>
      <c r="F847" s="144"/>
      <c r="G847" s="144"/>
      <c r="H847" s="232"/>
      <c r="I847" s="144"/>
      <c r="J847" s="144"/>
      <c r="K847" s="144"/>
      <c r="L847" s="144"/>
      <c r="M847" s="144"/>
      <c r="N847" s="144"/>
      <c r="O847" s="144"/>
      <c r="P847" s="144"/>
      <c r="Q847" s="144"/>
      <c r="R847" s="144"/>
      <c r="S847" s="144"/>
      <c r="T847" s="144"/>
      <c r="U847" s="232"/>
      <c r="V847" s="232"/>
      <c r="W847" s="144"/>
      <c r="X847" s="144"/>
      <c r="Y847" s="144"/>
      <c r="Z847" s="144"/>
      <c r="AA847" s="144"/>
      <c r="AB847" s="144"/>
      <c r="AC847" s="144"/>
      <c r="AD847" s="144"/>
      <c r="AE847" s="232"/>
      <c r="AF847" s="144"/>
      <c r="AG847" s="144"/>
      <c r="AH847" s="232"/>
      <c r="AI847" s="232"/>
      <c r="AJ847" s="144"/>
      <c r="AK847" s="144"/>
      <c r="AL847" s="144"/>
      <c r="AM847" s="144"/>
      <c r="AN847" s="144"/>
      <c r="AO847" s="144"/>
      <c r="AP847" s="144"/>
      <c r="AQ847" s="144"/>
      <c r="AR847" s="144"/>
      <c r="AS847" s="144"/>
      <c r="AT847" s="144"/>
      <c r="AU847" s="144"/>
      <c r="AV847" s="144"/>
    </row>
    <row r="848" spans="3:48" x14ac:dyDescent="0.25">
      <c r="C848" s="144"/>
      <c r="D848" s="144"/>
      <c r="E848" s="144"/>
      <c r="F848" s="144"/>
      <c r="G848" s="144"/>
      <c r="H848" s="232"/>
      <c r="I848" s="144"/>
      <c r="J848" s="144"/>
      <c r="K848" s="144"/>
      <c r="L848" s="144"/>
      <c r="M848" s="144"/>
      <c r="N848" s="144"/>
      <c r="O848" s="144"/>
      <c r="P848" s="144"/>
      <c r="Q848" s="144"/>
      <c r="R848" s="144"/>
      <c r="S848" s="144"/>
      <c r="T848" s="144"/>
      <c r="U848" s="232"/>
      <c r="V848" s="232"/>
      <c r="W848" s="144"/>
      <c r="X848" s="144"/>
      <c r="Y848" s="144"/>
      <c r="Z848" s="144"/>
      <c r="AA848" s="144"/>
      <c r="AB848" s="144"/>
      <c r="AC848" s="144"/>
      <c r="AD848" s="144"/>
      <c r="AE848" s="232"/>
      <c r="AF848" s="144"/>
      <c r="AG848" s="144"/>
      <c r="AH848" s="232"/>
      <c r="AI848" s="232"/>
      <c r="AJ848" s="144"/>
      <c r="AK848" s="144"/>
      <c r="AL848" s="144"/>
      <c r="AM848" s="144"/>
      <c r="AN848" s="144"/>
      <c r="AO848" s="144"/>
      <c r="AP848" s="144"/>
      <c r="AQ848" s="144"/>
      <c r="AR848" s="144"/>
      <c r="AS848" s="144"/>
      <c r="AT848" s="144"/>
      <c r="AU848" s="144"/>
      <c r="AV848" s="144"/>
    </row>
    <row r="849" spans="3:48" x14ac:dyDescent="0.25">
      <c r="C849" s="144"/>
      <c r="D849" s="144"/>
      <c r="E849" s="144"/>
      <c r="F849" s="144"/>
      <c r="G849" s="144"/>
      <c r="H849" s="232"/>
      <c r="I849" s="144"/>
      <c r="J849" s="144"/>
      <c r="K849" s="144"/>
      <c r="L849" s="144"/>
      <c r="M849" s="144"/>
      <c r="N849" s="144"/>
      <c r="O849" s="144"/>
      <c r="P849" s="144"/>
      <c r="Q849" s="144"/>
      <c r="R849" s="144"/>
      <c r="S849" s="144"/>
      <c r="T849" s="144"/>
      <c r="U849" s="232"/>
      <c r="V849" s="232"/>
      <c r="W849" s="144"/>
      <c r="X849" s="144"/>
      <c r="Y849" s="144"/>
      <c r="Z849" s="144"/>
      <c r="AA849" s="144"/>
      <c r="AB849" s="144"/>
      <c r="AC849" s="144"/>
      <c r="AD849" s="144"/>
      <c r="AE849" s="232"/>
      <c r="AF849" s="144"/>
      <c r="AG849" s="144"/>
      <c r="AH849" s="232"/>
      <c r="AI849" s="232"/>
      <c r="AJ849" s="144"/>
      <c r="AK849" s="144"/>
      <c r="AL849" s="144"/>
      <c r="AM849" s="144"/>
      <c r="AN849" s="144"/>
      <c r="AO849" s="144"/>
      <c r="AP849" s="144"/>
      <c r="AQ849" s="144"/>
      <c r="AR849" s="144"/>
      <c r="AS849" s="144"/>
      <c r="AT849" s="144"/>
      <c r="AU849" s="144"/>
      <c r="AV849" s="144"/>
    </row>
    <row r="850" spans="3:48" x14ac:dyDescent="0.25">
      <c r="C850" s="144"/>
      <c r="D850" s="144"/>
      <c r="E850" s="144"/>
      <c r="F850" s="144"/>
      <c r="G850" s="144"/>
      <c r="H850" s="232"/>
      <c r="I850" s="144"/>
      <c r="J850" s="144"/>
      <c r="K850" s="144"/>
      <c r="L850" s="144"/>
      <c r="M850" s="144"/>
      <c r="N850" s="144"/>
      <c r="O850" s="144"/>
      <c r="P850" s="144"/>
      <c r="Q850" s="144"/>
      <c r="R850" s="144"/>
      <c r="S850" s="144"/>
      <c r="T850" s="144"/>
      <c r="U850" s="232"/>
      <c r="V850" s="232"/>
      <c r="W850" s="144"/>
      <c r="X850" s="144"/>
      <c r="Y850" s="144"/>
      <c r="Z850" s="144"/>
      <c r="AA850" s="144"/>
      <c r="AB850" s="144"/>
      <c r="AC850" s="144"/>
      <c r="AD850" s="144"/>
      <c r="AE850" s="232"/>
      <c r="AF850" s="144"/>
      <c r="AG850" s="144"/>
      <c r="AH850" s="232"/>
      <c r="AI850" s="232"/>
      <c r="AJ850" s="144"/>
      <c r="AK850" s="144"/>
      <c r="AL850" s="144"/>
      <c r="AM850" s="144"/>
      <c r="AN850" s="144"/>
      <c r="AO850" s="144"/>
      <c r="AP850" s="144"/>
      <c r="AQ850" s="144"/>
      <c r="AR850" s="144"/>
      <c r="AS850" s="144"/>
      <c r="AT850" s="144"/>
      <c r="AU850" s="144"/>
      <c r="AV850" s="144"/>
    </row>
    <row r="851" spans="3:48" x14ac:dyDescent="0.25">
      <c r="C851" s="144"/>
      <c r="D851" s="144"/>
      <c r="E851" s="144"/>
      <c r="F851" s="144"/>
      <c r="G851" s="144"/>
      <c r="H851" s="232"/>
      <c r="I851" s="144"/>
      <c r="J851" s="144"/>
      <c r="K851" s="144"/>
      <c r="L851" s="144"/>
      <c r="M851" s="144"/>
      <c r="N851" s="144"/>
      <c r="O851" s="144"/>
      <c r="P851" s="144"/>
      <c r="Q851" s="144"/>
      <c r="R851" s="144"/>
      <c r="S851" s="144"/>
      <c r="T851" s="144"/>
      <c r="U851" s="232"/>
      <c r="V851" s="232"/>
      <c r="W851" s="144"/>
      <c r="X851" s="144"/>
      <c r="Y851" s="144"/>
      <c r="Z851" s="144"/>
      <c r="AA851" s="144"/>
      <c r="AB851" s="144"/>
      <c r="AC851" s="144"/>
      <c r="AD851" s="144"/>
      <c r="AE851" s="232"/>
      <c r="AF851" s="144"/>
      <c r="AG851" s="144"/>
      <c r="AH851" s="232"/>
      <c r="AI851" s="232"/>
      <c r="AJ851" s="144"/>
      <c r="AK851" s="144"/>
      <c r="AL851" s="144"/>
      <c r="AM851" s="144"/>
      <c r="AN851" s="144"/>
      <c r="AO851" s="144"/>
      <c r="AP851" s="144"/>
      <c r="AQ851" s="144"/>
      <c r="AR851" s="144"/>
      <c r="AS851" s="144"/>
      <c r="AT851" s="144"/>
      <c r="AU851" s="144"/>
      <c r="AV851" s="144"/>
    </row>
    <row r="852" spans="3:48" x14ac:dyDescent="0.25">
      <c r="C852" s="144"/>
      <c r="D852" s="144"/>
      <c r="E852" s="144"/>
      <c r="F852" s="144"/>
      <c r="G852" s="144"/>
      <c r="H852" s="232"/>
      <c r="I852" s="144"/>
      <c r="J852" s="144"/>
      <c r="K852" s="144"/>
      <c r="L852" s="144"/>
      <c r="M852" s="144"/>
      <c r="N852" s="144"/>
      <c r="O852" s="144"/>
      <c r="P852" s="144"/>
      <c r="Q852" s="144"/>
      <c r="R852" s="144"/>
      <c r="S852" s="144"/>
      <c r="T852" s="144"/>
      <c r="U852" s="232"/>
      <c r="V852" s="232"/>
      <c r="W852" s="144"/>
      <c r="X852" s="144"/>
      <c r="Y852" s="144"/>
      <c r="Z852" s="144"/>
      <c r="AA852" s="144"/>
      <c r="AB852" s="144"/>
      <c r="AC852" s="144"/>
      <c r="AD852" s="144"/>
      <c r="AE852" s="232"/>
      <c r="AF852" s="144"/>
      <c r="AG852" s="144"/>
      <c r="AH852" s="232"/>
      <c r="AI852" s="232"/>
      <c r="AJ852" s="144"/>
      <c r="AK852" s="144"/>
      <c r="AL852" s="144"/>
      <c r="AM852" s="144"/>
      <c r="AN852" s="144"/>
      <c r="AO852" s="144"/>
      <c r="AP852" s="144"/>
      <c r="AQ852" s="144"/>
      <c r="AR852" s="144"/>
      <c r="AS852" s="144"/>
      <c r="AT852" s="144"/>
      <c r="AU852" s="144"/>
      <c r="AV852" s="144"/>
    </row>
    <row r="853" spans="3:48" x14ac:dyDescent="0.25">
      <c r="C853" s="144"/>
      <c r="D853" s="144"/>
      <c r="E853" s="144"/>
      <c r="F853" s="144"/>
      <c r="G853" s="144"/>
      <c r="H853" s="232"/>
      <c r="I853" s="144"/>
      <c r="J853" s="144"/>
      <c r="K853" s="144"/>
      <c r="L853" s="144"/>
      <c r="M853" s="144"/>
      <c r="N853" s="144"/>
      <c r="O853" s="144"/>
      <c r="P853" s="144"/>
      <c r="Q853" s="144"/>
      <c r="R853" s="144"/>
      <c r="S853" s="144"/>
      <c r="T853" s="144"/>
      <c r="U853" s="232"/>
      <c r="V853" s="232"/>
      <c r="W853" s="144"/>
      <c r="X853" s="144"/>
      <c r="Y853" s="144"/>
      <c r="Z853" s="144"/>
      <c r="AA853" s="144"/>
      <c r="AB853" s="144"/>
      <c r="AC853" s="144"/>
      <c r="AD853" s="144"/>
      <c r="AE853" s="232"/>
      <c r="AF853" s="144"/>
      <c r="AG853" s="144"/>
      <c r="AH853" s="232"/>
      <c r="AI853" s="232"/>
      <c r="AJ853" s="144"/>
      <c r="AK853" s="144"/>
      <c r="AL853" s="144"/>
      <c r="AM853" s="144"/>
      <c r="AN853" s="144"/>
      <c r="AO853" s="144"/>
      <c r="AP853" s="144"/>
      <c r="AQ853" s="144"/>
      <c r="AR853" s="144"/>
      <c r="AS853" s="144"/>
      <c r="AT853" s="144"/>
      <c r="AU853" s="144"/>
      <c r="AV853" s="144"/>
    </row>
    <row r="854" spans="3:48" x14ac:dyDescent="0.25">
      <c r="C854" s="144"/>
      <c r="D854" s="144"/>
      <c r="E854" s="144"/>
      <c r="F854" s="144"/>
      <c r="G854" s="144"/>
      <c r="H854" s="232"/>
      <c r="I854" s="144"/>
      <c r="J854" s="144"/>
      <c r="K854" s="144"/>
      <c r="L854" s="144"/>
      <c r="M854" s="144"/>
      <c r="N854" s="144"/>
      <c r="O854" s="144"/>
      <c r="P854" s="144"/>
      <c r="Q854" s="144"/>
      <c r="R854" s="144"/>
      <c r="S854" s="144"/>
      <c r="T854" s="144"/>
      <c r="U854" s="232"/>
      <c r="V854" s="232"/>
      <c r="W854" s="144"/>
      <c r="X854" s="144"/>
      <c r="Y854" s="144"/>
      <c r="Z854" s="144"/>
      <c r="AA854" s="144"/>
      <c r="AB854" s="144"/>
      <c r="AC854" s="144"/>
      <c r="AD854" s="144"/>
      <c r="AE854" s="232"/>
      <c r="AF854" s="144"/>
      <c r="AG854" s="144"/>
      <c r="AH854" s="232"/>
      <c r="AI854" s="232"/>
      <c r="AJ854" s="144"/>
      <c r="AK854" s="144"/>
      <c r="AL854" s="144"/>
      <c r="AM854" s="144"/>
      <c r="AN854" s="144"/>
      <c r="AO854" s="144"/>
      <c r="AP854" s="144"/>
      <c r="AQ854" s="144"/>
      <c r="AR854" s="144"/>
      <c r="AS854" s="144"/>
      <c r="AT854" s="144"/>
      <c r="AU854" s="144"/>
      <c r="AV854" s="144"/>
    </row>
    <row r="855" spans="3:48" x14ac:dyDescent="0.25">
      <c r="C855" s="144"/>
      <c r="D855" s="144"/>
      <c r="E855" s="144"/>
      <c r="F855" s="144"/>
      <c r="G855" s="144"/>
      <c r="H855" s="232"/>
      <c r="I855" s="144"/>
      <c r="J855" s="144"/>
      <c r="K855" s="144"/>
      <c r="L855" s="144"/>
      <c r="M855" s="144"/>
      <c r="N855" s="144"/>
      <c r="O855" s="144"/>
      <c r="P855" s="144"/>
      <c r="Q855" s="144"/>
      <c r="R855" s="144"/>
      <c r="S855" s="144"/>
      <c r="T855" s="144"/>
      <c r="U855" s="232"/>
      <c r="V855" s="232"/>
      <c r="W855" s="144"/>
      <c r="X855" s="144"/>
      <c r="Y855" s="144"/>
      <c r="Z855" s="144"/>
      <c r="AA855" s="144"/>
      <c r="AB855" s="144"/>
      <c r="AC855" s="144"/>
      <c r="AD855" s="144"/>
      <c r="AE855" s="232"/>
      <c r="AF855" s="144"/>
      <c r="AG855" s="144"/>
      <c r="AH855" s="232"/>
      <c r="AI855" s="232"/>
      <c r="AJ855" s="144"/>
      <c r="AK855" s="144"/>
      <c r="AL855" s="144"/>
      <c r="AM855" s="144"/>
      <c r="AN855" s="144"/>
      <c r="AO855" s="144"/>
      <c r="AP855" s="144"/>
      <c r="AQ855" s="144"/>
      <c r="AR855" s="144"/>
      <c r="AS855" s="144"/>
      <c r="AT855" s="144"/>
      <c r="AU855" s="144"/>
      <c r="AV855" s="144"/>
    </row>
    <row r="856" spans="3:48" x14ac:dyDescent="0.25">
      <c r="C856" s="144"/>
      <c r="D856" s="144"/>
      <c r="E856" s="144"/>
      <c r="F856" s="144"/>
      <c r="G856" s="144"/>
      <c r="H856" s="232"/>
      <c r="I856" s="144"/>
      <c r="J856" s="144"/>
      <c r="K856" s="144"/>
      <c r="L856" s="144"/>
      <c r="M856" s="144"/>
      <c r="N856" s="144"/>
      <c r="O856" s="144"/>
      <c r="P856" s="144"/>
      <c r="Q856" s="144"/>
      <c r="R856" s="144"/>
      <c r="S856" s="144"/>
      <c r="T856" s="144"/>
      <c r="U856" s="232"/>
      <c r="V856" s="232"/>
      <c r="W856" s="144"/>
      <c r="X856" s="144"/>
      <c r="Y856" s="144"/>
      <c r="Z856" s="144"/>
      <c r="AA856" s="144"/>
      <c r="AB856" s="144"/>
      <c r="AC856" s="144"/>
      <c r="AD856" s="144"/>
      <c r="AE856" s="232"/>
      <c r="AF856" s="144"/>
      <c r="AG856" s="144"/>
      <c r="AH856" s="232"/>
      <c r="AI856" s="232"/>
      <c r="AJ856" s="144"/>
      <c r="AK856" s="144"/>
      <c r="AL856" s="144"/>
      <c r="AM856" s="144"/>
      <c r="AN856" s="144"/>
      <c r="AO856" s="144"/>
      <c r="AP856" s="144"/>
      <c r="AQ856" s="144"/>
      <c r="AR856" s="144"/>
      <c r="AS856" s="144"/>
      <c r="AT856" s="144"/>
      <c r="AU856" s="144"/>
      <c r="AV856" s="144"/>
    </row>
    <row r="857" spans="3:48" x14ac:dyDescent="0.25">
      <c r="C857" s="144"/>
      <c r="D857" s="144"/>
      <c r="E857" s="144"/>
      <c r="F857" s="144"/>
      <c r="G857" s="144"/>
      <c r="H857" s="232"/>
      <c r="I857" s="144"/>
      <c r="J857" s="144"/>
      <c r="K857" s="144"/>
      <c r="L857" s="144"/>
      <c r="M857" s="144"/>
      <c r="N857" s="144"/>
      <c r="O857" s="144"/>
      <c r="P857" s="144"/>
      <c r="Q857" s="144"/>
      <c r="R857" s="144"/>
      <c r="S857" s="144"/>
      <c r="T857" s="144"/>
      <c r="U857" s="232"/>
      <c r="V857" s="232"/>
      <c r="W857" s="144"/>
      <c r="X857" s="144"/>
      <c r="Y857" s="144"/>
      <c r="Z857" s="144"/>
      <c r="AA857" s="144"/>
      <c r="AB857" s="144"/>
      <c r="AC857" s="144"/>
      <c r="AD857" s="144"/>
      <c r="AE857" s="232"/>
      <c r="AF857" s="144"/>
      <c r="AG857" s="144"/>
      <c r="AH857" s="232"/>
      <c r="AI857" s="232"/>
      <c r="AJ857" s="144"/>
      <c r="AK857" s="144"/>
      <c r="AL857" s="144"/>
      <c r="AM857" s="144"/>
      <c r="AN857" s="144"/>
      <c r="AO857" s="144"/>
      <c r="AP857" s="144"/>
      <c r="AQ857" s="144"/>
      <c r="AR857" s="144"/>
      <c r="AS857" s="144"/>
      <c r="AT857" s="144"/>
      <c r="AU857" s="144"/>
      <c r="AV857" s="144"/>
    </row>
    <row r="858" spans="3:48" x14ac:dyDescent="0.25">
      <c r="C858" s="144"/>
      <c r="D858" s="144"/>
      <c r="E858" s="144"/>
      <c r="F858" s="144"/>
      <c r="G858" s="144"/>
      <c r="H858" s="232"/>
      <c r="I858" s="144"/>
      <c r="J858" s="144"/>
      <c r="K858" s="144"/>
      <c r="L858" s="144"/>
      <c r="M858" s="144"/>
      <c r="N858" s="144"/>
      <c r="O858" s="144"/>
      <c r="P858" s="144"/>
      <c r="Q858" s="144"/>
      <c r="R858" s="144"/>
      <c r="S858" s="144"/>
      <c r="T858" s="144"/>
      <c r="U858" s="232"/>
      <c r="V858" s="232"/>
      <c r="W858" s="144"/>
      <c r="X858" s="144"/>
      <c r="Y858" s="144"/>
      <c r="Z858" s="144"/>
      <c r="AA858" s="144"/>
      <c r="AB858" s="144"/>
      <c r="AC858" s="144"/>
      <c r="AD858" s="144"/>
      <c r="AE858" s="232"/>
      <c r="AF858" s="144"/>
      <c r="AG858" s="144"/>
      <c r="AH858" s="232"/>
      <c r="AI858" s="232"/>
      <c r="AJ858" s="144"/>
      <c r="AK858" s="144"/>
      <c r="AL858" s="144"/>
      <c r="AM858" s="144"/>
      <c r="AN858" s="144"/>
      <c r="AO858" s="144"/>
      <c r="AP858" s="144"/>
      <c r="AQ858" s="144"/>
      <c r="AR858" s="144"/>
      <c r="AS858" s="144"/>
      <c r="AT858" s="144"/>
      <c r="AU858" s="144"/>
      <c r="AV858" s="144"/>
    </row>
    <row r="859" spans="3:48" x14ac:dyDescent="0.25">
      <c r="C859" s="144"/>
      <c r="D859" s="144"/>
      <c r="E859" s="144"/>
      <c r="F859" s="144"/>
      <c r="G859" s="144"/>
      <c r="H859" s="232"/>
      <c r="I859" s="144"/>
      <c r="J859" s="144"/>
      <c r="K859" s="144"/>
      <c r="L859" s="144"/>
      <c r="M859" s="144"/>
      <c r="N859" s="144"/>
      <c r="O859" s="144"/>
      <c r="P859" s="144"/>
      <c r="Q859" s="144"/>
      <c r="R859" s="144"/>
      <c r="S859" s="144"/>
      <c r="T859" s="144"/>
      <c r="U859" s="232"/>
      <c r="V859" s="232"/>
      <c r="W859" s="144"/>
      <c r="X859" s="144"/>
      <c r="Y859" s="144"/>
      <c r="Z859" s="144"/>
      <c r="AA859" s="144"/>
      <c r="AB859" s="144"/>
      <c r="AC859" s="144"/>
      <c r="AD859" s="144"/>
      <c r="AE859" s="232"/>
      <c r="AF859" s="144"/>
      <c r="AG859" s="144"/>
      <c r="AH859" s="232"/>
      <c r="AI859" s="232"/>
      <c r="AJ859" s="144"/>
      <c r="AK859" s="144"/>
      <c r="AL859" s="144"/>
      <c r="AM859" s="144"/>
      <c r="AN859" s="144"/>
      <c r="AO859" s="144"/>
      <c r="AP859" s="144"/>
      <c r="AQ859" s="144"/>
      <c r="AR859" s="144"/>
      <c r="AS859" s="144"/>
      <c r="AT859" s="144"/>
      <c r="AU859" s="144"/>
      <c r="AV859" s="144"/>
    </row>
    <row r="860" spans="3:48" x14ac:dyDescent="0.25">
      <c r="C860" s="144"/>
      <c r="D860" s="144"/>
      <c r="E860" s="144"/>
      <c r="F860" s="144"/>
      <c r="G860" s="144"/>
      <c r="H860" s="232"/>
      <c r="I860" s="144"/>
      <c r="J860" s="144"/>
      <c r="K860" s="144"/>
      <c r="L860" s="144"/>
      <c r="M860" s="144"/>
      <c r="N860" s="144"/>
      <c r="O860" s="144"/>
      <c r="P860" s="144"/>
      <c r="Q860" s="144"/>
      <c r="R860" s="144"/>
      <c r="S860" s="144"/>
      <c r="T860" s="144"/>
      <c r="U860" s="232"/>
      <c r="V860" s="232"/>
      <c r="W860" s="144"/>
      <c r="X860" s="144"/>
      <c r="Y860" s="144"/>
      <c r="Z860" s="144"/>
      <c r="AA860" s="144"/>
      <c r="AB860" s="144"/>
      <c r="AC860" s="144"/>
      <c r="AD860" s="144"/>
      <c r="AE860" s="232"/>
      <c r="AF860" s="144"/>
      <c r="AG860" s="144"/>
      <c r="AH860" s="232"/>
      <c r="AI860" s="232"/>
      <c r="AJ860" s="144"/>
      <c r="AK860" s="144"/>
      <c r="AL860" s="144"/>
      <c r="AM860" s="144"/>
      <c r="AN860" s="144"/>
      <c r="AO860" s="144"/>
      <c r="AP860" s="144"/>
      <c r="AQ860" s="144"/>
      <c r="AR860" s="144"/>
      <c r="AS860" s="144"/>
      <c r="AT860" s="144"/>
      <c r="AU860" s="144"/>
      <c r="AV860" s="144"/>
    </row>
    <row r="861" spans="3:48" x14ac:dyDescent="0.25">
      <c r="C861" s="144"/>
      <c r="D861" s="144"/>
      <c r="E861" s="144"/>
      <c r="F861" s="144"/>
      <c r="G861" s="144"/>
      <c r="H861" s="232"/>
      <c r="I861" s="144"/>
      <c r="J861" s="144"/>
      <c r="K861" s="144"/>
      <c r="L861" s="144"/>
      <c r="M861" s="144"/>
      <c r="N861" s="144"/>
      <c r="O861" s="144"/>
      <c r="P861" s="144"/>
      <c r="Q861" s="144"/>
      <c r="R861" s="144"/>
      <c r="S861" s="144"/>
      <c r="T861" s="144"/>
      <c r="U861" s="232"/>
      <c r="V861" s="232"/>
      <c r="W861" s="144"/>
      <c r="X861" s="144"/>
      <c r="Y861" s="144"/>
      <c r="Z861" s="144"/>
      <c r="AA861" s="144"/>
      <c r="AB861" s="144"/>
      <c r="AC861" s="144"/>
      <c r="AD861" s="144"/>
      <c r="AE861" s="232"/>
      <c r="AF861" s="144"/>
      <c r="AG861" s="144"/>
      <c r="AH861" s="232"/>
      <c r="AI861" s="232"/>
      <c r="AJ861" s="144"/>
      <c r="AK861" s="144"/>
      <c r="AL861" s="144"/>
      <c r="AM861" s="144"/>
      <c r="AN861" s="144"/>
      <c r="AO861" s="144"/>
      <c r="AP861" s="144"/>
      <c r="AQ861" s="144"/>
      <c r="AR861" s="144"/>
      <c r="AS861" s="144"/>
      <c r="AT861" s="144"/>
      <c r="AU861" s="144"/>
      <c r="AV861" s="144"/>
    </row>
    <row r="862" spans="3:48" x14ac:dyDescent="0.25">
      <c r="C862" s="144"/>
      <c r="D862" s="144"/>
      <c r="E862" s="144"/>
      <c r="F862" s="144"/>
      <c r="G862" s="144"/>
      <c r="H862" s="232"/>
      <c r="I862" s="144"/>
      <c r="J862" s="144"/>
      <c r="K862" s="144"/>
      <c r="L862" s="144"/>
      <c r="M862" s="144"/>
      <c r="N862" s="144"/>
      <c r="O862" s="144"/>
      <c r="P862" s="144"/>
      <c r="Q862" s="144"/>
      <c r="R862" s="144"/>
      <c r="S862" s="144"/>
      <c r="T862" s="144"/>
      <c r="U862" s="232"/>
      <c r="V862" s="232"/>
      <c r="W862" s="144"/>
      <c r="X862" s="144"/>
      <c r="Y862" s="144"/>
      <c r="Z862" s="144"/>
      <c r="AA862" s="144"/>
      <c r="AB862" s="144"/>
      <c r="AC862" s="144"/>
      <c r="AD862" s="144"/>
      <c r="AE862" s="232"/>
      <c r="AF862" s="144"/>
      <c r="AG862" s="144"/>
      <c r="AH862" s="232"/>
      <c r="AI862" s="232"/>
      <c r="AJ862" s="144"/>
      <c r="AK862" s="144"/>
      <c r="AL862" s="144"/>
      <c r="AM862" s="144"/>
      <c r="AN862" s="144"/>
      <c r="AO862" s="144"/>
      <c r="AP862" s="144"/>
      <c r="AQ862" s="144"/>
      <c r="AR862" s="144"/>
      <c r="AS862" s="144"/>
      <c r="AT862" s="144"/>
      <c r="AU862" s="144"/>
      <c r="AV862" s="144"/>
    </row>
    <row r="863" spans="3:48" x14ac:dyDescent="0.25">
      <c r="C863" s="144"/>
      <c r="D863" s="144"/>
      <c r="E863" s="144"/>
      <c r="F863" s="144"/>
      <c r="G863" s="144"/>
      <c r="H863" s="232"/>
      <c r="I863" s="144"/>
      <c r="J863" s="144"/>
      <c r="K863" s="144"/>
      <c r="L863" s="144"/>
      <c r="M863" s="144"/>
      <c r="N863" s="144"/>
      <c r="O863" s="144"/>
      <c r="P863" s="144"/>
      <c r="Q863" s="144"/>
      <c r="R863" s="144"/>
      <c r="S863" s="144"/>
      <c r="T863" s="144"/>
      <c r="U863" s="232"/>
      <c r="V863" s="232"/>
      <c r="W863" s="144"/>
      <c r="X863" s="144"/>
      <c r="Y863" s="144"/>
      <c r="Z863" s="144"/>
      <c r="AA863" s="144"/>
      <c r="AB863" s="144"/>
      <c r="AC863" s="144"/>
      <c r="AD863" s="144"/>
      <c r="AE863" s="232"/>
      <c r="AF863" s="144"/>
      <c r="AG863" s="144"/>
      <c r="AH863" s="232"/>
      <c r="AI863" s="232"/>
      <c r="AJ863" s="144"/>
      <c r="AK863" s="144"/>
      <c r="AL863" s="144"/>
      <c r="AM863" s="144"/>
      <c r="AN863" s="144"/>
      <c r="AO863" s="144"/>
      <c r="AP863" s="144"/>
      <c r="AQ863" s="144"/>
      <c r="AR863" s="144"/>
      <c r="AS863" s="144"/>
      <c r="AT863" s="144"/>
      <c r="AU863" s="144"/>
      <c r="AV863" s="144"/>
    </row>
    <row r="864" spans="3:48" x14ac:dyDescent="0.25">
      <c r="C864" s="144"/>
      <c r="D864" s="144"/>
      <c r="E864" s="144"/>
      <c r="F864" s="144"/>
      <c r="G864" s="144"/>
      <c r="H864" s="232"/>
      <c r="I864" s="144"/>
      <c r="J864" s="144"/>
      <c r="K864" s="144"/>
      <c r="L864" s="144"/>
      <c r="M864" s="144"/>
      <c r="N864" s="144"/>
      <c r="O864" s="144"/>
      <c r="P864" s="144"/>
      <c r="Q864" s="144"/>
      <c r="R864" s="144"/>
      <c r="S864" s="144"/>
      <c r="T864" s="144"/>
      <c r="U864" s="232"/>
      <c r="V864" s="232"/>
      <c r="W864" s="144"/>
      <c r="X864" s="144"/>
      <c r="Y864" s="144"/>
      <c r="Z864" s="144"/>
      <c r="AA864" s="144"/>
      <c r="AB864" s="144"/>
      <c r="AC864" s="144"/>
      <c r="AD864" s="144"/>
      <c r="AE864" s="232"/>
      <c r="AF864" s="144"/>
      <c r="AG864" s="144"/>
      <c r="AH864" s="232"/>
      <c r="AI864" s="232"/>
      <c r="AJ864" s="144"/>
      <c r="AK864" s="144"/>
      <c r="AL864" s="144"/>
      <c r="AM864" s="144"/>
      <c r="AN864" s="144"/>
      <c r="AO864" s="144"/>
      <c r="AP864" s="144"/>
      <c r="AQ864" s="144"/>
      <c r="AR864" s="144"/>
      <c r="AS864" s="144"/>
      <c r="AT864" s="144"/>
      <c r="AU864" s="144"/>
      <c r="AV864" s="144"/>
    </row>
    <row r="865" spans="3:48" x14ac:dyDescent="0.25">
      <c r="C865" s="144"/>
      <c r="D865" s="144"/>
      <c r="E865" s="144"/>
      <c r="F865" s="144"/>
      <c r="G865" s="144"/>
      <c r="H865" s="232"/>
      <c r="I865" s="144"/>
      <c r="J865" s="144"/>
      <c r="K865" s="144"/>
      <c r="L865" s="144"/>
      <c r="M865" s="144"/>
      <c r="N865" s="144"/>
      <c r="O865" s="144"/>
      <c r="P865" s="144"/>
      <c r="Q865" s="144"/>
      <c r="R865" s="144"/>
      <c r="S865" s="144"/>
      <c r="T865" s="144"/>
      <c r="U865" s="232"/>
      <c r="V865" s="232"/>
      <c r="W865" s="144"/>
      <c r="X865" s="144"/>
      <c r="Y865" s="144"/>
      <c r="Z865" s="144"/>
      <c r="AA865" s="144"/>
      <c r="AB865" s="144"/>
      <c r="AC865" s="144"/>
      <c r="AD865" s="144"/>
      <c r="AE865" s="232"/>
      <c r="AF865" s="144"/>
      <c r="AG865" s="144"/>
      <c r="AH865" s="232"/>
      <c r="AI865" s="232"/>
      <c r="AJ865" s="144"/>
      <c r="AK865" s="144"/>
      <c r="AL865" s="144"/>
      <c r="AM865" s="144"/>
      <c r="AN865" s="144"/>
      <c r="AO865" s="144"/>
      <c r="AP865" s="144"/>
      <c r="AQ865" s="144"/>
      <c r="AR865" s="144"/>
      <c r="AS865" s="144"/>
      <c r="AT865" s="144"/>
      <c r="AU865" s="144"/>
      <c r="AV865" s="144"/>
    </row>
    <row r="866" spans="3:48" x14ac:dyDescent="0.25">
      <c r="C866" s="144"/>
      <c r="D866" s="144"/>
      <c r="E866" s="144"/>
      <c r="F866" s="144"/>
      <c r="G866" s="144"/>
      <c r="H866" s="232"/>
      <c r="I866" s="144"/>
      <c r="J866" s="144"/>
      <c r="K866" s="144"/>
      <c r="L866" s="144"/>
      <c r="M866" s="144"/>
      <c r="N866" s="144"/>
      <c r="O866" s="144"/>
      <c r="P866" s="144"/>
      <c r="Q866" s="144"/>
      <c r="R866" s="144"/>
      <c r="S866" s="144"/>
      <c r="T866" s="144"/>
      <c r="U866" s="232"/>
      <c r="V866" s="232"/>
      <c r="W866" s="144"/>
      <c r="X866" s="144"/>
      <c r="Y866" s="144"/>
      <c r="Z866" s="144"/>
      <c r="AA866" s="144"/>
      <c r="AB866" s="144"/>
      <c r="AC866" s="144"/>
      <c r="AD866" s="144"/>
      <c r="AE866" s="232"/>
      <c r="AF866" s="144"/>
      <c r="AG866" s="144"/>
      <c r="AH866" s="232"/>
      <c r="AI866" s="232"/>
      <c r="AJ866" s="144"/>
      <c r="AK866" s="144"/>
      <c r="AL866" s="144"/>
      <c r="AM866" s="144"/>
      <c r="AN866" s="144"/>
      <c r="AO866" s="144"/>
      <c r="AP866" s="144"/>
      <c r="AQ866" s="144"/>
      <c r="AR866" s="144"/>
      <c r="AS866" s="144"/>
      <c r="AT866" s="144"/>
      <c r="AU866" s="144"/>
      <c r="AV866" s="144"/>
    </row>
    <row r="867" spans="3:48" x14ac:dyDescent="0.25">
      <c r="C867" s="144"/>
      <c r="D867" s="144"/>
      <c r="E867" s="144"/>
      <c r="F867" s="144"/>
      <c r="G867" s="144"/>
      <c r="H867" s="232"/>
      <c r="I867" s="144"/>
      <c r="J867" s="144"/>
      <c r="K867" s="144"/>
      <c r="L867" s="144"/>
      <c r="M867" s="144"/>
      <c r="N867" s="144"/>
      <c r="O867" s="144"/>
      <c r="P867" s="144"/>
      <c r="Q867" s="144"/>
      <c r="R867" s="144"/>
      <c r="S867" s="144"/>
      <c r="T867" s="144"/>
      <c r="U867" s="232"/>
      <c r="V867" s="232"/>
      <c r="W867" s="144"/>
      <c r="X867" s="144"/>
      <c r="Y867" s="144"/>
      <c r="Z867" s="144"/>
      <c r="AA867" s="144"/>
      <c r="AB867" s="144"/>
      <c r="AC867" s="144"/>
      <c r="AD867" s="144"/>
      <c r="AE867" s="232"/>
      <c r="AF867" s="144"/>
      <c r="AG867" s="144"/>
      <c r="AH867" s="232"/>
      <c r="AI867" s="232"/>
      <c r="AJ867" s="144"/>
      <c r="AK867" s="144"/>
      <c r="AL867" s="144"/>
      <c r="AM867" s="144"/>
      <c r="AN867" s="144"/>
      <c r="AO867" s="144"/>
      <c r="AP867" s="144"/>
      <c r="AQ867" s="144"/>
      <c r="AR867" s="144"/>
      <c r="AS867" s="144"/>
      <c r="AT867" s="144"/>
      <c r="AU867" s="144"/>
      <c r="AV867" s="144"/>
    </row>
    <row r="868" spans="3:48" x14ac:dyDescent="0.25">
      <c r="C868" s="144"/>
      <c r="D868" s="144"/>
      <c r="E868" s="144"/>
      <c r="F868" s="144"/>
      <c r="G868" s="144"/>
      <c r="H868" s="232"/>
      <c r="I868" s="144"/>
      <c r="J868" s="144"/>
      <c r="K868" s="144"/>
      <c r="L868" s="144"/>
      <c r="M868" s="144"/>
      <c r="N868" s="144"/>
      <c r="O868" s="144"/>
      <c r="P868" s="144"/>
      <c r="Q868" s="144"/>
      <c r="R868" s="144"/>
      <c r="S868" s="144"/>
      <c r="T868" s="144"/>
      <c r="U868" s="232"/>
      <c r="V868" s="232"/>
      <c r="W868" s="144"/>
      <c r="X868" s="144"/>
      <c r="Y868" s="144"/>
      <c r="Z868" s="144"/>
      <c r="AA868" s="144"/>
      <c r="AB868" s="144"/>
      <c r="AC868" s="144"/>
      <c r="AD868" s="144"/>
      <c r="AE868" s="232"/>
      <c r="AF868" s="144"/>
      <c r="AG868" s="144"/>
      <c r="AH868" s="232"/>
      <c r="AI868" s="232"/>
      <c r="AJ868" s="144"/>
      <c r="AK868" s="144"/>
      <c r="AL868" s="144"/>
      <c r="AM868" s="144"/>
      <c r="AN868" s="144"/>
      <c r="AO868" s="144"/>
      <c r="AP868" s="144"/>
      <c r="AQ868" s="144"/>
      <c r="AR868" s="144"/>
      <c r="AS868" s="144"/>
      <c r="AT868" s="144"/>
      <c r="AU868" s="144"/>
      <c r="AV868" s="144"/>
    </row>
    <row r="869" spans="3:48" x14ac:dyDescent="0.25">
      <c r="C869" s="144"/>
      <c r="D869" s="144"/>
      <c r="E869" s="144"/>
      <c r="F869" s="144"/>
      <c r="G869" s="144"/>
      <c r="H869" s="232"/>
      <c r="I869" s="144"/>
      <c r="J869" s="144"/>
      <c r="K869" s="144"/>
      <c r="L869" s="144"/>
      <c r="M869" s="144"/>
      <c r="N869" s="144"/>
      <c r="O869" s="144"/>
      <c r="P869" s="144"/>
      <c r="Q869" s="144"/>
      <c r="R869" s="144"/>
      <c r="S869" s="144"/>
      <c r="T869" s="144"/>
      <c r="U869" s="232"/>
      <c r="V869" s="232"/>
      <c r="W869" s="144"/>
      <c r="X869" s="144"/>
      <c r="Y869" s="144"/>
      <c r="Z869" s="144"/>
      <c r="AA869" s="144"/>
      <c r="AB869" s="144"/>
      <c r="AC869" s="144"/>
      <c r="AD869" s="144"/>
      <c r="AE869" s="232"/>
      <c r="AF869" s="144"/>
      <c r="AG869" s="144"/>
      <c r="AH869" s="232"/>
      <c r="AI869" s="232"/>
      <c r="AJ869" s="144"/>
      <c r="AK869" s="144"/>
      <c r="AL869" s="144"/>
      <c r="AM869" s="144"/>
      <c r="AN869" s="144"/>
      <c r="AO869" s="144"/>
      <c r="AP869" s="144"/>
      <c r="AQ869" s="144"/>
      <c r="AR869" s="144"/>
      <c r="AS869" s="144"/>
      <c r="AT869" s="144"/>
      <c r="AU869" s="144"/>
      <c r="AV869" s="144"/>
    </row>
    <row r="870" spans="3:48" x14ac:dyDescent="0.25">
      <c r="C870" s="144"/>
      <c r="D870" s="144"/>
      <c r="E870" s="144"/>
      <c r="F870" s="144"/>
      <c r="G870" s="144"/>
      <c r="H870" s="232"/>
      <c r="I870" s="144"/>
      <c r="J870" s="144"/>
      <c r="K870" s="144"/>
      <c r="L870" s="144"/>
      <c r="M870" s="144"/>
      <c r="N870" s="144"/>
      <c r="O870" s="144"/>
      <c r="P870" s="144"/>
      <c r="Q870" s="144"/>
      <c r="R870" s="144"/>
      <c r="S870" s="144"/>
      <c r="T870" s="144"/>
      <c r="U870" s="232"/>
      <c r="V870" s="232"/>
      <c r="W870" s="144"/>
      <c r="X870" s="144"/>
      <c r="Y870" s="144"/>
      <c r="Z870" s="144"/>
      <c r="AA870" s="144"/>
      <c r="AB870" s="144"/>
      <c r="AC870" s="144"/>
      <c r="AD870" s="144"/>
      <c r="AE870" s="232"/>
      <c r="AF870" s="144"/>
      <c r="AG870" s="144"/>
      <c r="AH870" s="232"/>
      <c r="AI870" s="232"/>
      <c r="AJ870" s="144"/>
      <c r="AK870" s="144"/>
      <c r="AL870" s="144"/>
      <c r="AM870" s="144"/>
      <c r="AN870" s="144"/>
      <c r="AO870" s="144"/>
      <c r="AP870" s="144"/>
      <c r="AQ870" s="144"/>
      <c r="AR870" s="144"/>
      <c r="AS870" s="144"/>
      <c r="AT870" s="144"/>
      <c r="AU870" s="144"/>
      <c r="AV870" s="144"/>
    </row>
    <row r="871" spans="3:48" x14ac:dyDescent="0.25">
      <c r="C871" s="144"/>
      <c r="D871" s="144"/>
      <c r="E871" s="144"/>
      <c r="F871" s="144"/>
      <c r="G871" s="144"/>
      <c r="H871" s="232"/>
      <c r="I871" s="144"/>
      <c r="J871" s="144"/>
      <c r="K871" s="144"/>
      <c r="L871" s="144"/>
      <c r="M871" s="144"/>
      <c r="N871" s="144"/>
      <c r="O871" s="144"/>
      <c r="P871" s="144"/>
      <c r="Q871" s="144"/>
      <c r="R871" s="144"/>
      <c r="S871" s="144"/>
      <c r="T871" s="144"/>
      <c r="U871" s="232"/>
      <c r="V871" s="232"/>
      <c r="W871" s="144"/>
      <c r="X871" s="144"/>
      <c r="Y871" s="144"/>
      <c r="Z871" s="144"/>
      <c r="AA871" s="144"/>
      <c r="AB871" s="144"/>
      <c r="AC871" s="144"/>
      <c r="AD871" s="144"/>
      <c r="AE871" s="232"/>
      <c r="AF871" s="144"/>
      <c r="AG871" s="144"/>
      <c r="AH871" s="232"/>
      <c r="AI871" s="232"/>
      <c r="AJ871" s="144"/>
      <c r="AK871" s="144"/>
      <c r="AL871" s="144"/>
      <c r="AM871" s="144"/>
      <c r="AN871" s="144"/>
      <c r="AO871" s="144"/>
      <c r="AP871" s="144"/>
      <c r="AQ871" s="144"/>
      <c r="AR871" s="144"/>
      <c r="AS871" s="144"/>
      <c r="AT871" s="144"/>
      <c r="AU871" s="144"/>
      <c r="AV871" s="144"/>
    </row>
    <row r="872" spans="3:48" x14ac:dyDescent="0.25">
      <c r="C872" s="144"/>
      <c r="D872" s="144"/>
      <c r="E872" s="144"/>
      <c r="F872" s="144"/>
      <c r="G872" s="144"/>
      <c r="H872" s="232"/>
      <c r="I872" s="144"/>
      <c r="J872" s="144"/>
      <c r="K872" s="144"/>
      <c r="L872" s="144"/>
      <c r="M872" s="144"/>
      <c r="N872" s="144"/>
      <c r="O872" s="144"/>
      <c r="P872" s="144"/>
      <c r="Q872" s="144"/>
      <c r="R872" s="144"/>
      <c r="S872" s="144"/>
      <c r="T872" s="144"/>
      <c r="U872" s="232"/>
      <c r="V872" s="232"/>
      <c r="W872" s="144"/>
      <c r="X872" s="144"/>
      <c r="Y872" s="144"/>
      <c r="Z872" s="144"/>
      <c r="AA872" s="144"/>
      <c r="AB872" s="144"/>
      <c r="AC872" s="144"/>
      <c r="AD872" s="144"/>
      <c r="AE872" s="232"/>
      <c r="AF872" s="144"/>
      <c r="AG872" s="144"/>
      <c r="AH872" s="232"/>
      <c r="AI872" s="232"/>
      <c r="AJ872" s="144"/>
      <c r="AK872" s="144"/>
      <c r="AL872" s="144"/>
      <c r="AM872" s="144"/>
      <c r="AN872" s="144"/>
      <c r="AO872" s="144"/>
      <c r="AP872" s="144"/>
      <c r="AQ872" s="144"/>
      <c r="AR872" s="144"/>
      <c r="AS872" s="144"/>
      <c r="AT872" s="144"/>
      <c r="AU872" s="144"/>
      <c r="AV872" s="144"/>
    </row>
    <row r="873" spans="3:48" x14ac:dyDescent="0.25">
      <c r="C873" s="144"/>
      <c r="D873" s="144"/>
      <c r="E873" s="144"/>
      <c r="F873" s="144"/>
      <c r="G873" s="144"/>
      <c r="H873" s="232"/>
      <c r="I873" s="144"/>
      <c r="J873" s="144"/>
      <c r="K873" s="144"/>
      <c r="L873" s="144"/>
      <c r="M873" s="144"/>
      <c r="N873" s="144"/>
      <c r="O873" s="144"/>
      <c r="P873" s="144"/>
      <c r="Q873" s="144"/>
      <c r="R873" s="144"/>
      <c r="S873" s="144"/>
      <c r="T873" s="144"/>
      <c r="U873" s="232"/>
      <c r="V873" s="232"/>
      <c r="W873" s="144"/>
      <c r="X873" s="144"/>
      <c r="Y873" s="144"/>
      <c r="Z873" s="144"/>
      <c r="AA873" s="144"/>
      <c r="AB873" s="144"/>
      <c r="AC873" s="144"/>
      <c r="AD873" s="144"/>
      <c r="AE873" s="232"/>
      <c r="AF873" s="144"/>
      <c r="AG873" s="144"/>
      <c r="AH873" s="232"/>
      <c r="AI873" s="232"/>
      <c r="AJ873" s="144"/>
      <c r="AK873" s="144"/>
      <c r="AL873" s="144"/>
      <c r="AM873" s="144"/>
      <c r="AN873" s="144"/>
      <c r="AO873" s="144"/>
      <c r="AP873" s="144"/>
      <c r="AQ873" s="144"/>
      <c r="AR873" s="144"/>
      <c r="AS873" s="144"/>
      <c r="AT873" s="144"/>
      <c r="AU873" s="144"/>
      <c r="AV873" s="144"/>
    </row>
    <row r="874" spans="3:48" x14ac:dyDescent="0.25">
      <c r="C874" s="144"/>
      <c r="D874" s="144"/>
      <c r="E874" s="144"/>
      <c r="F874" s="144"/>
      <c r="G874" s="144"/>
      <c r="H874" s="232"/>
      <c r="I874" s="144"/>
      <c r="J874" s="144"/>
      <c r="K874" s="144"/>
      <c r="L874" s="144"/>
      <c r="M874" s="144"/>
      <c r="N874" s="144"/>
      <c r="O874" s="144"/>
      <c r="P874" s="144"/>
      <c r="Q874" s="144"/>
      <c r="R874" s="144"/>
      <c r="S874" s="144"/>
      <c r="T874" s="144"/>
      <c r="U874" s="232"/>
      <c r="V874" s="232"/>
      <c r="W874" s="144"/>
      <c r="X874" s="144"/>
      <c r="Y874" s="144"/>
      <c r="Z874" s="144"/>
      <c r="AA874" s="144"/>
      <c r="AB874" s="144"/>
      <c r="AC874" s="144"/>
      <c r="AD874" s="144"/>
      <c r="AE874" s="232"/>
      <c r="AF874" s="144"/>
      <c r="AG874" s="144"/>
      <c r="AH874" s="232"/>
      <c r="AI874" s="232"/>
      <c r="AJ874" s="144"/>
      <c r="AK874" s="144"/>
      <c r="AL874" s="144"/>
      <c r="AM874" s="144"/>
      <c r="AN874" s="144"/>
      <c r="AO874" s="144"/>
      <c r="AP874" s="144"/>
      <c r="AQ874" s="144"/>
      <c r="AR874" s="144"/>
      <c r="AS874" s="144"/>
      <c r="AT874" s="144"/>
      <c r="AU874" s="144"/>
      <c r="AV874" s="144"/>
    </row>
    <row r="875" spans="3:48" x14ac:dyDescent="0.25">
      <c r="C875" s="144"/>
      <c r="D875" s="144"/>
      <c r="E875" s="144"/>
      <c r="F875" s="144"/>
      <c r="G875" s="144"/>
      <c r="H875" s="232"/>
      <c r="I875" s="144"/>
      <c r="J875" s="144"/>
      <c r="K875" s="144"/>
      <c r="L875" s="144"/>
      <c r="M875" s="144"/>
      <c r="N875" s="144"/>
      <c r="O875" s="144"/>
      <c r="P875" s="144"/>
      <c r="Q875" s="144"/>
      <c r="R875" s="144"/>
      <c r="S875" s="144"/>
      <c r="T875" s="144"/>
      <c r="U875" s="232"/>
      <c r="V875" s="232"/>
      <c r="W875" s="144"/>
      <c r="X875" s="144"/>
      <c r="Y875" s="144"/>
      <c r="Z875" s="144"/>
      <c r="AA875" s="144"/>
      <c r="AB875" s="144"/>
      <c r="AC875" s="144"/>
      <c r="AD875" s="144"/>
      <c r="AE875" s="232"/>
      <c r="AF875" s="144"/>
      <c r="AG875" s="144"/>
      <c r="AH875" s="232"/>
      <c r="AI875" s="232"/>
      <c r="AJ875" s="144"/>
      <c r="AK875" s="144"/>
      <c r="AL875" s="144"/>
      <c r="AM875" s="144"/>
      <c r="AN875" s="144"/>
      <c r="AO875" s="144"/>
      <c r="AP875" s="144"/>
      <c r="AQ875" s="144"/>
      <c r="AR875" s="144"/>
      <c r="AS875" s="144"/>
      <c r="AT875" s="144"/>
      <c r="AU875" s="144"/>
      <c r="AV875" s="144"/>
    </row>
    <row r="876" spans="3:48" x14ac:dyDescent="0.25">
      <c r="C876" s="144"/>
      <c r="D876" s="144"/>
      <c r="E876" s="144"/>
      <c r="F876" s="144"/>
      <c r="G876" s="144"/>
      <c r="H876" s="232"/>
      <c r="I876" s="144"/>
      <c r="J876" s="144"/>
      <c r="K876" s="144"/>
      <c r="L876" s="144"/>
      <c r="M876" s="144"/>
      <c r="N876" s="144"/>
      <c r="O876" s="144"/>
      <c r="P876" s="144"/>
      <c r="Q876" s="144"/>
      <c r="R876" s="144"/>
      <c r="S876" s="144"/>
      <c r="T876" s="144"/>
      <c r="U876" s="232"/>
      <c r="V876" s="232"/>
      <c r="W876" s="144"/>
      <c r="X876" s="144"/>
      <c r="Y876" s="144"/>
      <c r="Z876" s="144"/>
      <c r="AA876" s="144"/>
      <c r="AB876" s="144"/>
      <c r="AC876" s="144"/>
      <c r="AD876" s="144"/>
      <c r="AE876" s="232"/>
      <c r="AF876" s="144"/>
      <c r="AG876" s="144"/>
      <c r="AH876" s="232"/>
      <c r="AI876" s="232"/>
      <c r="AJ876" s="144"/>
      <c r="AK876" s="144"/>
      <c r="AL876" s="144"/>
      <c r="AM876" s="144"/>
      <c r="AN876" s="144"/>
      <c r="AO876" s="144"/>
      <c r="AP876" s="144"/>
      <c r="AQ876" s="144"/>
      <c r="AR876" s="144"/>
      <c r="AS876" s="144"/>
      <c r="AT876" s="144"/>
      <c r="AU876" s="144"/>
      <c r="AV876" s="144"/>
    </row>
    <row r="877" spans="3:48" x14ac:dyDescent="0.25">
      <c r="C877" s="144"/>
      <c r="D877" s="144"/>
      <c r="E877" s="144"/>
      <c r="F877" s="144"/>
      <c r="G877" s="144"/>
      <c r="H877" s="232"/>
      <c r="I877" s="144"/>
      <c r="J877" s="144"/>
      <c r="K877" s="144"/>
      <c r="L877" s="144"/>
      <c r="M877" s="144"/>
      <c r="N877" s="144"/>
      <c r="O877" s="144"/>
      <c r="P877" s="144"/>
      <c r="Q877" s="144"/>
      <c r="R877" s="144"/>
      <c r="S877" s="144"/>
      <c r="T877" s="144"/>
      <c r="U877" s="232"/>
      <c r="V877" s="232"/>
      <c r="W877" s="144"/>
      <c r="X877" s="144"/>
      <c r="Y877" s="144"/>
      <c r="Z877" s="144"/>
      <c r="AA877" s="144"/>
      <c r="AB877" s="144"/>
      <c r="AC877" s="144"/>
      <c r="AD877" s="144"/>
      <c r="AE877" s="232"/>
      <c r="AF877" s="144"/>
      <c r="AG877" s="144"/>
      <c r="AH877" s="232"/>
      <c r="AI877" s="232"/>
      <c r="AJ877" s="144"/>
      <c r="AK877" s="144"/>
      <c r="AL877" s="144"/>
      <c r="AM877" s="144"/>
      <c r="AN877" s="144"/>
      <c r="AO877" s="144"/>
      <c r="AP877" s="144"/>
      <c r="AQ877" s="144"/>
      <c r="AR877" s="144"/>
      <c r="AS877" s="144"/>
      <c r="AT877" s="144"/>
      <c r="AU877" s="144"/>
      <c r="AV877" s="144"/>
    </row>
    <row r="878" spans="3:48" x14ac:dyDescent="0.25">
      <c r="C878" s="144"/>
      <c r="D878" s="144"/>
      <c r="E878" s="144"/>
      <c r="F878" s="144"/>
      <c r="G878" s="144"/>
      <c r="H878" s="232"/>
      <c r="I878" s="144"/>
      <c r="J878" s="144"/>
      <c r="K878" s="144"/>
      <c r="L878" s="144"/>
      <c r="M878" s="144"/>
      <c r="N878" s="144"/>
      <c r="O878" s="144"/>
      <c r="P878" s="144"/>
      <c r="Q878" s="144"/>
      <c r="R878" s="144"/>
      <c r="S878" s="144"/>
      <c r="T878" s="144"/>
      <c r="U878" s="232"/>
      <c r="V878" s="232"/>
      <c r="W878" s="144"/>
      <c r="X878" s="144"/>
      <c r="Y878" s="144"/>
      <c r="Z878" s="144"/>
      <c r="AA878" s="144"/>
      <c r="AB878" s="144"/>
      <c r="AC878" s="144"/>
      <c r="AD878" s="144"/>
      <c r="AE878" s="232"/>
      <c r="AF878" s="144"/>
      <c r="AG878" s="144"/>
      <c r="AH878" s="232"/>
      <c r="AI878" s="232"/>
      <c r="AJ878" s="144"/>
      <c r="AK878" s="144"/>
      <c r="AL878" s="144"/>
      <c r="AM878" s="144"/>
      <c r="AN878" s="144"/>
      <c r="AO878" s="144"/>
      <c r="AP878" s="144"/>
      <c r="AQ878" s="144"/>
      <c r="AR878" s="144"/>
      <c r="AS878" s="144"/>
      <c r="AT878" s="144"/>
      <c r="AU878" s="144"/>
      <c r="AV878" s="144"/>
    </row>
    <row r="879" spans="3:48" x14ac:dyDescent="0.25">
      <c r="C879" s="144"/>
      <c r="D879" s="144"/>
      <c r="E879" s="144"/>
      <c r="F879" s="144"/>
      <c r="G879" s="144"/>
      <c r="H879" s="232"/>
      <c r="I879" s="144"/>
      <c r="J879" s="144"/>
      <c r="K879" s="144"/>
      <c r="L879" s="144"/>
      <c r="M879" s="144"/>
      <c r="N879" s="144"/>
      <c r="O879" s="144"/>
      <c r="P879" s="144"/>
      <c r="Q879" s="144"/>
      <c r="R879" s="144"/>
      <c r="S879" s="144"/>
      <c r="T879" s="144"/>
      <c r="U879" s="232"/>
      <c r="V879" s="232"/>
      <c r="W879" s="144"/>
      <c r="X879" s="144"/>
      <c r="Y879" s="144"/>
      <c r="Z879" s="144"/>
      <c r="AA879" s="144"/>
      <c r="AB879" s="144"/>
      <c r="AC879" s="144"/>
      <c r="AD879" s="144"/>
      <c r="AE879" s="232"/>
      <c r="AF879" s="144"/>
      <c r="AG879" s="144"/>
      <c r="AH879" s="232"/>
      <c r="AI879" s="232"/>
      <c r="AJ879" s="144"/>
      <c r="AK879" s="144"/>
      <c r="AL879" s="144"/>
      <c r="AM879" s="144"/>
      <c r="AN879" s="144"/>
      <c r="AO879" s="144"/>
      <c r="AP879" s="144"/>
      <c r="AQ879" s="144"/>
      <c r="AR879" s="144"/>
      <c r="AS879" s="144"/>
      <c r="AT879" s="144"/>
      <c r="AU879" s="144"/>
      <c r="AV879" s="144"/>
    </row>
    <row r="880" spans="3:48" x14ac:dyDescent="0.25">
      <c r="C880" s="144"/>
      <c r="D880" s="144"/>
      <c r="E880" s="144"/>
      <c r="F880" s="144"/>
      <c r="G880" s="144"/>
      <c r="H880" s="232"/>
      <c r="I880" s="144"/>
      <c r="J880" s="144"/>
      <c r="K880" s="144"/>
      <c r="L880" s="144"/>
      <c r="M880" s="144"/>
      <c r="N880" s="144"/>
      <c r="O880" s="144"/>
      <c r="P880" s="144"/>
      <c r="Q880" s="144"/>
      <c r="R880" s="144"/>
      <c r="S880" s="144"/>
      <c r="T880" s="144"/>
      <c r="U880" s="232"/>
      <c r="V880" s="232"/>
      <c r="W880" s="144"/>
      <c r="X880" s="144"/>
      <c r="Y880" s="144"/>
      <c r="Z880" s="144"/>
      <c r="AA880" s="144"/>
      <c r="AB880" s="144"/>
      <c r="AC880" s="144"/>
      <c r="AD880" s="144"/>
      <c r="AE880" s="232"/>
      <c r="AF880" s="144"/>
      <c r="AG880" s="144"/>
      <c r="AH880" s="232"/>
      <c r="AI880" s="232"/>
      <c r="AJ880" s="144"/>
      <c r="AK880" s="144"/>
      <c r="AL880" s="144"/>
      <c r="AM880" s="144"/>
      <c r="AN880" s="144"/>
      <c r="AO880" s="144"/>
      <c r="AP880" s="144"/>
      <c r="AQ880" s="144"/>
      <c r="AR880" s="144"/>
      <c r="AS880" s="144"/>
      <c r="AT880" s="144"/>
      <c r="AU880" s="144"/>
      <c r="AV880" s="144"/>
    </row>
    <row r="881" spans="3:48" x14ac:dyDescent="0.25">
      <c r="C881" s="144"/>
      <c r="D881" s="144"/>
      <c r="E881" s="144"/>
      <c r="F881" s="144"/>
      <c r="G881" s="144"/>
      <c r="H881" s="232"/>
      <c r="I881" s="144"/>
      <c r="J881" s="144"/>
      <c r="K881" s="144"/>
      <c r="L881" s="144"/>
      <c r="M881" s="144"/>
      <c r="N881" s="144"/>
      <c r="O881" s="144"/>
      <c r="P881" s="144"/>
      <c r="Q881" s="144"/>
      <c r="R881" s="144"/>
      <c r="S881" s="144"/>
      <c r="T881" s="144"/>
      <c r="U881" s="232"/>
      <c r="V881" s="232"/>
      <c r="W881" s="144"/>
      <c r="X881" s="144"/>
      <c r="Y881" s="144"/>
      <c r="Z881" s="144"/>
      <c r="AA881" s="144"/>
      <c r="AB881" s="144"/>
      <c r="AC881" s="144"/>
      <c r="AD881" s="144"/>
      <c r="AE881" s="232"/>
      <c r="AF881" s="144"/>
      <c r="AG881" s="144"/>
      <c r="AH881" s="232"/>
      <c r="AI881" s="232"/>
      <c r="AJ881" s="144"/>
      <c r="AK881" s="144"/>
      <c r="AL881" s="144"/>
      <c r="AM881" s="144"/>
      <c r="AN881" s="144"/>
      <c r="AO881" s="144"/>
      <c r="AP881" s="144"/>
      <c r="AQ881" s="144"/>
      <c r="AR881" s="144"/>
      <c r="AS881" s="144"/>
      <c r="AT881" s="144"/>
      <c r="AU881" s="144"/>
      <c r="AV881" s="144"/>
    </row>
    <row r="882" spans="3:48" x14ac:dyDescent="0.25">
      <c r="C882" s="144"/>
      <c r="D882" s="144"/>
      <c r="E882" s="144"/>
      <c r="F882" s="144"/>
      <c r="G882" s="144"/>
      <c r="H882" s="232"/>
      <c r="I882" s="144"/>
      <c r="J882" s="144"/>
      <c r="K882" s="144"/>
      <c r="L882" s="144"/>
      <c r="M882" s="144"/>
      <c r="N882" s="144"/>
      <c r="O882" s="144"/>
      <c r="P882" s="144"/>
      <c r="Q882" s="144"/>
      <c r="R882" s="144"/>
      <c r="S882" s="144"/>
      <c r="T882" s="144"/>
      <c r="U882" s="232"/>
      <c r="V882" s="232"/>
      <c r="W882" s="144"/>
      <c r="X882" s="144"/>
      <c r="Y882" s="144"/>
      <c r="Z882" s="144"/>
      <c r="AA882" s="144"/>
      <c r="AB882" s="144"/>
      <c r="AC882" s="144"/>
      <c r="AD882" s="144"/>
      <c r="AE882" s="232"/>
      <c r="AF882" s="144"/>
      <c r="AG882" s="144"/>
      <c r="AH882" s="232"/>
      <c r="AI882" s="232"/>
      <c r="AJ882" s="144"/>
      <c r="AK882" s="144"/>
      <c r="AL882" s="144"/>
      <c r="AM882" s="144"/>
      <c r="AN882" s="144"/>
      <c r="AO882" s="144"/>
      <c r="AP882" s="144"/>
      <c r="AQ882" s="144"/>
      <c r="AR882" s="144"/>
      <c r="AS882" s="144"/>
      <c r="AT882" s="144"/>
      <c r="AU882" s="144"/>
      <c r="AV882" s="144"/>
    </row>
    <row r="883" spans="3:48" x14ac:dyDescent="0.25">
      <c r="C883" s="144"/>
      <c r="D883" s="144"/>
      <c r="E883" s="144"/>
      <c r="F883" s="144"/>
      <c r="G883" s="144"/>
      <c r="H883" s="232"/>
      <c r="I883" s="144"/>
      <c r="J883" s="144"/>
      <c r="K883" s="144"/>
      <c r="L883" s="144"/>
      <c r="M883" s="144"/>
      <c r="N883" s="144"/>
      <c r="O883" s="144"/>
      <c r="P883" s="144"/>
      <c r="Q883" s="144"/>
      <c r="R883" s="144"/>
      <c r="S883" s="144"/>
      <c r="T883" s="144"/>
      <c r="U883" s="232"/>
      <c r="V883" s="232"/>
      <c r="W883" s="144"/>
      <c r="X883" s="144"/>
      <c r="Y883" s="144"/>
      <c r="Z883" s="144"/>
      <c r="AA883" s="144"/>
      <c r="AB883" s="144"/>
      <c r="AC883" s="144"/>
      <c r="AD883" s="144"/>
      <c r="AE883" s="232"/>
      <c r="AF883" s="144"/>
      <c r="AG883" s="144"/>
      <c r="AH883" s="232"/>
      <c r="AI883" s="232"/>
      <c r="AJ883" s="144"/>
      <c r="AK883" s="144"/>
      <c r="AL883" s="144"/>
      <c r="AM883" s="144"/>
      <c r="AN883" s="144"/>
      <c r="AO883" s="144"/>
      <c r="AP883" s="144"/>
      <c r="AQ883" s="144"/>
      <c r="AR883" s="144"/>
      <c r="AS883" s="144"/>
      <c r="AT883" s="144"/>
      <c r="AU883" s="144"/>
      <c r="AV883" s="144"/>
    </row>
    <row r="884" spans="3:48" x14ac:dyDescent="0.25">
      <c r="C884" s="144"/>
      <c r="D884" s="144"/>
      <c r="E884" s="144"/>
      <c r="F884" s="144"/>
      <c r="G884" s="144"/>
      <c r="H884" s="232"/>
      <c r="I884" s="144"/>
      <c r="J884" s="144"/>
      <c r="K884" s="144"/>
      <c r="L884" s="144"/>
      <c r="M884" s="144"/>
      <c r="N884" s="144"/>
      <c r="O884" s="144"/>
      <c r="P884" s="144"/>
      <c r="Q884" s="144"/>
      <c r="R884" s="144"/>
      <c r="S884" s="144"/>
      <c r="T884" s="144"/>
      <c r="U884" s="232"/>
      <c r="V884" s="232"/>
      <c r="W884" s="144"/>
      <c r="X884" s="144"/>
      <c r="Y884" s="144"/>
      <c r="Z884" s="144"/>
      <c r="AA884" s="144"/>
      <c r="AB884" s="144"/>
      <c r="AC884" s="144"/>
      <c r="AD884" s="144"/>
      <c r="AE884" s="232"/>
      <c r="AF884" s="144"/>
      <c r="AG884" s="144"/>
      <c r="AH884" s="232"/>
      <c r="AI884" s="232"/>
      <c r="AJ884" s="144"/>
      <c r="AK884" s="144"/>
      <c r="AL884" s="144"/>
      <c r="AM884" s="144"/>
      <c r="AN884" s="144"/>
      <c r="AO884" s="144"/>
      <c r="AP884" s="144"/>
      <c r="AQ884" s="144"/>
      <c r="AR884" s="144"/>
      <c r="AS884" s="144"/>
      <c r="AT884" s="144"/>
      <c r="AU884" s="144"/>
      <c r="AV884" s="144"/>
    </row>
    <row r="885" spans="3:48" x14ac:dyDescent="0.25">
      <c r="C885" s="144"/>
      <c r="D885" s="144"/>
      <c r="E885" s="144"/>
      <c r="F885" s="144"/>
      <c r="G885" s="144"/>
      <c r="H885" s="232"/>
      <c r="I885" s="144"/>
      <c r="J885" s="144"/>
      <c r="K885" s="144"/>
      <c r="L885" s="144"/>
      <c r="M885" s="144"/>
      <c r="N885" s="144"/>
      <c r="O885" s="144"/>
      <c r="P885" s="144"/>
      <c r="Q885" s="144"/>
      <c r="R885" s="144"/>
      <c r="S885" s="144"/>
      <c r="T885" s="144"/>
      <c r="U885" s="232"/>
      <c r="V885" s="232"/>
      <c r="W885" s="144"/>
      <c r="X885" s="144"/>
      <c r="Y885" s="144"/>
      <c r="Z885" s="144"/>
      <c r="AA885" s="144"/>
      <c r="AB885" s="144"/>
      <c r="AC885" s="144"/>
      <c r="AD885" s="144"/>
      <c r="AE885" s="232"/>
      <c r="AF885" s="144"/>
      <c r="AG885" s="144"/>
      <c r="AH885" s="232"/>
      <c r="AI885" s="232"/>
      <c r="AJ885" s="144"/>
      <c r="AK885" s="144"/>
      <c r="AL885" s="144"/>
      <c r="AM885" s="144"/>
      <c r="AN885" s="144"/>
      <c r="AO885" s="144"/>
      <c r="AP885" s="144"/>
      <c r="AQ885" s="144"/>
      <c r="AR885" s="144"/>
      <c r="AS885" s="144"/>
      <c r="AT885" s="144"/>
      <c r="AU885" s="144"/>
      <c r="AV885" s="144"/>
    </row>
    <row r="886" spans="3:48" x14ac:dyDescent="0.25">
      <c r="C886" s="144"/>
      <c r="D886" s="144"/>
      <c r="E886" s="144"/>
      <c r="F886" s="144"/>
      <c r="G886" s="144"/>
      <c r="H886" s="232"/>
      <c r="I886" s="144"/>
      <c r="J886" s="144"/>
      <c r="K886" s="144"/>
      <c r="L886" s="144"/>
      <c r="M886" s="144"/>
      <c r="N886" s="144"/>
      <c r="O886" s="144"/>
      <c r="P886" s="144"/>
      <c r="Q886" s="144"/>
      <c r="R886" s="144"/>
      <c r="S886" s="144"/>
      <c r="T886" s="144"/>
      <c r="U886" s="232"/>
      <c r="V886" s="232"/>
      <c r="W886" s="144"/>
      <c r="X886" s="144"/>
      <c r="Y886" s="144"/>
      <c r="Z886" s="144"/>
      <c r="AA886" s="144"/>
      <c r="AB886" s="144"/>
      <c r="AC886" s="144"/>
      <c r="AD886" s="144"/>
      <c r="AE886" s="232"/>
      <c r="AF886" s="144"/>
      <c r="AG886" s="144"/>
      <c r="AH886" s="232"/>
      <c r="AI886" s="232"/>
      <c r="AJ886" s="144"/>
      <c r="AK886" s="144"/>
      <c r="AL886" s="144"/>
      <c r="AM886" s="144"/>
      <c r="AN886" s="144"/>
      <c r="AO886" s="144"/>
      <c r="AP886" s="144"/>
      <c r="AQ886" s="144"/>
      <c r="AR886" s="144"/>
      <c r="AS886" s="144"/>
      <c r="AT886" s="144"/>
      <c r="AU886" s="144"/>
      <c r="AV886" s="144"/>
    </row>
    <row r="887" spans="3:48" x14ac:dyDescent="0.25">
      <c r="C887" s="144"/>
      <c r="D887" s="144"/>
      <c r="E887" s="144"/>
      <c r="F887" s="144"/>
      <c r="G887" s="144"/>
      <c r="H887" s="232"/>
      <c r="I887" s="144"/>
      <c r="J887" s="144"/>
      <c r="K887" s="144"/>
      <c r="L887" s="144"/>
      <c r="M887" s="144"/>
      <c r="N887" s="144"/>
      <c r="O887" s="144"/>
      <c r="P887" s="144"/>
      <c r="Q887" s="144"/>
      <c r="R887" s="144"/>
      <c r="S887" s="144"/>
      <c r="T887" s="144"/>
      <c r="U887" s="232"/>
      <c r="V887" s="232"/>
      <c r="W887" s="144"/>
      <c r="X887" s="144"/>
      <c r="Y887" s="144"/>
      <c r="Z887" s="144"/>
      <c r="AA887" s="144"/>
      <c r="AB887" s="144"/>
      <c r="AC887" s="144"/>
      <c r="AD887" s="144"/>
      <c r="AE887" s="232"/>
      <c r="AF887" s="144"/>
      <c r="AG887" s="144"/>
      <c r="AH887" s="232"/>
      <c r="AI887" s="232"/>
      <c r="AJ887" s="144"/>
      <c r="AK887" s="144"/>
      <c r="AL887" s="144"/>
      <c r="AM887" s="144"/>
      <c r="AN887" s="144"/>
      <c r="AO887" s="144"/>
      <c r="AP887" s="144"/>
      <c r="AQ887" s="144"/>
      <c r="AR887" s="144"/>
      <c r="AS887" s="144"/>
      <c r="AT887" s="144"/>
      <c r="AU887" s="144"/>
      <c r="AV887" s="144"/>
    </row>
    <row r="888" spans="3:48" x14ac:dyDescent="0.25">
      <c r="C888" s="144"/>
      <c r="D888" s="144"/>
      <c r="E888" s="144"/>
      <c r="F888" s="144"/>
      <c r="G888" s="144"/>
      <c r="H888" s="232"/>
      <c r="I888" s="144"/>
      <c r="J888" s="144"/>
      <c r="K888" s="144"/>
      <c r="L888" s="144"/>
      <c r="M888" s="144"/>
      <c r="N888" s="144"/>
      <c r="O888" s="144"/>
      <c r="P888" s="144"/>
      <c r="Q888" s="144"/>
      <c r="R888" s="144"/>
      <c r="S888" s="144"/>
      <c r="T888" s="144"/>
      <c r="U888" s="232"/>
      <c r="V888" s="232"/>
      <c r="W888" s="144"/>
      <c r="X888" s="144"/>
      <c r="Y888" s="144"/>
      <c r="Z888" s="144"/>
      <c r="AA888" s="144"/>
      <c r="AB888" s="144"/>
      <c r="AC888" s="144"/>
      <c r="AD888" s="144"/>
      <c r="AE888" s="232"/>
      <c r="AF888" s="144"/>
      <c r="AG888" s="144"/>
      <c r="AH888" s="232"/>
      <c r="AI888" s="232"/>
      <c r="AJ888" s="144"/>
      <c r="AK888" s="144"/>
      <c r="AL888" s="144"/>
      <c r="AM888" s="144"/>
      <c r="AN888" s="144"/>
      <c r="AO888" s="144"/>
      <c r="AP888" s="144"/>
      <c r="AQ888" s="144"/>
      <c r="AR888" s="144"/>
      <c r="AS888" s="144"/>
      <c r="AT888" s="144"/>
      <c r="AU888" s="144"/>
      <c r="AV888" s="144"/>
    </row>
    <row r="889" spans="3:48" x14ac:dyDescent="0.25">
      <c r="C889" s="144"/>
      <c r="D889" s="144"/>
      <c r="E889" s="144"/>
      <c r="F889" s="144"/>
      <c r="G889" s="144"/>
      <c r="H889" s="232"/>
      <c r="I889" s="144"/>
      <c r="J889" s="144"/>
      <c r="K889" s="144"/>
      <c r="L889" s="144"/>
      <c r="M889" s="144"/>
      <c r="N889" s="144"/>
      <c r="O889" s="144"/>
      <c r="P889" s="144"/>
      <c r="Q889" s="144"/>
      <c r="R889" s="144"/>
      <c r="S889" s="144"/>
      <c r="T889" s="144"/>
      <c r="U889" s="232"/>
      <c r="V889" s="232"/>
      <c r="W889" s="144"/>
      <c r="X889" s="144"/>
      <c r="Y889" s="144"/>
      <c r="Z889" s="144"/>
      <c r="AA889" s="144"/>
      <c r="AB889" s="144"/>
      <c r="AC889" s="144"/>
      <c r="AD889" s="144"/>
      <c r="AE889" s="232"/>
      <c r="AF889" s="144"/>
      <c r="AG889" s="144"/>
      <c r="AH889" s="232"/>
      <c r="AI889" s="232"/>
      <c r="AJ889" s="144"/>
      <c r="AK889" s="144"/>
      <c r="AL889" s="144"/>
      <c r="AM889" s="144"/>
      <c r="AN889" s="144"/>
      <c r="AO889" s="144"/>
      <c r="AP889" s="144"/>
      <c r="AQ889" s="144"/>
      <c r="AR889" s="144"/>
      <c r="AS889" s="144"/>
      <c r="AT889" s="144"/>
      <c r="AU889" s="144"/>
      <c r="AV889" s="144"/>
    </row>
    <row r="890" spans="3:48" x14ac:dyDescent="0.25">
      <c r="C890" s="144"/>
      <c r="D890" s="144"/>
      <c r="E890" s="144"/>
      <c r="F890" s="144"/>
      <c r="G890" s="144"/>
      <c r="H890" s="232"/>
      <c r="I890" s="144"/>
      <c r="J890" s="144"/>
      <c r="K890" s="144"/>
      <c r="L890" s="144"/>
      <c r="M890" s="144"/>
      <c r="N890" s="144"/>
      <c r="O890" s="144"/>
      <c r="P890" s="144"/>
      <c r="Q890" s="144"/>
      <c r="R890" s="144"/>
      <c r="S890" s="144"/>
      <c r="T890" s="144"/>
      <c r="U890" s="232"/>
      <c r="V890" s="232"/>
      <c r="W890" s="144"/>
      <c r="X890" s="144"/>
      <c r="Y890" s="144"/>
      <c r="Z890" s="144"/>
      <c r="AA890" s="144"/>
      <c r="AB890" s="144"/>
      <c r="AC890" s="144"/>
      <c r="AD890" s="144"/>
      <c r="AE890" s="232"/>
      <c r="AF890" s="144"/>
      <c r="AG890" s="144"/>
      <c r="AH890" s="232"/>
      <c r="AI890" s="232"/>
      <c r="AJ890" s="144"/>
      <c r="AK890" s="144"/>
      <c r="AL890" s="144"/>
      <c r="AM890" s="144"/>
      <c r="AN890" s="144"/>
      <c r="AO890" s="144"/>
      <c r="AP890" s="144"/>
      <c r="AQ890" s="144"/>
      <c r="AR890" s="144"/>
      <c r="AS890" s="144"/>
      <c r="AT890" s="144"/>
      <c r="AU890" s="144"/>
      <c r="AV890" s="144"/>
    </row>
    <row r="891" spans="3:48" x14ac:dyDescent="0.25">
      <c r="C891" s="144"/>
      <c r="D891" s="144"/>
      <c r="E891" s="144"/>
      <c r="F891" s="144"/>
      <c r="G891" s="144"/>
      <c r="H891" s="232"/>
      <c r="I891" s="144"/>
      <c r="J891" s="144"/>
      <c r="K891" s="144"/>
      <c r="L891" s="144"/>
      <c r="M891" s="144"/>
      <c r="N891" s="144"/>
      <c r="O891" s="144"/>
      <c r="P891" s="144"/>
      <c r="Q891" s="144"/>
      <c r="R891" s="144"/>
      <c r="S891" s="144"/>
      <c r="T891" s="144"/>
      <c r="U891" s="232"/>
      <c r="V891" s="232"/>
      <c r="W891" s="144"/>
      <c r="X891" s="144"/>
      <c r="Y891" s="144"/>
      <c r="Z891" s="144"/>
      <c r="AA891" s="144"/>
      <c r="AB891" s="144"/>
      <c r="AC891" s="144"/>
      <c r="AD891" s="144"/>
      <c r="AE891" s="232"/>
      <c r="AF891" s="144"/>
      <c r="AG891" s="144"/>
      <c r="AH891" s="232"/>
      <c r="AI891" s="232"/>
      <c r="AJ891" s="144"/>
      <c r="AK891" s="144"/>
      <c r="AL891" s="144"/>
      <c r="AM891" s="144"/>
      <c r="AN891" s="144"/>
      <c r="AO891" s="144"/>
      <c r="AP891" s="144"/>
      <c r="AQ891" s="144"/>
      <c r="AR891" s="144"/>
      <c r="AS891" s="144"/>
      <c r="AT891" s="144"/>
      <c r="AU891" s="144"/>
      <c r="AV891" s="144"/>
    </row>
    <row r="892" spans="3:48" x14ac:dyDescent="0.25">
      <c r="C892" s="144"/>
      <c r="D892" s="144"/>
      <c r="E892" s="144"/>
      <c r="F892" s="144"/>
      <c r="G892" s="144"/>
      <c r="H892" s="232"/>
      <c r="I892" s="144"/>
      <c r="J892" s="144"/>
      <c r="K892" s="144"/>
      <c r="L892" s="144"/>
      <c r="M892" s="144"/>
      <c r="N892" s="144"/>
      <c r="O892" s="144"/>
      <c r="P892" s="144"/>
      <c r="Q892" s="144"/>
      <c r="R892" s="144"/>
      <c r="S892" s="144"/>
      <c r="T892" s="144"/>
      <c r="U892" s="232"/>
      <c r="V892" s="232"/>
      <c r="W892" s="144"/>
      <c r="X892" s="144"/>
      <c r="Y892" s="144"/>
      <c r="Z892" s="144"/>
      <c r="AA892" s="144"/>
      <c r="AB892" s="144"/>
      <c r="AC892" s="144"/>
      <c r="AD892" s="144"/>
      <c r="AE892" s="232"/>
      <c r="AF892" s="144"/>
      <c r="AG892" s="144"/>
      <c r="AH892" s="232"/>
      <c r="AI892" s="232"/>
      <c r="AJ892" s="144"/>
      <c r="AK892" s="144"/>
      <c r="AL892" s="144"/>
      <c r="AM892" s="144"/>
      <c r="AN892" s="144"/>
      <c r="AO892" s="144"/>
      <c r="AP892" s="144"/>
      <c r="AQ892" s="144"/>
      <c r="AR892" s="144"/>
      <c r="AS892" s="144"/>
      <c r="AT892" s="144"/>
      <c r="AU892" s="144"/>
      <c r="AV892" s="144"/>
    </row>
    <row r="893" spans="3:48" x14ac:dyDescent="0.25">
      <c r="C893" s="144"/>
      <c r="D893" s="144"/>
      <c r="E893" s="144"/>
      <c r="F893" s="144"/>
      <c r="G893" s="144"/>
      <c r="H893" s="232"/>
      <c r="I893" s="144"/>
      <c r="J893" s="144"/>
      <c r="K893" s="144"/>
      <c r="L893" s="144"/>
      <c r="M893" s="144"/>
      <c r="N893" s="144"/>
      <c r="O893" s="144"/>
      <c r="P893" s="144"/>
      <c r="Q893" s="144"/>
      <c r="R893" s="144"/>
      <c r="S893" s="144"/>
      <c r="T893" s="144"/>
      <c r="U893" s="232"/>
      <c r="V893" s="232"/>
      <c r="W893" s="144"/>
      <c r="X893" s="144"/>
      <c r="Y893" s="144"/>
      <c r="Z893" s="144"/>
      <c r="AA893" s="144"/>
      <c r="AB893" s="144"/>
      <c r="AC893" s="144"/>
      <c r="AD893" s="144"/>
      <c r="AE893" s="232"/>
      <c r="AF893" s="144"/>
      <c r="AG893" s="144"/>
      <c r="AH893" s="232"/>
      <c r="AI893" s="232"/>
      <c r="AJ893" s="144"/>
      <c r="AK893" s="144"/>
      <c r="AL893" s="144"/>
      <c r="AM893" s="144"/>
      <c r="AN893" s="144"/>
      <c r="AO893" s="144"/>
      <c r="AP893" s="144"/>
      <c r="AQ893" s="144"/>
      <c r="AR893" s="144"/>
      <c r="AS893" s="144"/>
      <c r="AT893" s="144"/>
      <c r="AU893" s="144"/>
      <c r="AV893" s="144"/>
    </row>
    <row r="894" spans="3:48" x14ac:dyDescent="0.25">
      <c r="C894" s="144"/>
      <c r="D894" s="144"/>
      <c r="E894" s="144"/>
      <c r="F894" s="144"/>
      <c r="G894" s="144"/>
      <c r="H894" s="232"/>
      <c r="I894" s="144"/>
      <c r="J894" s="144"/>
      <c r="K894" s="144"/>
      <c r="L894" s="144"/>
      <c r="M894" s="144"/>
      <c r="N894" s="144"/>
      <c r="O894" s="144"/>
      <c r="P894" s="144"/>
      <c r="Q894" s="144"/>
      <c r="R894" s="144"/>
      <c r="S894" s="144"/>
      <c r="T894" s="144"/>
      <c r="U894" s="232"/>
      <c r="V894" s="232"/>
      <c r="W894" s="144"/>
      <c r="X894" s="144"/>
      <c r="Y894" s="144"/>
      <c r="Z894" s="144"/>
      <c r="AA894" s="144"/>
      <c r="AB894" s="144"/>
      <c r="AC894" s="144"/>
      <c r="AD894" s="144"/>
      <c r="AE894" s="232"/>
      <c r="AF894" s="144"/>
      <c r="AG894" s="144"/>
      <c r="AH894" s="232"/>
      <c r="AI894" s="232"/>
      <c r="AJ894" s="144"/>
      <c r="AK894" s="144"/>
      <c r="AL894" s="144"/>
      <c r="AM894" s="144"/>
      <c r="AN894" s="144"/>
      <c r="AO894" s="144"/>
      <c r="AP894" s="144"/>
      <c r="AQ894" s="144"/>
      <c r="AR894" s="144"/>
      <c r="AS894" s="144"/>
      <c r="AT894" s="144"/>
      <c r="AU894" s="144"/>
      <c r="AV894" s="144"/>
    </row>
    <row r="895" spans="3:48" x14ac:dyDescent="0.25">
      <c r="C895" s="144"/>
      <c r="D895" s="144"/>
      <c r="E895" s="144"/>
      <c r="F895" s="144"/>
      <c r="G895" s="144"/>
      <c r="H895" s="232"/>
      <c r="I895" s="144"/>
      <c r="J895" s="144"/>
      <c r="K895" s="144"/>
      <c r="L895" s="144"/>
      <c r="M895" s="144"/>
      <c r="N895" s="144"/>
      <c r="O895" s="144"/>
      <c r="P895" s="144"/>
      <c r="Q895" s="144"/>
      <c r="R895" s="144"/>
      <c r="S895" s="144"/>
      <c r="T895" s="144"/>
      <c r="U895" s="232"/>
      <c r="V895" s="232"/>
      <c r="W895" s="144"/>
      <c r="X895" s="144"/>
      <c r="Y895" s="144"/>
      <c r="Z895" s="144"/>
      <c r="AA895" s="144"/>
      <c r="AB895" s="144"/>
      <c r="AC895" s="144"/>
      <c r="AD895" s="144"/>
      <c r="AE895" s="232"/>
      <c r="AF895" s="144"/>
      <c r="AG895" s="144"/>
      <c r="AH895" s="232"/>
      <c r="AI895" s="232"/>
      <c r="AJ895" s="144"/>
      <c r="AK895" s="144"/>
      <c r="AL895" s="144"/>
      <c r="AM895" s="144"/>
      <c r="AN895" s="144"/>
      <c r="AO895" s="144"/>
      <c r="AP895" s="144"/>
      <c r="AQ895" s="144"/>
      <c r="AR895" s="144"/>
      <c r="AS895" s="144"/>
      <c r="AT895" s="144"/>
      <c r="AU895" s="144"/>
      <c r="AV895" s="144"/>
    </row>
    <row r="896" spans="3:48" x14ac:dyDescent="0.25">
      <c r="C896" s="144"/>
      <c r="D896" s="144"/>
      <c r="E896" s="144"/>
      <c r="F896" s="144"/>
      <c r="G896" s="144"/>
      <c r="H896" s="232"/>
      <c r="I896" s="144"/>
      <c r="J896" s="144"/>
      <c r="K896" s="144"/>
      <c r="L896" s="144"/>
      <c r="M896" s="144"/>
      <c r="N896" s="144"/>
      <c r="O896" s="144"/>
      <c r="P896" s="144"/>
      <c r="Q896" s="144"/>
      <c r="R896" s="144"/>
      <c r="S896" s="144"/>
      <c r="T896" s="144"/>
      <c r="U896" s="232"/>
      <c r="V896" s="232"/>
      <c r="W896" s="144"/>
      <c r="X896" s="144"/>
      <c r="Y896" s="144"/>
      <c r="Z896" s="144"/>
      <c r="AA896" s="144"/>
      <c r="AB896" s="144"/>
      <c r="AC896" s="144"/>
      <c r="AD896" s="144"/>
      <c r="AE896" s="232"/>
      <c r="AF896" s="144"/>
      <c r="AG896" s="144"/>
      <c r="AH896" s="232"/>
      <c r="AI896" s="232"/>
      <c r="AJ896" s="144"/>
      <c r="AK896" s="144"/>
      <c r="AL896" s="144"/>
      <c r="AM896" s="144"/>
      <c r="AN896" s="144"/>
      <c r="AO896" s="144"/>
      <c r="AP896" s="144"/>
      <c r="AQ896" s="144"/>
      <c r="AR896" s="144"/>
      <c r="AS896" s="144"/>
      <c r="AT896" s="144"/>
      <c r="AU896" s="144"/>
      <c r="AV896" s="144"/>
    </row>
    <row r="897" spans="3:48" x14ac:dyDescent="0.25">
      <c r="C897" s="144"/>
      <c r="D897" s="144"/>
      <c r="E897" s="144"/>
      <c r="F897" s="144"/>
      <c r="G897" s="144"/>
      <c r="H897" s="232"/>
      <c r="I897" s="144"/>
      <c r="J897" s="144"/>
      <c r="K897" s="144"/>
      <c r="L897" s="144"/>
      <c r="M897" s="144"/>
      <c r="N897" s="144"/>
      <c r="O897" s="144"/>
      <c r="P897" s="144"/>
      <c r="Q897" s="144"/>
      <c r="R897" s="144"/>
      <c r="S897" s="144"/>
      <c r="T897" s="144"/>
      <c r="U897" s="232"/>
      <c r="V897" s="232"/>
      <c r="W897" s="144"/>
      <c r="X897" s="144"/>
      <c r="Y897" s="144"/>
      <c r="Z897" s="144"/>
      <c r="AA897" s="144"/>
      <c r="AB897" s="144"/>
      <c r="AC897" s="144"/>
      <c r="AD897" s="144"/>
      <c r="AE897" s="232"/>
      <c r="AF897" s="144"/>
      <c r="AG897" s="144"/>
      <c r="AH897" s="232"/>
      <c r="AI897" s="232"/>
      <c r="AJ897" s="144"/>
      <c r="AK897" s="144"/>
      <c r="AL897" s="144"/>
      <c r="AM897" s="144"/>
      <c r="AN897" s="144"/>
      <c r="AO897" s="144"/>
      <c r="AP897" s="144"/>
      <c r="AQ897" s="144"/>
      <c r="AR897" s="144"/>
      <c r="AS897" s="144"/>
      <c r="AT897" s="144"/>
      <c r="AU897" s="144"/>
      <c r="AV897" s="144"/>
    </row>
    <row r="898" spans="3:48" x14ac:dyDescent="0.25">
      <c r="C898" s="144"/>
      <c r="D898" s="144"/>
      <c r="E898" s="144"/>
      <c r="F898" s="144"/>
      <c r="G898" s="144"/>
      <c r="H898" s="232"/>
      <c r="I898" s="144"/>
      <c r="J898" s="144"/>
      <c r="K898" s="144"/>
      <c r="L898" s="144"/>
      <c r="M898" s="144"/>
      <c r="N898" s="144"/>
      <c r="O898" s="144"/>
      <c r="P898" s="144"/>
      <c r="Q898" s="144"/>
      <c r="R898" s="144"/>
      <c r="S898" s="144"/>
      <c r="T898" s="144"/>
      <c r="U898" s="232"/>
      <c r="V898" s="232"/>
      <c r="W898" s="144"/>
      <c r="X898" s="144"/>
      <c r="Y898" s="144"/>
      <c r="Z898" s="144"/>
      <c r="AA898" s="144"/>
      <c r="AB898" s="144"/>
      <c r="AC898" s="144"/>
      <c r="AD898" s="144"/>
      <c r="AE898" s="232"/>
      <c r="AF898" s="144"/>
      <c r="AG898" s="144"/>
      <c r="AH898" s="232"/>
      <c r="AI898" s="232"/>
      <c r="AJ898" s="144"/>
      <c r="AK898" s="144"/>
      <c r="AL898" s="144"/>
      <c r="AM898" s="144"/>
      <c r="AN898" s="144"/>
      <c r="AO898" s="144"/>
      <c r="AP898" s="144"/>
      <c r="AQ898" s="144"/>
      <c r="AR898" s="144"/>
      <c r="AS898" s="144"/>
      <c r="AT898" s="144"/>
      <c r="AU898" s="144"/>
      <c r="AV898" s="144"/>
    </row>
    <row r="899" spans="3:48" x14ac:dyDescent="0.25">
      <c r="C899" s="144"/>
      <c r="D899" s="144"/>
      <c r="E899" s="144"/>
      <c r="F899" s="144"/>
      <c r="G899" s="144"/>
      <c r="H899" s="232"/>
      <c r="I899" s="144"/>
      <c r="J899" s="144"/>
      <c r="K899" s="144"/>
      <c r="L899" s="144"/>
      <c r="M899" s="144"/>
      <c r="N899" s="144"/>
      <c r="O899" s="144"/>
      <c r="P899" s="144"/>
      <c r="Q899" s="144"/>
      <c r="R899" s="144"/>
      <c r="S899" s="144"/>
      <c r="T899" s="144"/>
      <c r="U899" s="232"/>
      <c r="V899" s="232"/>
      <c r="W899" s="144"/>
      <c r="X899" s="144"/>
      <c r="Y899" s="144"/>
      <c r="Z899" s="144"/>
      <c r="AA899" s="144"/>
      <c r="AB899" s="144"/>
      <c r="AC899" s="144"/>
      <c r="AD899" s="144"/>
      <c r="AE899" s="232"/>
      <c r="AF899" s="144"/>
      <c r="AG899" s="144"/>
      <c r="AH899" s="232"/>
      <c r="AI899" s="232"/>
      <c r="AJ899" s="144"/>
      <c r="AK899" s="144"/>
      <c r="AL899" s="144"/>
      <c r="AM899" s="144"/>
      <c r="AN899" s="144"/>
      <c r="AO899" s="144"/>
      <c r="AP899" s="144"/>
      <c r="AQ899" s="144"/>
      <c r="AR899" s="144"/>
      <c r="AS899" s="144"/>
      <c r="AT899" s="144"/>
      <c r="AU899" s="144"/>
      <c r="AV899" s="144"/>
    </row>
    <row r="900" spans="3:48" x14ac:dyDescent="0.25">
      <c r="C900" s="144"/>
      <c r="D900" s="144"/>
      <c r="E900" s="144"/>
      <c r="F900" s="144"/>
      <c r="G900" s="144"/>
      <c r="H900" s="232"/>
      <c r="I900" s="144"/>
      <c r="J900" s="144"/>
      <c r="K900" s="144"/>
      <c r="L900" s="144"/>
      <c r="M900" s="144"/>
      <c r="N900" s="144"/>
      <c r="O900" s="144"/>
      <c r="P900" s="144"/>
      <c r="Q900" s="144"/>
      <c r="R900" s="144"/>
      <c r="S900" s="144"/>
      <c r="T900" s="144"/>
      <c r="U900" s="232"/>
      <c r="V900" s="232"/>
      <c r="W900" s="144"/>
      <c r="X900" s="144"/>
      <c r="Y900" s="144"/>
      <c r="Z900" s="144"/>
      <c r="AA900" s="144"/>
      <c r="AB900" s="144"/>
      <c r="AC900" s="144"/>
      <c r="AD900" s="144"/>
      <c r="AE900" s="232"/>
      <c r="AF900" s="144"/>
      <c r="AG900" s="144"/>
      <c r="AH900" s="232"/>
      <c r="AI900" s="232"/>
      <c r="AJ900" s="144"/>
      <c r="AK900" s="144"/>
      <c r="AL900" s="144"/>
      <c r="AM900" s="144"/>
      <c r="AN900" s="144"/>
      <c r="AO900" s="144"/>
      <c r="AP900" s="144"/>
      <c r="AQ900" s="144"/>
      <c r="AR900" s="144"/>
      <c r="AS900" s="144"/>
      <c r="AT900" s="144"/>
      <c r="AU900" s="144"/>
      <c r="AV900" s="144"/>
    </row>
    <row r="901" spans="3:48" x14ac:dyDescent="0.25">
      <c r="C901" s="144"/>
      <c r="D901" s="144"/>
      <c r="E901" s="144"/>
      <c r="F901" s="144"/>
      <c r="G901" s="144"/>
      <c r="H901" s="232"/>
      <c r="I901" s="144"/>
      <c r="J901" s="144"/>
      <c r="K901" s="144"/>
      <c r="L901" s="144"/>
      <c r="M901" s="144"/>
      <c r="N901" s="144"/>
      <c r="O901" s="144"/>
      <c r="P901" s="144"/>
      <c r="Q901" s="144"/>
      <c r="R901" s="144"/>
      <c r="S901" s="144"/>
      <c r="T901" s="144"/>
      <c r="U901" s="232"/>
      <c r="V901" s="232"/>
      <c r="W901" s="144"/>
      <c r="X901" s="144"/>
      <c r="Y901" s="144"/>
      <c r="Z901" s="144"/>
      <c r="AA901" s="144"/>
      <c r="AB901" s="144"/>
      <c r="AC901" s="144"/>
      <c r="AD901" s="144"/>
      <c r="AE901" s="232"/>
      <c r="AF901" s="144"/>
      <c r="AG901" s="144"/>
      <c r="AH901" s="232"/>
      <c r="AI901" s="232"/>
      <c r="AJ901" s="144"/>
      <c r="AK901" s="144"/>
      <c r="AL901" s="144"/>
      <c r="AM901" s="144"/>
      <c r="AN901" s="144"/>
      <c r="AO901" s="144"/>
      <c r="AP901" s="144"/>
      <c r="AQ901" s="144"/>
      <c r="AR901" s="144"/>
      <c r="AS901" s="144"/>
      <c r="AT901" s="144"/>
      <c r="AU901" s="144"/>
      <c r="AV901" s="144"/>
    </row>
    <row r="902" spans="3:48" x14ac:dyDescent="0.25">
      <c r="C902" s="144"/>
      <c r="D902" s="144"/>
      <c r="E902" s="144"/>
      <c r="F902" s="144"/>
      <c r="G902" s="144"/>
      <c r="H902" s="232"/>
      <c r="I902" s="144"/>
      <c r="J902" s="144"/>
      <c r="K902" s="144"/>
      <c r="L902" s="144"/>
      <c r="M902" s="144"/>
      <c r="N902" s="144"/>
      <c r="O902" s="144"/>
      <c r="P902" s="144"/>
      <c r="Q902" s="144"/>
      <c r="R902" s="144"/>
      <c r="S902" s="144"/>
      <c r="T902" s="144"/>
      <c r="U902" s="232"/>
      <c r="V902" s="232"/>
      <c r="W902" s="144"/>
      <c r="X902" s="144"/>
      <c r="Y902" s="144"/>
      <c r="Z902" s="144"/>
      <c r="AA902" s="144"/>
      <c r="AB902" s="144"/>
      <c r="AC902" s="144"/>
      <c r="AD902" s="144"/>
      <c r="AE902" s="232"/>
      <c r="AF902" s="144"/>
      <c r="AG902" s="144"/>
      <c r="AH902" s="232"/>
      <c r="AI902" s="232"/>
      <c r="AJ902" s="144"/>
      <c r="AK902" s="144"/>
      <c r="AL902" s="144"/>
      <c r="AM902" s="144"/>
      <c r="AN902" s="144"/>
      <c r="AO902" s="144"/>
      <c r="AP902" s="144"/>
      <c r="AQ902" s="144"/>
      <c r="AR902" s="144"/>
      <c r="AS902" s="144"/>
      <c r="AT902" s="144"/>
      <c r="AU902" s="144"/>
      <c r="AV902" s="144"/>
    </row>
    <row r="903" spans="3:48" x14ac:dyDescent="0.25">
      <c r="C903" s="144"/>
      <c r="D903" s="144"/>
      <c r="E903" s="144"/>
      <c r="F903" s="144"/>
      <c r="G903" s="144"/>
      <c r="H903" s="232"/>
      <c r="I903" s="144"/>
      <c r="J903" s="144"/>
      <c r="K903" s="144"/>
      <c r="L903" s="144"/>
      <c r="M903" s="144"/>
      <c r="N903" s="144"/>
      <c r="O903" s="144"/>
      <c r="P903" s="144"/>
      <c r="Q903" s="144"/>
      <c r="R903" s="144"/>
      <c r="S903" s="144"/>
      <c r="T903" s="144"/>
      <c r="U903" s="232"/>
      <c r="V903" s="232"/>
      <c r="W903" s="144"/>
      <c r="X903" s="144"/>
      <c r="Y903" s="144"/>
      <c r="Z903" s="144"/>
      <c r="AA903" s="144"/>
      <c r="AB903" s="144"/>
      <c r="AC903" s="144"/>
      <c r="AD903" s="144"/>
      <c r="AE903" s="232"/>
      <c r="AF903" s="144"/>
      <c r="AG903" s="144"/>
      <c r="AH903" s="232"/>
      <c r="AI903" s="232"/>
      <c r="AJ903" s="144"/>
      <c r="AK903" s="144"/>
      <c r="AL903" s="144"/>
      <c r="AM903" s="144"/>
      <c r="AN903" s="144"/>
      <c r="AO903" s="144"/>
      <c r="AP903" s="144"/>
      <c r="AQ903" s="144"/>
      <c r="AR903" s="144"/>
      <c r="AS903" s="144"/>
      <c r="AT903" s="144"/>
      <c r="AU903" s="144"/>
      <c r="AV903" s="144"/>
    </row>
    <row r="904" spans="3:48" x14ac:dyDescent="0.25">
      <c r="C904" s="144"/>
      <c r="D904" s="144"/>
      <c r="E904" s="144"/>
      <c r="F904" s="144"/>
      <c r="G904" s="144"/>
      <c r="H904" s="232"/>
      <c r="I904" s="144"/>
      <c r="J904" s="144"/>
      <c r="K904" s="144"/>
      <c r="L904" s="144"/>
      <c r="M904" s="144"/>
      <c r="N904" s="144"/>
      <c r="O904" s="144"/>
      <c r="P904" s="144"/>
      <c r="Q904" s="144"/>
      <c r="R904" s="144"/>
      <c r="S904" s="144"/>
      <c r="T904" s="144"/>
      <c r="U904" s="232"/>
      <c r="V904" s="232"/>
      <c r="W904" s="144"/>
      <c r="X904" s="144"/>
      <c r="Y904" s="144"/>
      <c r="Z904" s="144"/>
      <c r="AA904" s="144"/>
      <c r="AB904" s="144"/>
      <c r="AC904" s="144"/>
      <c r="AD904" s="144"/>
      <c r="AE904" s="232"/>
      <c r="AF904" s="144"/>
      <c r="AG904" s="144"/>
      <c r="AH904" s="232"/>
      <c r="AI904" s="232"/>
      <c r="AJ904" s="144"/>
      <c r="AK904" s="144"/>
      <c r="AL904" s="144"/>
      <c r="AM904" s="144"/>
      <c r="AN904" s="144"/>
      <c r="AO904" s="144"/>
      <c r="AP904" s="144"/>
      <c r="AQ904" s="144"/>
      <c r="AR904" s="144"/>
      <c r="AS904" s="144"/>
      <c r="AT904" s="144"/>
      <c r="AU904" s="144"/>
      <c r="AV904" s="144"/>
    </row>
    <row r="905" spans="3:48" x14ac:dyDescent="0.25">
      <c r="C905" s="144"/>
      <c r="D905" s="144"/>
      <c r="E905" s="144"/>
      <c r="F905" s="144"/>
      <c r="G905" s="144"/>
      <c r="H905" s="232"/>
      <c r="I905" s="144"/>
      <c r="J905" s="144"/>
      <c r="K905" s="144"/>
      <c r="L905" s="144"/>
      <c r="M905" s="144"/>
      <c r="N905" s="144"/>
      <c r="O905" s="144"/>
      <c r="P905" s="144"/>
      <c r="Q905" s="144"/>
      <c r="R905" s="144"/>
      <c r="S905" s="144"/>
      <c r="T905" s="144"/>
      <c r="U905" s="232"/>
      <c r="V905" s="232"/>
      <c r="W905" s="144"/>
      <c r="X905" s="144"/>
      <c r="Y905" s="144"/>
      <c r="Z905" s="144"/>
      <c r="AA905" s="144"/>
      <c r="AB905" s="144"/>
      <c r="AC905" s="144"/>
      <c r="AD905" s="144"/>
      <c r="AE905" s="232"/>
      <c r="AF905" s="144"/>
      <c r="AG905" s="144"/>
      <c r="AH905" s="232"/>
      <c r="AI905" s="232"/>
      <c r="AJ905" s="144"/>
      <c r="AK905" s="144"/>
      <c r="AL905" s="144"/>
      <c r="AM905" s="144"/>
      <c r="AN905" s="144"/>
      <c r="AO905" s="144"/>
      <c r="AP905" s="144"/>
      <c r="AQ905" s="144"/>
      <c r="AR905" s="144"/>
      <c r="AS905" s="144"/>
      <c r="AT905" s="144"/>
      <c r="AU905" s="144"/>
      <c r="AV905" s="144"/>
    </row>
    <row r="906" spans="3:48" x14ac:dyDescent="0.25">
      <c r="C906" s="144"/>
      <c r="D906" s="144"/>
      <c r="E906" s="144"/>
      <c r="F906" s="144"/>
      <c r="G906" s="144"/>
      <c r="H906" s="232"/>
      <c r="I906" s="144"/>
      <c r="J906" s="144"/>
      <c r="K906" s="144"/>
      <c r="L906" s="144"/>
      <c r="M906" s="144"/>
      <c r="N906" s="144"/>
      <c r="O906" s="144"/>
      <c r="P906" s="144"/>
      <c r="Q906" s="144"/>
      <c r="R906" s="144"/>
      <c r="S906" s="144"/>
      <c r="T906" s="144"/>
      <c r="U906" s="232"/>
      <c r="V906" s="232"/>
      <c r="W906" s="144"/>
      <c r="X906" s="144"/>
      <c r="Y906" s="144"/>
      <c r="Z906" s="144"/>
      <c r="AA906" s="144"/>
      <c r="AB906" s="144"/>
      <c r="AC906" s="144"/>
      <c r="AD906" s="144"/>
      <c r="AE906" s="232"/>
      <c r="AF906" s="144"/>
      <c r="AG906" s="144"/>
      <c r="AH906" s="232"/>
      <c r="AI906" s="232"/>
      <c r="AJ906" s="144"/>
      <c r="AK906" s="144"/>
      <c r="AL906" s="144"/>
      <c r="AM906" s="144"/>
      <c r="AN906" s="144"/>
      <c r="AO906" s="144"/>
      <c r="AP906" s="144"/>
      <c r="AQ906" s="144"/>
      <c r="AR906" s="144"/>
      <c r="AS906" s="144"/>
      <c r="AT906" s="144"/>
      <c r="AU906" s="144"/>
      <c r="AV906" s="144"/>
    </row>
    <row r="907" spans="3:48" x14ac:dyDescent="0.25">
      <c r="C907" s="144"/>
      <c r="D907" s="144"/>
      <c r="E907" s="144"/>
      <c r="F907" s="144"/>
      <c r="G907" s="144"/>
      <c r="H907" s="232"/>
      <c r="I907" s="144"/>
      <c r="J907" s="144"/>
      <c r="K907" s="144"/>
      <c r="L907" s="144"/>
      <c r="M907" s="144"/>
      <c r="N907" s="144"/>
      <c r="O907" s="144"/>
      <c r="P907" s="144"/>
      <c r="Q907" s="144"/>
      <c r="R907" s="144"/>
      <c r="S907" s="144"/>
      <c r="T907" s="144"/>
      <c r="U907" s="232"/>
      <c r="V907" s="232"/>
      <c r="W907" s="144"/>
      <c r="X907" s="144"/>
      <c r="Y907" s="144"/>
      <c r="Z907" s="144"/>
      <c r="AA907" s="144"/>
      <c r="AB907" s="144"/>
      <c r="AC907" s="144"/>
      <c r="AD907" s="144"/>
      <c r="AE907" s="232"/>
      <c r="AF907" s="144"/>
      <c r="AG907" s="144"/>
      <c r="AH907" s="232"/>
      <c r="AI907" s="232"/>
      <c r="AJ907" s="144"/>
      <c r="AK907" s="144"/>
      <c r="AL907" s="144"/>
      <c r="AM907" s="144"/>
      <c r="AN907" s="144"/>
      <c r="AO907" s="144"/>
      <c r="AP907" s="144"/>
      <c r="AQ907" s="144"/>
      <c r="AR907" s="144"/>
      <c r="AS907" s="144"/>
      <c r="AT907" s="144"/>
      <c r="AU907" s="144"/>
      <c r="AV907" s="144"/>
    </row>
    <row r="908" spans="3:48" x14ac:dyDescent="0.25">
      <c r="C908" s="144"/>
      <c r="D908" s="144"/>
      <c r="E908" s="144"/>
      <c r="F908" s="144"/>
      <c r="G908" s="144"/>
      <c r="H908" s="232"/>
      <c r="I908" s="144"/>
      <c r="J908" s="144"/>
      <c r="K908" s="144"/>
      <c r="L908" s="144"/>
      <c r="M908" s="144"/>
      <c r="N908" s="144"/>
      <c r="O908" s="144"/>
      <c r="P908" s="144"/>
      <c r="Q908" s="144"/>
      <c r="R908" s="144"/>
      <c r="S908" s="144"/>
      <c r="T908" s="144"/>
      <c r="U908" s="232"/>
      <c r="V908" s="232"/>
      <c r="W908" s="144"/>
      <c r="X908" s="144"/>
      <c r="Y908" s="144"/>
      <c r="Z908" s="144"/>
      <c r="AA908" s="144"/>
      <c r="AB908" s="144"/>
      <c r="AC908" s="144"/>
      <c r="AD908" s="144"/>
      <c r="AE908" s="232"/>
      <c r="AF908" s="144"/>
      <c r="AG908" s="144"/>
      <c r="AH908" s="232"/>
      <c r="AI908" s="232"/>
      <c r="AJ908" s="144"/>
      <c r="AK908" s="144"/>
      <c r="AL908" s="144"/>
      <c r="AM908" s="144"/>
      <c r="AN908" s="144"/>
      <c r="AO908" s="144"/>
      <c r="AP908" s="144"/>
      <c r="AQ908" s="144"/>
      <c r="AR908" s="144"/>
      <c r="AS908" s="144"/>
      <c r="AT908" s="144"/>
      <c r="AU908" s="144"/>
      <c r="AV908" s="144"/>
    </row>
    <row r="909" spans="3:48" x14ac:dyDescent="0.25">
      <c r="C909" s="144"/>
      <c r="D909" s="144"/>
      <c r="E909" s="144"/>
      <c r="F909" s="144"/>
      <c r="G909" s="144"/>
      <c r="H909" s="232"/>
      <c r="I909" s="144"/>
      <c r="J909" s="144"/>
      <c r="K909" s="144"/>
      <c r="L909" s="144"/>
      <c r="M909" s="144"/>
      <c r="N909" s="144"/>
      <c r="O909" s="144"/>
      <c r="P909" s="144"/>
      <c r="Q909" s="144"/>
      <c r="R909" s="144"/>
      <c r="S909" s="144"/>
      <c r="T909" s="144"/>
      <c r="U909" s="232"/>
      <c r="V909" s="232"/>
      <c r="W909" s="144"/>
      <c r="X909" s="144"/>
      <c r="Y909" s="144"/>
      <c r="Z909" s="144"/>
      <c r="AA909" s="144"/>
      <c r="AB909" s="144"/>
      <c r="AC909" s="144"/>
      <c r="AD909" s="144"/>
      <c r="AE909" s="232"/>
      <c r="AF909" s="144"/>
      <c r="AG909" s="144"/>
      <c r="AH909" s="232"/>
      <c r="AI909" s="232"/>
      <c r="AJ909" s="144"/>
      <c r="AK909" s="144"/>
      <c r="AL909" s="144"/>
      <c r="AM909" s="144"/>
      <c r="AN909" s="144"/>
      <c r="AO909" s="144"/>
      <c r="AP909" s="144"/>
      <c r="AQ909" s="144"/>
      <c r="AR909" s="144"/>
      <c r="AS909" s="144"/>
      <c r="AT909" s="144"/>
      <c r="AU909" s="144"/>
      <c r="AV909" s="144"/>
    </row>
    <row r="910" spans="3:48" x14ac:dyDescent="0.25">
      <c r="C910" s="144"/>
      <c r="D910" s="144"/>
      <c r="E910" s="144"/>
      <c r="F910" s="144"/>
      <c r="G910" s="144"/>
      <c r="H910" s="232"/>
      <c r="I910" s="144"/>
      <c r="J910" s="144"/>
      <c r="K910" s="144"/>
      <c r="L910" s="144"/>
      <c r="M910" s="144"/>
      <c r="N910" s="144"/>
      <c r="O910" s="144"/>
      <c r="P910" s="144"/>
      <c r="Q910" s="144"/>
      <c r="R910" s="144"/>
      <c r="S910" s="144"/>
      <c r="T910" s="144"/>
      <c r="U910" s="232"/>
      <c r="V910" s="232"/>
      <c r="W910" s="144"/>
      <c r="X910" s="144"/>
      <c r="Y910" s="144"/>
      <c r="Z910" s="144"/>
      <c r="AA910" s="144"/>
      <c r="AB910" s="144"/>
      <c r="AC910" s="144"/>
      <c r="AD910" s="144"/>
      <c r="AE910" s="232"/>
      <c r="AF910" s="144"/>
      <c r="AG910" s="144"/>
      <c r="AH910" s="232"/>
      <c r="AI910" s="232"/>
      <c r="AJ910" s="144"/>
      <c r="AK910" s="144"/>
      <c r="AL910" s="144"/>
      <c r="AM910" s="144"/>
      <c r="AN910" s="144"/>
      <c r="AO910" s="144"/>
      <c r="AP910" s="144"/>
      <c r="AQ910" s="144"/>
      <c r="AR910" s="144"/>
      <c r="AS910" s="144"/>
      <c r="AT910" s="144"/>
      <c r="AU910" s="144"/>
      <c r="AV910" s="144"/>
    </row>
    <row r="911" spans="3:48" x14ac:dyDescent="0.25">
      <c r="C911" s="144"/>
      <c r="D911" s="144"/>
      <c r="E911" s="144"/>
      <c r="F911" s="144"/>
      <c r="G911" s="144"/>
      <c r="H911" s="232"/>
      <c r="I911" s="144"/>
      <c r="J911" s="144"/>
      <c r="K911" s="144"/>
      <c r="L911" s="144"/>
      <c r="M911" s="144"/>
      <c r="N911" s="144"/>
      <c r="O911" s="144"/>
      <c r="P911" s="144"/>
      <c r="Q911" s="144"/>
      <c r="R911" s="144"/>
      <c r="S911" s="144"/>
      <c r="T911" s="144"/>
      <c r="U911" s="232"/>
      <c r="V911" s="232"/>
      <c r="W911" s="144"/>
      <c r="X911" s="144"/>
      <c r="Y911" s="144"/>
      <c r="Z911" s="144"/>
      <c r="AA911" s="144"/>
      <c r="AB911" s="144"/>
      <c r="AC911" s="144"/>
      <c r="AD911" s="144"/>
      <c r="AE911" s="232"/>
      <c r="AF911" s="144"/>
      <c r="AG911" s="144"/>
      <c r="AH911" s="232"/>
      <c r="AI911" s="232"/>
      <c r="AJ911" s="144"/>
      <c r="AK911" s="144"/>
      <c r="AL911" s="144"/>
      <c r="AM911" s="144"/>
      <c r="AN911" s="144"/>
      <c r="AO911" s="144"/>
      <c r="AP911" s="144"/>
      <c r="AQ911" s="144"/>
      <c r="AR911" s="144"/>
      <c r="AS911" s="144"/>
      <c r="AT911" s="144"/>
      <c r="AU911" s="144"/>
      <c r="AV911" s="144"/>
    </row>
    <row r="912" spans="3:48" x14ac:dyDescent="0.25">
      <c r="C912" s="144"/>
      <c r="D912" s="144"/>
      <c r="E912" s="144"/>
      <c r="F912" s="144"/>
      <c r="G912" s="144"/>
      <c r="H912" s="232"/>
      <c r="I912" s="144"/>
      <c r="J912" s="144"/>
      <c r="K912" s="144"/>
      <c r="L912" s="144"/>
      <c r="M912" s="144"/>
      <c r="N912" s="144"/>
      <c r="O912" s="144"/>
      <c r="P912" s="144"/>
      <c r="Q912" s="144"/>
      <c r="R912" s="144"/>
      <c r="S912" s="144"/>
      <c r="T912" s="144"/>
      <c r="U912" s="232"/>
      <c r="V912" s="232"/>
      <c r="W912" s="144"/>
      <c r="X912" s="144"/>
      <c r="Y912" s="144"/>
      <c r="Z912" s="144"/>
      <c r="AA912" s="144"/>
      <c r="AB912" s="144"/>
      <c r="AC912" s="144"/>
      <c r="AD912" s="144"/>
      <c r="AE912" s="232"/>
      <c r="AF912" s="144"/>
      <c r="AG912" s="144"/>
      <c r="AH912" s="232"/>
      <c r="AI912" s="232"/>
      <c r="AJ912" s="144"/>
      <c r="AK912" s="144"/>
      <c r="AL912" s="144"/>
      <c r="AM912" s="144"/>
      <c r="AN912" s="144"/>
      <c r="AO912" s="144"/>
      <c r="AP912" s="144"/>
      <c r="AQ912" s="144"/>
      <c r="AR912" s="144"/>
      <c r="AS912" s="144"/>
      <c r="AT912" s="144"/>
      <c r="AU912" s="144"/>
      <c r="AV912" s="144"/>
    </row>
    <row r="913" spans="3:48" x14ac:dyDescent="0.25">
      <c r="C913" s="144"/>
      <c r="D913" s="144"/>
      <c r="E913" s="144"/>
      <c r="F913" s="144"/>
      <c r="G913" s="144"/>
      <c r="H913" s="232"/>
      <c r="I913" s="144"/>
      <c r="J913" s="144"/>
      <c r="K913" s="144"/>
      <c r="L913" s="144"/>
      <c r="M913" s="144"/>
      <c r="N913" s="144"/>
      <c r="O913" s="144"/>
      <c r="P913" s="144"/>
      <c r="Q913" s="144"/>
      <c r="R913" s="144"/>
      <c r="S913" s="144"/>
      <c r="T913" s="144"/>
      <c r="U913" s="232"/>
      <c r="V913" s="232"/>
      <c r="W913" s="144"/>
      <c r="X913" s="144"/>
      <c r="Y913" s="144"/>
      <c r="Z913" s="144"/>
      <c r="AA913" s="144"/>
      <c r="AB913" s="144"/>
      <c r="AC913" s="144"/>
      <c r="AD913" s="144"/>
      <c r="AE913" s="232"/>
      <c r="AF913" s="144"/>
      <c r="AG913" s="144"/>
      <c r="AH913" s="232"/>
      <c r="AI913" s="232"/>
      <c r="AJ913" s="144"/>
      <c r="AK913" s="144"/>
      <c r="AL913" s="144"/>
      <c r="AM913" s="144"/>
      <c r="AN913" s="144"/>
      <c r="AO913" s="144"/>
      <c r="AP913" s="144"/>
      <c r="AQ913" s="144"/>
      <c r="AR913" s="144"/>
      <c r="AS913" s="144"/>
      <c r="AT913" s="144"/>
      <c r="AU913" s="144"/>
      <c r="AV913" s="144"/>
    </row>
    <row r="914" spans="3:48" x14ac:dyDescent="0.25">
      <c r="C914" s="144"/>
      <c r="D914" s="144"/>
      <c r="E914" s="144"/>
      <c r="F914" s="144"/>
      <c r="G914" s="144"/>
      <c r="H914" s="232"/>
      <c r="I914" s="144"/>
      <c r="J914" s="144"/>
      <c r="K914" s="144"/>
      <c r="L914" s="144"/>
      <c r="M914" s="144"/>
      <c r="N914" s="144"/>
      <c r="O914" s="144"/>
      <c r="P914" s="144"/>
      <c r="Q914" s="144"/>
      <c r="R914" s="144"/>
      <c r="S914" s="144"/>
      <c r="T914" s="144"/>
      <c r="U914" s="232"/>
      <c r="V914" s="232"/>
      <c r="W914" s="144"/>
      <c r="X914" s="144"/>
      <c r="Y914" s="144"/>
      <c r="Z914" s="144"/>
      <c r="AA914" s="144"/>
      <c r="AB914" s="144"/>
      <c r="AC914" s="144"/>
      <c r="AD914" s="144"/>
      <c r="AE914" s="232"/>
      <c r="AF914" s="144"/>
      <c r="AG914" s="144"/>
      <c r="AH914" s="232"/>
      <c r="AI914" s="232"/>
      <c r="AJ914" s="144"/>
      <c r="AK914" s="144"/>
      <c r="AL914" s="144"/>
      <c r="AM914" s="144"/>
      <c r="AN914" s="144"/>
      <c r="AO914" s="144"/>
      <c r="AP914" s="144"/>
      <c r="AQ914" s="144"/>
      <c r="AR914" s="144"/>
      <c r="AS914" s="144"/>
      <c r="AT914" s="144"/>
      <c r="AU914" s="144"/>
      <c r="AV914" s="144"/>
    </row>
    <row r="915" spans="3:48" x14ac:dyDescent="0.25">
      <c r="C915" s="144"/>
      <c r="D915" s="144"/>
      <c r="E915" s="144"/>
      <c r="F915" s="144"/>
      <c r="G915" s="144"/>
      <c r="H915" s="232"/>
      <c r="I915" s="144"/>
      <c r="J915" s="144"/>
      <c r="K915" s="144"/>
      <c r="L915" s="144"/>
      <c r="M915" s="144"/>
      <c r="N915" s="144"/>
      <c r="O915" s="144"/>
      <c r="P915" s="144"/>
      <c r="Q915" s="144"/>
      <c r="R915" s="144"/>
      <c r="S915" s="144"/>
      <c r="T915" s="144"/>
      <c r="U915" s="232"/>
      <c r="V915" s="232"/>
      <c r="W915" s="144"/>
      <c r="X915" s="144"/>
      <c r="Y915" s="144"/>
      <c r="Z915" s="144"/>
      <c r="AA915" s="144"/>
      <c r="AB915" s="144"/>
      <c r="AC915" s="144"/>
      <c r="AD915" s="144"/>
      <c r="AE915" s="232"/>
      <c r="AF915" s="144"/>
      <c r="AG915" s="144"/>
      <c r="AH915" s="232"/>
      <c r="AI915" s="232"/>
      <c r="AJ915" s="144"/>
      <c r="AK915" s="144"/>
      <c r="AL915" s="144"/>
      <c r="AM915" s="144"/>
      <c r="AN915" s="144"/>
      <c r="AO915" s="144"/>
      <c r="AP915" s="144"/>
      <c r="AQ915" s="144"/>
      <c r="AR915" s="144"/>
      <c r="AS915" s="144"/>
      <c r="AT915" s="144"/>
      <c r="AU915" s="144"/>
      <c r="AV915" s="144"/>
    </row>
    <row r="916" spans="3:48" x14ac:dyDescent="0.25">
      <c r="C916" s="144"/>
      <c r="D916" s="144"/>
      <c r="E916" s="144"/>
      <c r="F916" s="144"/>
      <c r="G916" s="144"/>
      <c r="H916" s="232"/>
      <c r="I916" s="144"/>
      <c r="J916" s="144"/>
      <c r="K916" s="144"/>
      <c r="L916" s="144"/>
      <c r="M916" s="144"/>
      <c r="N916" s="144"/>
      <c r="O916" s="144"/>
      <c r="P916" s="144"/>
      <c r="Q916" s="144"/>
      <c r="R916" s="144"/>
      <c r="S916" s="144"/>
      <c r="T916" s="144"/>
      <c r="U916" s="232"/>
      <c r="V916" s="232"/>
      <c r="W916" s="144"/>
      <c r="X916" s="144"/>
      <c r="Y916" s="144"/>
      <c r="Z916" s="144"/>
      <c r="AA916" s="144"/>
      <c r="AB916" s="144"/>
      <c r="AC916" s="144"/>
      <c r="AD916" s="144"/>
      <c r="AE916" s="232"/>
      <c r="AF916" s="144"/>
      <c r="AG916" s="144"/>
      <c r="AH916" s="232"/>
      <c r="AI916" s="232"/>
      <c r="AJ916" s="144"/>
      <c r="AK916" s="144"/>
      <c r="AL916" s="144"/>
      <c r="AM916" s="144"/>
      <c r="AN916" s="144"/>
      <c r="AO916" s="144"/>
      <c r="AP916" s="144"/>
      <c r="AQ916" s="144"/>
      <c r="AR916" s="144"/>
      <c r="AS916" s="144"/>
      <c r="AT916" s="144"/>
      <c r="AU916" s="144"/>
      <c r="AV916" s="144"/>
    </row>
    <row r="917" spans="3:48" x14ac:dyDescent="0.25">
      <c r="C917" s="144"/>
      <c r="D917" s="144"/>
      <c r="E917" s="144"/>
      <c r="F917" s="144"/>
      <c r="G917" s="144"/>
      <c r="H917" s="232"/>
      <c r="I917" s="144"/>
      <c r="J917" s="144"/>
      <c r="K917" s="144"/>
      <c r="L917" s="144"/>
      <c r="M917" s="144"/>
      <c r="N917" s="144"/>
      <c r="O917" s="144"/>
      <c r="P917" s="144"/>
      <c r="Q917" s="144"/>
      <c r="R917" s="144"/>
      <c r="S917" s="144"/>
      <c r="T917" s="144"/>
      <c r="U917" s="232"/>
      <c r="V917" s="232"/>
      <c r="W917" s="144"/>
      <c r="X917" s="144"/>
      <c r="Y917" s="144"/>
      <c r="Z917" s="144"/>
      <c r="AA917" s="144"/>
      <c r="AB917" s="144"/>
      <c r="AC917" s="144"/>
      <c r="AD917" s="144"/>
      <c r="AE917" s="232"/>
      <c r="AF917" s="144"/>
      <c r="AG917" s="144"/>
      <c r="AH917" s="232"/>
      <c r="AI917" s="232"/>
      <c r="AJ917" s="144"/>
      <c r="AK917" s="144"/>
      <c r="AL917" s="144"/>
      <c r="AM917" s="144"/>
      <c r="AN917" s="144"/>
      <c r="AO917" s="144"/>
      <c r="AP917" s="144"/>
      <c r="AQ917" s="144"/>
      <c r="AR917" s="144"/>
      <c r="AS917" s="144"/>
      <c r="AT917" s="144"/>
      <c r="AU917" s="144"/>
      <c r="AV917" s="144"/>
    </row>
    <row r="918" spans="3:48" x14ac:dyDescent="0.25">
      <c r="C918" s="144"/>
      <c r="D918" s="144"/>
      <c r="E918" s="144"/>
      <c r="F918" s="144"/>
      <c r="G918" s="144"/>
      <c r="H918" s="232"/>
      <c r="I918" s="144"/>
      <c r="J918" s="144"/>
      <c r="K918" s="144"/>
      <c r="L918" s="144"/>
      <c r="M918" s="144"/>
      <c r="N918" s="144"/>
      <c r="O918" s="144"/>
      <c r="P918" s="144"/>
      <c r="Q918" s="144"/>
      <c r="R918" s="144"/>
      <c r="S918" s="144"/>
      <c r="T918" s="144"/>
      <c r="U918" s="232"/>
      <c r="V918" s="232"/>
      <c r="W918" s="144"/>
      <c r="X918" s="144"/>
      <c r="Y918" s="144"/>
      <c r="Z918" s="144"/>
      <c r="AA918" s="144"/>
      <c r="AB918" s="144"/>
      <c r="AC918" s="144"/>
      <c r="AD918" s="144"/>
      <c r="AE918" s="232"/>
      <c r="AF918" s="144"/>
      <c r="AG918" s="144"/>
      <c r="AH918" s="232"/>
      <c r="AI918" s="232"/>
      <c r="AJ918" s="144"/>
      <c r="AK918" s="144"/>
      <c r="AL918" s="144"/>
      <c r="AM918" s="144"/>
      <c r="AN918" s="144"/>
      <c r="AO918" s="144"/>
      <c r="AP918" s="144"/>
      <c r="AQ918" s="144"/>
      <c r="AR918" s="144"/>
      <c r="AS918" s="144"/>
      <c r="AT918" s="144"/>
      <c r="AU918" s="144"/>
      <c r="AV918" s="144"/>
    </row>
    <row r="919" spans="3:48" x14ac:dyDescent="0.25">
      <c r="C919" s="144"/>
      <c r="D919" s="144"/>
      <c r="E919" s="144"/>
      <c r="F919" s="144"/>
      <c r="G919" s="144"/>
      <c r="H919" s="232"/>
      <c r="I919" s="144"/>
      <c r="J919" s="144"/>
      <c r="K919" s="144"/>
      <c r="L919" s="144"/>
      <c r="M919" s="144"/>
      <c r="N919" s="144"/>
      <c r="O919" s="144"/>
      <c r="P919" s="144"/>
      <c r="Q919" s="144"/>
      <c r="R919" s="144"/>
      <c r="S919" s="144"/>
      <c r="T919" s="144"/>
      <c r="U919" s="232"/>
      <c r="V919" s="232"/>
      <c r="W919" s="144"/>
      <c r="X919" s="144"/>
      <c r="Y919" s="144"/>
      <c r="Z919" s="144"/>
      <c r="AA919" s="144"/>
      <c r="AB919" s="144"/>
      <c r="AC919" s="144"/>
      <c r="AD919" s="144"/>
      <c r="AE919" s="232"/>
      <c r="AF919" s="144"/>
      <c r="AG919" s="144"/>
      <c r="AH919" s="232"/>
      <c r="AI919" s="232"/>
      <c r="AJ919" s="144"/>
      <c r="AK919" s="144"/>
      <c r="AL919" s="144"/>
      <c r="AM919" s="144"/>
      <c r="AN919" s="144"/>
      <c r="AO919" s="144"/>
      <c r="AP919" s="144"/>
      <c r="AQ919" s="144"/>
      <c r="AR919" s="144"/>
      <c r="AS919" s="144"/>
      <c r="AT919" s="144"/>
      <c r="AU919" s="144"/>
      <c r="AV919" s="144"/>
    </row>
    <row r="920" spans="3:48" x14ac:dyDescent="0.25">
      <c r="C920" s="144"/>
      <c r="D920" s="144"/>
      <c r="E920" s="144"/>
      <c r="F920" s="144"/>
      <c r="G920" s="144"/>
      <c r="H920" s="232"/>
      <c r="I920" s="144"/>
      <c r="J920" s="144"/>
      <c r="K920" s="144"/>
      <c r="L920" s="144"/>
      <c r="M920" s="144"/>
      <c r="N920" s="144"/>
      <c r="O920" s="144"/>
      <c r="P920" s="144"/>
      <c r="Q920" s="144"/>
      <c r="R920" s="144"/>
      <c r="S920" s="144"/>
      <c r="T920" s="144"/>
      <c r="U920" s="232"/>
      <c r="V920" s="232"/>
      <c r="W920" s="144"/>
      <c r="X920" s="144"/>
      <c r="Y920" s="144"/>
      <c r="Z920" s="144"/>
      <c r="AA920" s="144"/>
      <c r="AB920" s="144"/>
      <c r="AC920" s="144"/>
      <c r="AD920" s="144"/>
      <c r="AE920" s="232"/>
      <c r="AF920" s="144"/>
      <c r="AG920" s="144"/>
      <c r="AH920" s="232"/>
      <c r="AI920" s="232"/>
      <c r="AJ920" s="144"/>
      <c r="AK920" s="144"/>
      <c r="AL920" s="144"/>
      <c r="AM920" s="144"/>
      <c r="AN920" s="144"/>
      <c r="AO920" s="144"/>
      <c r="AP920" s="144"/>
      <c r="AQ920" s="144"/>
      <c r="AR920" s="144"/>
      <c r="AS920" s="144"/>
      <c r="AT920" s="144"/>
      <c r="AU920" s="144"/>
      <c r="AV920" s="144"/>
    </row>
    <row r="921" spans="3:48" x14ac:dyDescent="0.25">
      <c r="C921" s="144"/>
      <c r="D921" s="144"/>
      <c r="E921" s="144"/>
      <c r="F921" s="144"/>
      <c r="G921" s="144"/>
      <c r="H921" s="232"/>
      <c r="I921" s="144"/>
      <c r="J921" s="144"/>
      <c r="K921" s="144"/>
      <c r="L921" s="144"/>
      <c r="M921" s="144"/>
      <c r="N921" s="144"/>
      <c r="O921" s="144"/>
      <c r="P921" s="144"/>
      <c r="Q921" s="144"/>
      <c r="R921" s="144"/>
      <c r="S921" s="144"/>
      <c r="T921" s="144"/>
      <c r="U921" s="232"/>
      <c r="V921" s="232"/>
      <c r="W921" s="144"/>
      <c r="X921" s="144"/>
      <c r="Y921" s="144"/>
      <c r="Z921" s="144"/>
      <c r="AA921" s="144"/>
      <c r="AB921" s="144"/>
      <c r="AC921" s="144"/>
      <c r="AD921" s="144"/>
      <c r="AE921" s="232"/>
      <c r="AF921" s="144"/>
      <c r="AG921" s="144"/>
      <c r="AH921" s="232"/>
      <c r="AI921" s="232"/>
      <c r="AJ921" s="144"/>
      <c r="AK921" s="144"/>
      <c r="AL921" s="144"/>
      <c r="AM921" s="144"/>
      <c r="AN921" s="144"/>
      <c r="AO921" s="144"/>
      <c r="AP921" s="144"/>
      <c r="AQ921" s="144"/>
      <c r="AR921" s="144"/>
      <c r="AS921" s="144"/>
      <c r="AT921" s="144"/>
      <c r="AU921" s="144"/>
      <c r="AV921" s="144"/>
    </row>
    <row r="922" spans="3:48" x14ac:dyDescent="0.25">
      <c r="C922" s="144"/>
      <c r="D922" s="144"/>
      <c r="E922" s="144"/>
      <c r="F922" s="144"/>
      <c r="G922" s="144"/>
      <c r="H922" s="232"/>
      <c r="I922" s="144"/>
      <c r="J922" s="144"/>
      <c r="K922" s="144"/>
      <c r="L922" s="144"/>
      <c r="M922" s="144"/>
      <c r="N922" s="144"/>
      <c r="O922" s="144"/>
      <c r="P922" s="144"/>
      <c r="Q922" s="144"/>
      <c r="R922" s="144"/>
      <c r="S922" s="144"/>
      <c r="T922" s="144"/>
      <c r="U922" s="232"/>
      <c r="V922" s="232"/>
      <c r="W922" s="144"/>
      <c r="X922" s="144"/>
      <c r="Y922" s="144"/>
      <c r="Z922" s="144"/>
      <c r="AA922" s="144"/>
      <c r="AB922" s="144"/>
      <c r="AC922" s="144"/>
      <c r="AD922" s="144"/>
      <c r="AE922" s="232"/>
      <c r="AF922" s="144"/>
      <c r="AG922" s="144"/>
      <c r="AH922" s="232"/>
      <c r="AI922" s="232"/>
      <c r="AJ922" s="144"/>
      <c r="AK922" s="144"/>
      <c r="AL922" s="144"/>
      <c r="AM922" s="144"/>
      <c r="AN922" s="144"/>
      <c r="AO922" s="144"/>
      <c r="AP922" s="144"/>
      <c r="AQ922" s="144"/>
      <c r="AR922" s="144"/>
      <c r="AS922" s="144"/>
      <c r="AT922" s="144"/>
      <c r="AU922" s="144"/>
      <c r="AV922" s="144"/>
    </row>
    <row r="923" spans="3:48" x14ac:dyDescent="0.25">
      <c r="C923" s="144"/>
      <c r="D923" s="144"/>
      <c r="E923" s="144"/>
      <c r="F923" s="144"/>
      <c r="G923" s="144"/>
      <c r="H923" s="232"/>
      <c r="I923" s="144"/>
      <c r="J923" s="144"/>
      <c r="K923" s="144"/>
      <c r="L923" s="144"/>
      <c r="M923" s="144"/>
      <c r="N923" s="144"/>
      <c r="O923" s="144"/>
      <c r="P923" s="144"/>
      <c r="Q923" s="144"/>
      <c r="R923" s="144"/>
      <c r="S923" s="144"/>
      <c r="T923" s="144"/>
      <c r="U923" s="232"/>
      <c r="V923" s="232"/>
      <c r="W923" s="144"/>
      <c r="X923" s="144"/>
      <c r="Y923" s="144"/>
      <c r="Z923" s="144"/>
      <c r="AA923" s="144"/>
      <c r="AB923" s="144"/>
      <c r="AC923" s="144"/>
      <c r="AD923" s="144"/>
      <c r="AE923" s="232"/>
      <c r="AF923" s="144"/>
      <c r="AG923" s="144"/>
      <c r="AH923" s="232"/>
      <c r="AI923" s="232"/>
      <c r="AJ923" s="144"/>
      <c r="AK923" s="144"/>
      <c r="AL923" s="144"/>
      <c r="AM923" s="144"/>
      <c r="AN923" s="144"/>
      <c r="AO923" s="144"/>
      <c r="AP923" s="144"/>
      <c r="AQ923" s="144"/>
      <c r="AR923" s="144"/>
      <c r="AS923" s="144"/>
      <c r="AT923" s="144"/>
      <c r="AU923" s="144"/>
      <c r="AV923" s="144"/>
    </row>
    <row r="924" spans="3:48" x14ac:dyDescent="0.25">
      <c r="C924" s="144"/>
      <c r="D924" s="144"/>
      <c r="E924" s="144"/>
      <c r="F924" s="144"/>
      <c r="G924" s="144"/>
      <c r="H924" s="232"/>
      <c r="I924" s="144"/>
      <c r="J924" s="144"/>
      <c r="K924" s="144"/>
      <c r="L924" s="144"/>
      <c r="M924" s="144"/>
      <c r="N924" s="144"/>
      <c r="O924" s="144"/>
      <c r="P924" s="144"/>
      <c r="Q924" s="144"/>
      <c r="R924" s="144"/>
      <c r="S924" s="144"/>
      <c r="T924" s="144"/>
      <c r="U924" s="232"/>
      <c r="V924" s="232"/>
      <c r="W924" s="144"/>
      <c r="X924" s="144"/>
      <c r="Y924" s="144"/>
      <c r="Z924" s="144"/>
      <c r="AA924" s="144"/>
      <c r="AB924" s="144"/>
      <c r="AC924" s="144"/>
      <c r="AD924" s="144"/>
      <c r="AE924" s="232"/>
      <c r="AF924" s="144"/>
      <c r="AG924" s="144"/>
      <c r="AH924" s="232"/>
      <c r="AI924" s="232"/>
      <c r="AJ924" s="144"/>
      <c r="AK924" s="144"/>
      <c r="AL924" s="144"/>
      <c r="AM924" s="144"/>
      <c r="AN924" s="144"/>
      <c r="AO924" s="144"/>
      <c r="AP924" s="144"/>
      <c r="AQ924" s="144"/>
      <c r="AR924" s="144"/>
      <c r="AS924" s="144"/>
      <c r="AT924" s="144"/>
      <c r="AU924" s="144"/>
      <c r="AV924" s="144"/>
    </row>
    <row r="925" spans="3:48" x14ac:dyDescent="0.25">
      <c r="C925" s="144"/>
      <c r="D925" s="144"/>
      <c r="E925" s="144"/>
      <c r="F925" s="144"/>
      <c r="G925" s="144"/>
      <c r="H925" s="232"/>
      <c r="I925" s="144"/>
      <c r="J925" s="144"/>
      <c r="K925" s="144"/>
      <c r="L925" s="144"/>
      <c r="M925" s="144"/>
      <c r="N925" s="144"/>
      <c r="O925" s="144"/>
      <c r="P925" s="144"/>
      <c r="Q925" s="144"/>
      <c r="R925" s="144"/>
      <c r="S925" s="144"/>
      <c r="T925" s="144"/>
      <c r="U925" s="232"/>
      <c r="V925" s="232"/>
      <c r="W925" s="144"/>
      <c r="X925" s="144"/>
      <c r="Y925" s="144"/>
      <c r="Z925" s="144"/>
      <c r="AA925" s="144"/>
      <c r="AB925" s="144"/>
      <c r="AC925" s="144"/>
      <c r="AD925" s="144"/>
      <c r="AE925" s="232"/>
      <c r="AF925" s="144"/>
      <c r="AG925" s="144"/>
      <c r="AH925" s="232"/>
      <c r="AI925" s="232"/>
      <c r="AJ925" s="144"/>
      <c r="AK925" s="144"/>
      <c r="AL925" s="144"/>
      <c r="AM925" s="144"/>
      <c r="AN925" s="144"/>
      <c r="AO925" s="144"/>
      <c r="AP925" s="144"/>
      <c r="AQ925" s="144"/>
      <c r="AR925" s="144"/>
      <c r="AS925" s="144"/>
      <c r="AT925" s="144"/>
      <c r="AU925" s="144"/>
      <c r="AV925" s="144"/>
    </row>
    <row r="926" spans="3:48" x14ac:dyDescent="0.25">
      <c r="C926" s="144"/>
      <c r="D926" s="144"/>
      <c r="E926" s="144"/>
      <c r="F926" s="144"/>
      <c r="G926" s="144"/>
      <c r="H926" s="232"/>
      <c r="I926" s="144"/>
      <c r="J926" s="144"/>
      <c r="K926" s="144"/>
      <c r="L926" s="144"/>
      <c r="M926" s="144"/>
      <c r="N926" s="144"/>
      <c r="O926" s="144"/>
      <c r="P926" s="144"/>
      <c r="Q926" s="144"/>
      <c r="R926" s="144"/>
      <c r="S926" s="144"/>
      <c r="T926" s="144"/>
      <c r="U926" s="232"/>
      <c r="V926" s="232"/>
      <c r="W926" s="144"/>
      <c r="X926" s="144"/>
      <c r="Y926" s="144"/>
      <c r="Z926" s="144"/>
      <c r="AA926" s="144"/>
      <c r="AB926" s="144"/>
      <c r="AC926" s="144"/>
      <c r="AD926" s="144"/>
      <c r="AE926" s="232"/>
      <c r="AF926" s="144"/>
      <c r="AG926" s="144"/>
      <c r="AH926" s="232"/>
      <c r="AI926" s="232"/>
      <c r="AJ926" s="144"/>
      <c r="AK926" s="144"/>
      <c r="AL926" s="144"/>
      <c r="AM926" s="144"/>
      <c r="AN926" s="144"/>
      <c r="AO926" s="144"/>
      <c r="AP926" s="144"/>
      <c r="AQ926" s="144"/>
      <c r="AR926" s="144"/>
      <c r="AS926" s="144"/>
      <c r="AT926" s="144"/>
      <c r="AU926" s="144"/>
      <c r="AV926" s="144"/>
    </row>
    <row r="927" spans="3:48" x14ac:dyDescent="0.25">
      <c r="C927" s="144"/>
      <c r="D927" s="144"/>
      <c r="E927" s="144"/>
      <c r="F927" s="144"/>
      <c r="G927" s="144"/>
      <c r="H927" s="232"/>
      <c r="I927" s="144"/>
      <c r="J927" s="144"/>
      <c r="K927" s="144"/>
      <c r="L927" s="144"/>
      <c r="M927" s="144"/>
      <c r="N927" s="144"/>
      <c r="O927" s="144"/>
      <c r="P927" s="144"/>
      <c r="Q927" s="144"/>
      <c r="R927" s="144"/>
      <c r="S927" s="144"/>
      <c r="T927" s="144"/>
      <c r="U927" s="232"/>
      <c r="V927" s="232"/>
      <c r="W927" s="144"/>
      <c r="X927" s="144"/>
      <c r="Y927" s="144"/>
      <c r="Z927" s="144"/>
      <c r="AA927" s="144"/>
      <c r="AB927" s="144"/>
      <c r="AC927" s="144"/>
      <c r="AD927" s="144"/>
      <c r="AE927" s="232"/>
      <c r="AF927" s="144"/>
      <c r="AG927" s="144"/>
      <c r="AH927" s="232"/>
      <c r="AI927" s="232"/>
      <c r="AJ927" s="144"/>
      <c r="AK927" s="144"/>
      <c r="AL927" s="144"/>
      <c r="AM927" s="144"/>
      <c r="AN927" s="144"/>
      <c r="AO927" s="144"/>
      <c r="AP927" s="144"/>
      <c r="AQ927" s="144"/>
      <c r="AR927" s="144"/>
      <c r="AS927" s="144"/>
      <c r="AT927" s="144"/>
      <c r="AU927" s="144"/>
      <c r="AV927" s="144"/>
    </row>
    <row r="928" spans="3:48" x14ac:dyDescent="0.25">
      <c r="C928" s="144"/>
      <c r="D928" s="144"/>
      <c r="E928" s="144"/>
      <c r="F928" s="144"/>
      <c r="G928" s="144"/>
      <c r="H928" s="232"/>
      <c r="I928" s="144"/>
      <c r="J928" s="144"/>
      <c r="K928" s="144"/>
      <c r="L928" s="144"/>
      <c r="M928" s="144"/>
      <c r="N928" s="144"/>
      <c r="O928" s="144"/>
      <c r="P928" s="144"/>
      <c r="Q928" s="144"/>
      <c r="R928" s="144"/>
      <c r="S928" s="144"/>
      <c r="T928" s="144"/>
      <c r="U928" s="232"/>
      <c r="V928" s="232"/>
      <c r="W928" s="144"/>
      <c r="X928" s="144"/>
      <c r="Y928" s="144"/>
      <c r="Z928" s="144"/>
      <c r="AA928" s="144"/>
      <c r="AB928" s="144"/>
      <c r="AC928" s="144"/>
      <c r="AD928" s="144"/>
      <c r="AE928" s="232"/>
      <c r="AF928" s="144"/>
      <c r="AG928" s="144"/>
      <c r="AH928" s="232"/>
      <c r="AI928" s="232"/>
      <c r="AJ928" s="144"/>
      <c r="AK928" s="144"/>
      <c r="AL928" s="144"/>
      <c r="AM928" s="144"/>
      <c r="AN928" s="144"/>
      <c r="AO928" s="144"/>
      <c r="AP928" s="144"/>
      <c r="AQ928" s="144"/>
      <c r="AR928" s="144"/>
      <c r="AS928" s="144"/>
      <c r="AT928" s="144"/>
      <c r="AU928" s="144"/>
      <c r="AV928" s="144"/>
    </row>
    <row r="929" spans="3:48" x14ac:dyDescent="0.25">
      <c r="C929" s="144"/>
      <c r="D929" s="144"/>
      <c r="E929" s="144"/>
      <c r="F929" s="144"/>
      <c r="G929" s="144"/>
      <c r="H929" s="232"/>
      <c r="I929" s="144"/>
      <c r="J929" s="144"/>
      <c r="K929" s="144"/>
      <c r="L929" s="144"/>
      <c r="M929" s="144"/>
      <c r="N929" s="144"/>
      <c r="O929" s="144"/>
      <c r="P929" s="144"/>
      <c r="Q929" s="144"/>
      <c r="R929" s="144"/>
      <c r="S929" s="144"/>
      <c r="T929" s="144"/>
      <c r="U929" s="232"/>
      <c r="V929" s="232"/>
      <c r="W929" s="144"/>
      <c r="X929" s="144"/>
      <c r="Y929" s="144"/>
      <c r="Z929" s="144"/>
      <c r="AA929" s="144"/>
      <c r="AB929" s="144"/>
      <c r="AC929" s="144"/>
      <c r="AD929" s="144"/>
      <c r="AE929" s="232"/>
      <c r="AF929" s="144"/>
      <c r="AG929" s="144"/>
      <c r="AH929" s="232"/>
      <c r="AI929" s="232"/>
      <c r="AJ929" s="144"/>
      <c r="AK929" s="144"/>
      <c r="AL929" s="144"/>
      <c r="AM929" s="144"/>
      <c r="AN929" s="144"/>
      <c r="AO929" s="144"/>
      <c r="AP929" s="144"/>
      <c r="AQ929" s="144"/>
      <c r="AR929" s="144"/>
      <c r="AS929" s="144"/>
      <c r="AT929" s="144"/>
      <c r="AU929" s="144"/>
      <c r="AV929" s="144"/>
    </row>
    <row r="930" spans="3:48" x14ac:dyDescent="0.25">
      <c r="C930" s="144"/>
      <c r="D930" s="144"/>
      <c r="E930" s="144"/>
      <c r="F930" s="144"/>
      <c r="G930" s="144"/>
      <c r="H930" s="232"/>
      <c r="I930" s="144"/>
      <c r="J930" s="144"/>
      <c r="K930" s="144"/>
      <c r="L930" s="144"/>
      <c r="M930" s="144"/>
      <c r="N930" s="144"/>
      <c r="O930" s="144"/>
      <c r="P930" s="144"/>
      <c r="Q930" s="144"/>
      <c r="R930" s="144"/>
      <c r="S930" s="144"/>
      <c r="T930" s="144"/>
      <c r="U930" s="232"/>
      <c r="V930" s="232"/>
      <c r="W930" s="144"/>
      <c r="X930" s="144"/>
      <c r="Y930" s="144"/>
      <c r="Z930" s="144"/>
      <c r="AA930" s="144"/>
      <c r="AB930" s="144"/>
      <c r="AC930" s="144"/>
      <c r="AD930" s="144"/>
      <c r="AE930" s="232"/>
      <c r="AF930" s="144"/>
      <c r="AG930" s="144"/>
      <c r="AH930" s="232"/>
      <c r="AI930" s="232"/>
      <c r="AJ930" s="144"/>
      <c r="AK930" s="144"/>
      <c r="AL930" s="144"/>
      <c r="AM930" s="144"/>
      <c r="AN930" s="144"/>
      <c r="AO930" s="144"/>
      <c r="AP930" s="144"/>
      <c r="AQ930" s="144"/>
      <c r="AR930" s="144"/>
      <c r="AS930" s="144"/>
      <c r="AT930" s="144"/>
      <c r="AU930" s="144"/>
      <c r="AV930" s="144"/>
    </row>
    <row r="931" spans="3:48" x14ac:dyDescent="0.25">
      <c r="C931" s="144"/>
      <c r="D931" s="144"/>
      <c r="E931" s="144"/>
      <c r="F931" s="144"/>
      <c r="G931" s="144"/>
      <c r="H931" s="232"/>
      <c r="I931" s="144"/>
      <c r="J931" s="144"/>
      <c r="K931" s="144"/>
      <c r="L931" s="144"/>
      <c r="M931" s="144"/>
      <c r="N931" s="144"/>
      <c r="O931" s="144"/>
      <c r="P931" s="144"/>
      <c r="Q931" s="144"/>
      <c r="R931" s="144"/>
      <c r="S931" s="144"/>
      <c r="T931" s="144"/>
      <c r="U931" s="232"/>
      <c r="V931" s="232"/>
      <c r="W931" s="144"/>
      <c r="X931" s="144"/>
      <c r="Y931" s="144"/>
      <c r="Z931" s="144"/>
      <c r="AA931" s="144"/>
      <c r="AB931" s="144"/>
      <c r="AC931" s="144"/>
      <c r="AD931" s="144"/>
      <c r="AE931" s="232"/>
      <c r="AF931" s="144"/>
      <c r="AG931" s="144"/>
      <c r="AH931" s="232"/>
      <c r="AI931" s="232"/>
      <c r="AJ931" s="144"/>
      <c r="AK931" s="144"/>
      <c r="AL931" s="144"/>
      <c r="AM931" s="144"/>
      <c r="AN931" s="144"/>
      <c r="AO931" s="144"/>
      <c r="AP931" s="144"/>
      <c r="AQ931" s="144"/>
      <c r="AR931" s="144"/>
      <c r="AS931" s="144"/>
      <c r="AT931" s="144"/>
      <c r="AU931" s="144"/>
      <c r="AV931" s="144"/>
    </row>
    <row r="932" spans="3:48" x14ac:dyDescent="0.25">
      <c r="C932" s="144"/>
      <c r="D932" s="144"/>
      <c r="E932" s="144"/>
      <c r="F932" s="144"/>
      <c r="G932" s="144"/>
      <c r="H932" s="232"/>
      <c r="I932" s="144"/>
      <c r="J932" s="144"/>
      <c r="K932" s="144"/>
      <c r="L932" s="144"/>
      <c r="M932" s="144"/>
      <c r="N932" s="144"/>
      <c r="O932" s="144"/>
      <c r="P932" s="144"/>
      <c r="Q932" s="144"/>
      <c r="R932" s="144"/>
      <c r="S932" s="144"/>
      <c r="T932" s="144"/>
      <c r="U932" s="232"/>
      <c r="V932" s="232"/>
      <c r="W932" s="144"/>
      <c r="X932" s="144"/>
      <c r="Y932" s="144"/>
      <c r="Z932" s="144"/>
      <c r="AA932" s="144"/>
      <c r="AB932" s="144"/>
      <c r="AC932" s="144"/>
      <c r="AD932" s="144"/>
      <c r="AE932" s="232"/>
      <c r="AF932" s="144"/>
      <c r="AG932" s="144"/>
      <c r="AH932" s="232"/>
      <c r="AI932" s="232"/>
      <c r="AJ932" s="144"/>
      <c r="AK932" s="144"/>
      <c r="AL932" s="144"/>
      <c r="AM932" s="144"/>
      <c r="AN932" s="144"/>
      <c r="AO932" s="144"/>
      <c r="AP932" s="144"/>
      <c r="AQ932" s="144"/>
      <c r="AR932" s="144"/>
      <c r="AS932" s="144"/>
      <c r="AT932" s="144"/>
      <c r="AU932" s="144"/>
      <c r="AV932" s="144"/>
    </row>
    <row r="933" spans="3:48" x14ac:dyDescent="0.25">
      <c r="C933" s="144"/>
      <c r="D933" s="144"/>
      <c r="E933" s="144"/>
      <c r="F933" s="144"/>
      <c r="G933" s="144"/>
      <c r="H933" s="232"/>
      <c r="I933" s="144"/>
      <c r="J933" s="144"/>
      <c r="K933" s="144"/>
      <c r="L933" s="144"/>
      <c r="M933" s="144"/>
      <c r="N933" s="144"/>
      <c r="O933" s="144"/>
      <c r="P933" s="144"/>
      <c r="Q933" s="144"/>
      <c r="R933" s="144"/>
      <c r="S933" s="144"/>
      <c r="T933" s="144"/>
      <c r="U933" s="232"/>
      <c r="V933" s="232"/>
      <c r="W933" s="144"/>
      <c r="X933" s="144"/>
      <c r="Y933" s="144"/>
      <c r="Z933" s="144"/>
      <c r="AA933" s="144"/>
      <c r="AB933" s="144"/>
      <c r="AC933" s="144"/>
      <c r="AD933" s="144"/>
      <c r="AE933" s="232"/>
      <c r="AF933" s="144"/>
      <c r="AG933" s="144"/>
      <c r="AH933" s="232"/>
      <c r="AI933" s="232"/>
      <c r="AJ933" s="144"/>
      <c r="AK933" s="144"/>
      <c r="AL933" s="144"/>
      <c r="AM933" s="144"/>
      <c r="AN933" s="144"/>
      <c r="AO933" s="144"/>
      <c r="AP933" s="144"/>
      <c r="AQ933" s="144"/>
      <c r="AR933" s="144"/>
      <c r="AS933" s="144"/>
      <c r="AT933" s="144"/>
      <c r="AU933" s="144"/>
      <c r="AV933" s="144"/>
    </row>
    <row r="934" spans="3:48" x14ac:dyDescent="0.25">
      <c r="C934" s="144"/>
      <c r="D934" s="144"/>
      <c r="E934" s="144"/>
      <c r="F934" s="144"/>
      <c r="G934" s="144"/>
      <c r="H934" s="232"/>
      <c r="I934" s="144"/>
      <c r="J934" s="144"/>
      <c r="K934" s="144"/>
      <c r="L934" s="144"/>
      <c r="M934" s="144"/>
      <c r="N934" s="144"/>
      <c r="O934" s="144"/>
      <c r="P934" s="144"/>
      <c r="Q934" s="144"/>
      <c r="R934" s="144"/>
      <c r="S934" s="144"/>
      <c r="T934" s="144"/>
      <c r="U934" s="232"/>
      <c r="V934" s="232"/>
      <c r="W934" s="144"/>
      <c r="X934" s="144"/>
      <c r="Y934" s="144"/>
      <c r="Z934" s="144"/>
      <c r="AA934" s="144"/>
      <c r="AB934" s="144"/>
      <c r="AC934" s="144"/>
      <c r="AD934" s="144"/>
      <c r="AE934" s="232"/>
      <c r="AF934" s="144"/>
      <c r="AG934" s="144"/>
      <c r="AH934" s="232"/>
      <c r="AI934" s="232"/>
      <c r="AJ934" s="144"/>
      <c r="AK934" s="144"/>
      <c r="AL934" s="144"/>
      <c r="AM934" s="144"/>
      <c r="AN934" s="144"/>
      <c r="AO934" s="144"/>
      <c r="AP934" s="144"/>
      <c r="AQ934" s="144"/>
      <c r="AR934" s="144"/>
      <c r="AS934" s="144"/>
      <c r="AT934" s="144"/>
      <c r="AU934" s="144"/>
      <c r="AV934" s="144"/>
    </row>
    <row r="935" spans="3:48" x14ac:dyDescent="0.25">
      <c r="C935" s="144"/>
      <c r="D935" s="144"/>
      <c r="E935" s="144"/>
      <c r="F935" s="144"/>
      <c r="G935" s="144"/>
      <c r="H935" s="232"/>
      <c r="I935" s="144"/>
      <c r="J935" s="144"/>
      <c r="K935" s="144"/>
      <c r="L935" s="144"/>
      <c r="M935" s="144"/>
      <c r="N935" s="144"/>
      <c r="O935" s="144"/>
      <c r="P935" s="144"/>
      <c r="Q935" s="144"/>
      <c r="R935" s="144"/>
      <c r="S935" s="144"/>
      <c r="T935" s="144"/>
      <c r="U935" s="232"/>
      <c r="V935" s="232"/>
      <c r="W935" s="144"/>
      <c r="X935" s="144"/>
      <c r="Y935" s="144"/>
      <c r="Z935" s="144"/>
      <c r="AA935" s="144"/>
      <c r="AB935" s="144"/>
      <c r="AC935" s="144"/>
      <c r="AD935" s="144"/>
      <c r="AE935" s="232"/>
      <c r="AF935" s="144"/>
      <c r="AG935" s="144"/>
      <c r="AH935" s="232"/>
      <c r="AI935" s="232"/>
      <c r="AJ935" s="144"/>
      <c r="AK935" s="144"/>
      <c r="AL935" s="144"/>
      <c r="AM935" s="144"/>
      <c r="AN935" s="144"/>
      <c r="AO935" s="144"/>
      <c r="AP935" s="144"/>
      <c r="AQ935" s="144"/>
      <c r="AR935" s="144"/>
      <c r="AS935" s="144"/>
      <c r="AT935" s="144"/>
      <c r="AU935" s="144"/>
      <c r="AV935" s="144"/>
    </row>
    <row r="936" spans="3:48" x14ac:dyDescent="0.25">
      <c r="C936" s="144"/>
      <c r="D936" s="144"/>
      <c r="E936" s="144"/>
      <c r="F936" s="144"/>
      <c r="G936" s="144"/>
      <c r="H936" s="232"/>
      <c r="I936" s="144"/>
      <c r="J936" s="144"/>
      <c r="K936" s="144"/>
      <c r="L936" s="144"/>
      <c r="M936" s="144"/>
      <c r="N936" s="144"/>
      <c r="O936" s="144"/>
      <c r="P936" s="144"/>
      <c r="Q936" s="144"/>
      <c r="R936" s="144"/>
      <c r="S936" s="144"/>
      <c r="T936" s="144"/>
      <c r="U936" s="232"/>
      <c r="V936" s="232"/>
      <c r="W936" s="144"/>
      <c r="X936" s="144"/>
      <c r="Y936" s="144"/>
      <c r="Z936" s="144"/>
      <c r="AA936" s="144"/>
      <c r="AB936" s="144"/>
      <c r="AC936" s="144"/>
      <c r="AD936" s="144"/>
      <c r="AE936" s="232"/>
      <c r="AF936" s="144"/>
      <c r="AG936" s="144"/>
      <c r="AH936" s="232"/>
      <c r="AI936" s="232"/>
      <c r="AJ936" s="144"/>
      <c r="AK936" s="144"/>
      <c r="AL936" s="144"/>
      <c r="AM936" s="144"/>
      <c r="AN936" s="144"/>
      <c r="AO936" s="144"/>
      <c r="AP936" s="144"/>
      <c r="AQ936" s="144"/>
      <c r="AR936" s="144"/>
      <c r="AS936" s="144"/>
      <c r="AT936" s="144"/>
      <c r="AU936" s="144"/>
      <c r="AV936" s="144"/>
    </row>
    <row r="937" spans="3:48" x14ac:dyDescent="0.25">
      <c r="C937" s="144"/>
      <c r="D937" s="144"/>
      <c r="E937" s="144"/>
      <c r="F937" s="144"/>
      <c r="G937" s="144"/>
      <c r="H937" s="232"/>
      <c r="I937" s="144"/>
      <c r="J937" s="144"/>
      <c r="K937" s="144"/>
      <c r="L937" s="144"/>
      <c r="M937" s="144"/>
      <c r="N937" s="144"/>
      <c r="O937" s="144"/>
      <c r="P937" s="144"/>
      <c r="Q937" s="144"/>
      <c r="R937" s="144"/>
      <c r="S937" s="144"/>
      <c r="T937" s="144"/>
      <c r="U937" s="232"/>
      <c r="V937" s="232"/>
      <c r="W937" s="144"/>
      <c r="X937" s="144"/>
      <c r="Y937" s="144"/>
      <c r="Z937" s="144"/>
      <c r="AA937" s="144"/>
      <c r="AB937" s="144"/>
      <c r="AC937" s="144"/>
      <c r="AD937" s="144"/>
      <c r="AE937" s="232"/>
      <c r="AF937" s="144"/>
      <c r="AG937" s="144"/>
      <c r="AH937" s="232"/>
      <c r="AI937" s="232"/>
      <c r="AJ937" s="144"/>
      <c r="AK937" s="144"/>
      <c r="AL937" s="144"/>
      <c r="AM937" s="144"/>
      <c r="AN937" s="144"/>
      <c r="AO937" s="144"/>
      <c r="AP937" s="144"/>
      <c r="AQ937" s="144"/>
      <c r="AR937" s="144"/>
      <c r="AS937" s="144"/>
      <c r="AT937" s="144"/>
      <c r="AU937" s="144"/>
      <c r="AV937" s="144"/>
    </row>
    <row r="938" spans="3:48" x14ac:dyDescent="0.25">
      <c r="C938" s="144"/>
      <c r="D938" s="144"/>
      <c r="E938" s="144"/>
      <c r="F938" s="144"/>
      <c r="G938" s="144"/>
      <c r="H938" s="232"/>
      <c r="I938" s="144"/>
      <c r="J938" s="144"/>
      <c r="K938" s="144"/>
      <c r="L938" s="144"/>
      <c r="M938" s="144"/>
      <c r="N938" s="144"/>
      <c r="O938" s="144"/>
      <c r="P938" s="144"/>
      <c r="Q938" s="144"/>
      <c r="R938" s="144"/>
      <c r="S938" s="144"/>
      <c r="T938" s="144"/>
      <c r="U938" s="232"/>
      <c r="V938" s="232"/>
      <c r="W938" s="144"/>
      <c r="X938" s="144"/>
      <c r="Y938" s="144"/>
      <c r="Z938" s="144"/>
      <c r="AA938" s="144"/>
      <c r="AB938" s="144"/>
      <c r="AC938" s="144"/>
      <c r="AD938" s="144"/>
      <c r="AE938" s="232"/>
      <c r="AF938" s="144"/>
      <c r="AG938" s="144"/>
      <c r="AH938" s="232"/>
      <c r="AI938" s="232"/>
      <c r="AJ938" s="144"/>
      <c r="AK938" s="144"/>
      <c r="AL938" s="144"/>
      <c r="AM938" s="144"/>
      <c r="AN938" s="144"/>
      <c r="AO938" s="144"/>
      <c r="AP938" s="144"/>
      <c r="AQ938" s="144"/>
      <c r="AR938" s="144"/>
      <c r="AS938" s="144"/>
      <c r="AT938" s="144"/>
      <c r="AU938" s="144"/>
      <c r="AV938" s="144"/>
    </row>
    <row r="939" spans="3:48" x14ac:dyDescent="0.25">
      <c r="C939" s="144"/>
      <c r="D939" s="144"/>
      <c r="E939" s="144"/>
      <c r="F939" s="144"/>
      <c r="G939" s="144"/>
      <c r="H939" s="232"/>
      <c r="I939" s="144"/>
      <c r="J939" s="144"/>
      <c r="K939" s="144"/>
      <c r="L939" s="144"/>
      <c r="M939" s="144"/>
      <c r="N939" s="144"/>
      <c r="O939" s="144"/>
      <c r="P939" s="144"/>
      <c r="Q939" s="144"/>
      <c r="R939" s="144"/>
      <c r="S939" s="144"/>
      <c r="T939" s="144"/>
      <c r="U939" s="232"/>
      <c r="V939" s="232"/>
      <c r="W939" s="144"/>
      <c r="X939" s="144"/>
      <c r="Y939" s="144"/>
      <c r="Z939" s="144"/>
      <c r="AA939" s="144"/>
      <c r="AB939" s="144"/>
      <c r="AC939" s="144"/>
      <c r="AD939" s="144"/>
      <c r="AE939" s="232"/>
      <c r="AF939" s="144"/>
      <c r="AG939" s="144"/>
      <c r="AH939" s="232"/>
      <c r="AI939" s="232"/>
      <c r="AJ939" s="144"/>
      <c r="AK939" s="144"/>
      <c r="AL939" s="144"/>
      <c r="AM939" s="144"/>
      <c r="AN939" s="144"/>
      <c r="AO939" s="144"/>
      <c r="AP939" s="144"/>
      <c r="AQ939" s="144"/>
      <c r="AR939" s="144"/>
      <c r="AS939" s="144"/>
      <c r="AT939" s="144"/>
      <c r="AU939" s="144"/>
      <c r="AV939" s="144"/>
    </row>
    <row r="940" spans="3:48" x14ac:dyDescent="0.25">
      <c r="C940" s="144"/>
      <c r="D940" s="144"/>
      <c r="E940" s="144"/>
      <c r="F940" s="144"/>
      <c r="G940" s="144"/>
      <c r="H940" s="232"/>
      <c r="I940" s="144"/>
      <c r="J940" s="144"/>
      <c r="K940" s="144"/>
      <c r="L940" s="144"/>
      <c r="M940" s="144"/>
      <c r="N940" s="144"/>
      <c r="O940" s="144"/>
      <c r="P940" s="144"/>
      <c r="Q940" s="144"/>
      <c r="R940" s="144"/>
      <c r="S940" s="144"/>
      <c r="T940" s="144"/>
      <c r="U940" s="232"/>
      <c r="V940" s="232"/>
      <c r="W940" s="144"/>
      <c r="X940" s="144"/>
      <c r="Y940" s="144"/>
      <c r="Z940" s="144"/>
      <c r="AA940" s="144"/>
      <c r="AB940" s="144"/>
      <c r="AC940" s="144"/>
      <c r="AD940" s="144"/>
      <c r="AE940" s="232"/>
      <c r="AF940" s="144"/>
      <c r="AG940" s="144"/>
      <c r="AH940" s="232"/>
      <c r="AI940" s="232"/>
      <c r="AJ940" s="144"/>
      <c r="AK940" s="144"/>
      <c r="AL940" s="144"/>
      <c r="AM940" s="144"/>
      <c r="AN940" s="144"/>
      <c r="AO940" s="144"/>
      <c r="AP940" s="144"/>
      <c r="AQ940" s="144"/>
      <c r="AR940" s="144"/>
      <c r="AS940" s="144"/>
      <c r="AT940" s="144"/>
      <c r="AU940" s="144"/>
      <c r="AV940" s="144"/>
    </row>
    <row r="941" spans="3:48" x14ac:dyDescent="0.25">
      <c r="C941" s="144"/>
      <c r="D941" s="144"/>
      <c r="E941" s="144"/>
      <c r="F941" s="144"/>
      <c r="G941" s="144"/>
      <c r="H941" s="232"/>
      <c r="I941" s="144"/>
      <c r="J941" s="144"/>
      <c r="K941" s="144"/>
      <c r="L941" s="144"/>
      <c r="M941" s="144"/>
      <c r="N941" s="144"/>
      <c r="O941" s="144"/>
      <c r="P941" s="144"/>
      <c r="Q941" s="144"/>
      <c r="R941" s="144"/>
      <c r="S941" s="144"/>
      <c r="T941" s="144"/>
      <c r="U941" s="232"/>
      <c r="V941" s="232"/>
      <c r="W941" s="144"/>
      <c r="X941" s="144"/>
      <c r="Y941" s="144"/>
      <c r="Z941" s="144"/>
      <c r="AA941" s="144"/>
      <c r="AB941" s="144"/>
      <c r="AC941" s="144"/>
      <c r="AD941" s="144"/>
      <c r="AE941" s="232"/>
      <c r="AF941" s="144"/>
      <c r="AG941" s="144"/>
      <c r="AH941" s="232"/>
      <c r="AI941" s="232"/>
      <c r="AJ941" s="144"/>
      <c r="AK941" s="144"/>
      <c r="AL941" s="144"/>
      <c r="AM941" s="144"/>
      <c r="AN941" s="144"/>
      <c r="AO941" s="144"/>
      <c r="AP941" s="144"/>
      <c r="AQ941" s="144"/>
      <c r="AR941" s="144"/>
      <c r="AS941" s="144"/>
      <c r="AT941" s="144"/>
      <c r="AU941" s="144"/>
      <c r="AV941" s="144"/>
    </row>
    <row r="942" spans="3:48" x14ac:dyDescent="0.25">
      <c r="C942" s="144"/>
      <c r="D942" s="144"/>
      <c r="E942" s="144"/>
      <c r="F942" s="144"/>
      <c r="G942" s="144"/>
      <c r="H942" s="232"/>
      <c r="I942" s="144"/>
      <c r="J942" s="144"/>
      <c r="K942" s="144"/>
      <c r="L942" s="144"/>
      <c r="M942" s="144"/>
      <c r="N942" s="144"/>
      <c r="O942" s="144"/>
      <c r="P942" s="144"/>
      <c r="Q942" s="144"/>
      <c r="R942" s="144"/>
      <c r="S942" s="144"/>
      <c r="T942" s="144"/>
      <c r="U942" s="232"/>
      <c r="V942" s="232"/>
      <c r="W942" s="144"/>
      <c r="X942" s="144"/>
      <c r="Y942" s="144"/>
      <c r="Z942" s="144"/>
      <c r="AA942" s="144"/>
      <c r="AB942" s="144"/>
      <c r="AC942" s="144"/>
      <c r="AD942" s="144"/>
      <c r="AE942" s="232"/>
      <c r="AF942" s="144"/>
      <c r="AG942" s="144"/>
      <c r="AH942" s="232"/>
      <c r="AI942" s="232"/>
      <c r="AJ942" s="144"/>
      <c r="AK942" s="144"/>
      <c r="AL942" s="144"/>
      <c r="AM942" s="144"/>
      <c r="AN942" s="144"/>
      <c r="AO942" s="144"/>
      <c r="AP942" s="144"/>
      <c r="AQ942" s="144"/>
      <c r="AR942" s="144"/>
      <c r="AS942" s="144"/>
      <c r="AT942" s="144"/>
      <c r="AU942" s="144"/>
      <c r="AV942" s="144"/>
    </row>
    <row r="943" spans="3:48" x14ac:dyDescent="0.25">
      <c r="C943" s="144"/>
      <c r="D943" s="144"/>
      <c r="E943" s="144"/>
      <c r="F943" s="144"/>
      <c r="G943" s="144"/>
      <c r="H943" s="232"/>
      <c r="I943" s="144"/>
      <c r="J943" s="144"/>
      <c r="K943" s="144"/>
      <c r="L943" s="144"/>
      <c r="M943" s="144"/>
      <c r="N943" s="144"/>
      <c r="O943" s="144"/>
      <c r="P943" s="144"/>
      <c r="Q943" s="144"/>
      <c r="R943" s="144"/>
      <c r="S943" s="144"/>
      <c r="T943" s="144"/>
      <c r="U943" s="232"/>
      <c r="V943" s="232"/>
      <c r="W943" s="144"/>
      <c r="X943" s="144"/>
      <c r="Y943" s="144"/>
      <c r="Z943" s="144"/>
      <c r="AA943" s="144"/>
      <c r="AB943" s="144"/>
      <c r="AC943" s="144"/>
      <c r="AD943" s="144"/>
      <c r="AE943" s="232"/>
      <c r="AF943" s="144"/>
      <c r="AG943" s="144"/>
      <c r="AH943" s="232"/>
      <c r="AI943" s="232"/>
      <c r="AJ943" s="144"/>
      <c r="AK943" s="144"/>
      <c r="AL943" s="144"/>
      <c r="AM943" s="144"/>
      <c r="AN943" s="144"/>
      <c r="AO943" s="144"/>
      <c r="AP943" s="144"/>
      <c r="AQ943" s="144"/>
      <c r="AR943" s="144"/>
      <c r="AS943" s="144"/>
      <c r="AT943" s="144"/>
      <c r="AU943" s="144"/>
      <c r="AV943" s="144"/>
    </row>
    <row r="944" spans="3:48" x14ac:dyDescent="0.25">
      <c r="C944" s="144"/>
      <c r="D944" s="144"/>
      <c r="E944" s="144"/>
      <c r="F944" s="144"/>
      <c r="G944" s="144"/>
      <c r="H944" s="232"/>
      <c r="I944" s="144"/>
      <c r="J944" s="144"/>
      <c r="K944" s="144"/>
      <c r="L944" s="144"/>
      <c r="M944" s="144"/>
      <c r="N944" s="144"/>
      <c r="O944" s="144"/>
      <c r="P944" s="144"/>
      <c r="Q944" s="144"/>
      <c r="R944" s="144"/>
      <c r="S944" s="144"/>
      <c r="T944" s="144"/>
      <c r="U944" s="232"/>
      <c r="V944" s="232"/>
      <c r="W944" s="144"/>
      <c r="X944" s="144"/>
      <c r="Y944" s="144"/>
      <c r="Z944" s="144"/>
      <c r="AA944" s="144"/>
      <c r="AB944" s="144"/>
      <c r="AC944" s="144"/>
      <c r="AD944" s="144"/>
      <c r="AE944" s="232"/>
      <c r="AF944" s="144"/>
      <c r="AG944" s="144"/>
      <c r="AH944" s="232"/>
      <c r="AI944" s="232"/>
      <c r="AJ944" s="144"/>
      <c r="AK944" s="144"/>
      <c r="AL944" s="144"/>
      <c r="AM944" s="144"/>
      <c r="AN944" s="144"/>
      <c r="AO944" s="144"/>
      <c r="AP944" s="144"/>
      <c r="AQ944" s="144"/>
      <c r="AR944" s="144"/>
      <c r="AS944" s="144"/>
      <c r="AT944" s="144"/>
      <c r="AU944" s="144"/>
      <c r="AV944" s="144"/>
    </row>
    <row r="945" spans="3:48" x14ac:dyDescent="0.25">
      <c r="C945" s="144"/>
      <c r="D945" s="144"/>
      <c r="E945" s="144"/>
      <c r="F945" s="144"/>
      <c r="G945" s="144"/>
      <c r="H945" s="232"/>
      <c r="I945" s="144"/>
      <c r="J945" s="144"/>
      <c r="K945" s="144"/>
      <c r="L945" s="144"/>
      <c r="M945" s="144"/>
      <c r="N945" s="144"/>
      <c r="O945" s="144"/>
      <c r="P945" s="144"/>
      <c r="Q945" s="144"/>
      <c r="R945" s="144"/>
      <c r="S945" s="144"/>
      <c r="T945" s="144"/>
      <c r="U945" s="232"/>
      <c r="V945" s="232"/>
      <c r="W945" s="144"/>
      <c r="X945" s="144"/>
      <c r="Y945" s="144"/>
      <c r="Z945" s="144"/>
      <c r="AA945" s="144"/>
      <c r="AB945" s="144"/>
      <c r="AC945" s="144"/>
      <c r="AD945" s="144"/>
      <c r="AE945" s="232"/>
      <c r="AF945" s="144"/>
      <c r="AG945" s="144"/>
      <c r="AH945" s="232"/>
      <c r="AI945" s="232"/>
      <c r="AJ945" s="144"/>
      <c r="AK945" s="144"/>
      <c r="AL945" s="144"/>
      <c r="AM945" s="144"/>
      <c r="AN945" s="144"/>
      <c r="AO945" s="144"/>
      <c r="AP945" s="144"/>
      <c r="AQ945" s="144"/>
      <c r="AR945" s="144"/>
      <c r="AS945" s="144"/>
      <c r="AT945" s="144"/>
      <c r="AU945" s="144"/>
      <c r="AV945" s="144"/>
    </row>
    <row r="946" spans="3:48" x14ac:dyDescent="0.25">
      <c r="C946" s="144"/>
      <c r="D946" s="144"/>
      <c r="E946" s="144"/>
      <c r="F946" s="144"/>
      <c r="G946" s="144"/>
      <c r="H946" s="232"/>
      <c r="I946" s="144"/>
      <c r="J946" s="144"/>
      <c r="K946" s="144"/>
      <c r="L946" s="144"/>
      <c r="M946" s="144"/>
      <c r="N946" s="144"/>
      <c r="O946" s="144"/>
      <c r="P946" s="144"/>
      <c r="Q946" s="144"/>
      <c r="R946" s="144"/>
      <c r="S946" s="144"/>
      <c r="T946" s="144"/>
      <c r="U946" s="232"/>
      <c r="V946" s="232"/>
      <c r="W946" s="144"/>
      <c r="X946" s="144"/>
      <c r="Y946" s="144"/>
      <c r="Z946" s="144"/>
      <c r="AA946" s="144"/>
      <c r="AB946" s="144"/>
      <c r="AC946" s="144"/>
      <c r="AD946" s="144"/>
      <c r="AE946" s="232"/>
      <c r="AF946" s="144"/>
      <c r="AG946" s="144"/>
      <c r="AH946" s="232"/>
      <c r="AI946" s="232"/>
      <c r="AJ946" s="144"/>
      <c r="AK946" s="144"/>
      <c r="AL946" s="144"/>
      <c r="AM946" s="144"/>
      <c r="AN946" s="144"/>
      <c r="AO946" s="144"/>
      <c r="AP946" s="144"/>
      <c r="AQ946" s="144"/>
      <c r="AR946" s="144"/>
      <c r="AS946" s="144"/>
      <c r="AT946" s="144"/>
      <c r="AU946" s="144"/>
      <c r="AV946" s="144"/>
    </row>
    <row r="947" spans="3:48" x14ac:dyDescent="0.25">
      <c r="C947" s="144"/>
      <c r="D947" s="144"/>
      <c r="E947" s="144"/>
      <c r="F947" s="144"/>
      <c r="G947" s="144"/>
      <c r="H947" s="232"/>
      <c r="I947" s="144"/>
      <c r="J947" s="144"/>
      <c r="K947" s="144"/>
      <c r="L947" s="144"/>
      <c r="M947" s="144"/>
      <c r="N947" s="144"/>
      <c r="O947" s="144"/>
      <c r="P947" s="144"/>
      <c r="Q947" s="144"/>
      <c r="R947" s="144"/>
      <c r="S947" s="144"/>
      <c r="T947" s="144"/>
      <c r="U947" s="232"/>
      <c r="V947" s="232"/>
      <c r="W947" s="144"/>
      <c r="X947" s="144"/>
      <c r="Y947" s="144"/>
      <c r="Z947" s="144"/>
      <c r="AA947" s="144"/>
      <c r="AB947" s="144"/>
      <c r="AC947" s="144"/>
      <c r="AD947" s="144"/>
      <c r="AE947" s="232"/>
      <c r="AF947" s="144"/>
      <c r="AG947" s="144"/>
      <c r="AH947" s="232"/>
      <c r="AI947" s="232"/>
      <c r="AJ947" s="144"/>
      <c r="AK947" s="144"/>
      <c r="AL947" s="144"/>
      <c r="AM947" s="144"/>
      <c r="AN947" s="144"/>
      <c r="AO947" s="144"/>
      <c r="AP947" s="144"/>
      <c r="AQ947" s="144"/>
      <c r="AR947" s="144"/>
      <c r="AS947" s="144"/>
      <c r="AT947" s="144"/>
      <c r="AU947" s="144"/>
      <c r="AV947" s="144"/>
    </row>
    <row r="948" spans="3:48" x14ac:dyDescent="0.25">
      <c r="C948" s="144"/>
      <c r="D948" s="144"/>
      <c r="E948" s="144"/>
      <c r="F948" s="144"/>
      <c r="G948" s="144"/>
      <c r="H948" s="232"/>
      <c r="I948" s="144"/>
      <c r="J948" s="144"/>
      <c r="K948" s="144"/>
      <c r="L948" s="144"/>
      <c r="M948" s="144"/>
      <c r="N948" s="144"/>
      <c r="O948" s="144"/>
      <c r="P948" s="144"/>
      <c r="Q948" s="144"/>
      <c r="R948" s="144"/>
      <c r="S948" s="144"/>
      <c r="T948" s="144"/>
      <c r="U948" s="232"/>
      <c r="V948" s="232"/>
      <c r="W948" s="144"/>
      <c r="X948" s="144"/>
      <c r="Y948" s="144"/>
      <c r="Z948" s="144"/>
      <c r="AA948" s="144"/>
      <c r="AB948" s="144"/>
      <c r="AC948" s="144"/>
      <c r="AD948" s="144"/>
      <c r="AE948" s="232"/>
      <c r="AF948" s="144"/>
      <c r="AG948" s="144"/>
      <c r="AH948" s="232"/>
      <c r="AI948" s="232"/>
      <c r="AJ948" s="144"/>
      <c r="AK948" s="144"/>
      <c r="AL948" s="144"/>
      <c r="AM948" s="144"/>
      <c r="AN948" s="144"/>
      <c r="AO948" s="144"/>
      <c r="AP948" s="144"/>
      <c r="AQ948" s="144"/>
      <c r="AR948" s="144"/>
      <c r="AS948" s="144"/>
      <c r="AT948" s="144"/>
      <c r="AU948" s="144"/>
      <c r="AV948" s="144"/>
    </row>
    <row r="949" spans="3:48" x14ac:dyDescent="0.25">
      <c r="C949" s="144"/>
      <c r="D949" s="144"/>
      <c r="E949" s="144"/>
      <c r="F949" s="144"/>
      <c r="G949" s="144"/>
      <c r="H949" s="232"/>
      <c r="I949" s="144"/>
      <c r="J949" s="144"/>
      <c r="K949" s="144"/>
      <c r="L949" s="144"/>
      <c r="M949" s="144"/>
      <c r="N949" s="144"/>
      <c r="O949" s="144"/>
      <c r="P949" s="144"/>
      <c r="Q949" s="144"/>
      <c r="R949" s="144"/>
      <c r="S949" s="144"/>
      <c r="T949" s="144"/>
      <c r="U949" s="232"/>
      <c r="V949" s="232"/>
      <c r="W949" s="144"/>
      <c r="X949" s="144"/>
      <c r="Y949" s="144"/>
      <c r="Z949" s="144"/>
      <c r="AA949" s="144"/>
      <c r="AB949" s="144"/>
      <c r="AC949" s="144"/>
      <c r="AD949" s="144"/>
      <c r="AE949" s="232"/>
      <c r="AF949" s="144"/>
      <c r="AG949" s="144"/>
      <c r="AH949" s="232"/>
      <c r="AI949" s="232"/>
      <c r="AJ949" s="144"/>
      <c r="AK949" s="144"/>
      <c r="AL949" s="144"/>
      <c r="AM949" s="144"/>
      <c r="AN949" s="144"/>
      <c r="AO949" s="144"/>
      <c r="AP949" s="144"/>
      <c r="AQ949" s="144"/>
      <c r="AR949" s="144"/>
      <c r="AS949" s="144"/>
      <c r="AT949" s="144"/>
      <c r="AU949" s="144"/>
      <c r="AV949" s="144"/>
    </row>
    <row r="950" spans="3:48" x14ac:dyDescent="0.25">
      <c r="C950" s="144"/>
      <c r="D950" s="144"/>
      <c r="E950" s="144"/>
      <c r="F950" s="144"/>
      <c r="G950" s="144"/>
      <c r="H950" s="232"/>
      <c r="I950" s="144"/>
      <c r="J950" s="144"/>
      <c r="K950" s="144"/>
      <c r="L950" s="144"/>
      <c r="M950" s="144"/>
      <c r="N950" s="144"/>
      <c r="O950" s="144"/>
      <c r="P950" s="144"/>
      <c r="Q950" s="144"/>
      <c r="R950" s="144"/>
      <c r="S950" s="144"/>
      <c r="T950" s="144"/>
      <c r="U950" s="232"/>
      <c r="V950" s="232"/>
      <c r="W950" s="144"/>
      <c r="X950" s="144"/>
      <c r="Y950" s="144"/>
      <c r="Z950" s="144"/>
      <c r="AA950" s="144"/>
      <c r="AB950" s="144"/>
      <c r="AC950" s="144"/>
      <c r="AD950" s="144"/>
      <c r="AE950" s="232"/>
      <c r="AF950" s="144"/>
      <c r="AG950" s="144"/>
      <c r="AH950" s="232"/>
      <c r="AI950" s="232"/>
      <c r="AJ950" s="144"/>
      <c r="AK950" s="144"/>
      <c r="AL950" s="144"/>
      <c r="AM950" s="144"/>
      <c r="AN950" s="144"/>
      <c r="AO950" s="144"/>
      <c r="AP950" s="144"/>
      <c r="AQ950" s="144"/>
      <c r="AR950" s="144"/>
      <c r="AS950" s="144"/>
      <c r="AT950" s="144"/>
      <c r="AU950" s="144"/>
      <c r="AV950" s="144"/>
    </row>
    <row r="951" spans="3:48" x14ac:dyDescent="0.25">
      <c r="C951" s="144"/>
      <c r="D951" s="144"/>
      <c r="E951" s="144"/>
      <c r="F951" s="144"/>
      <c r="G951" s="144"/>
      <c r="H951" s="232"/>
      <c r="I951" s="144"/>
      <c r="J951" s="144"/>
      <c r="K951" s="144"/>
      <c r="L951" s="144"/>
      <c r="M951" s="144"/>
      <c r="N951" s="144"/>
      <c r="O951" s="144"/>
      <c r="P951" s="144"/>
      <c r="Q951" s="144"/>
      <c r="R951" s="144"/>
      <c r="S951" s="144"/>
      <c r="T951" s="144"/>
      <c r="U951" s="232"/>
      <c r="V951" s="232"/>
      <c r="W951" s="144"/>
      <c r="X951" s="144"/>
      <c r="Y951" s="144"/>
      <c r="Z951" s="144"/>
      <c r="AA951" s="144"/>
      <c r="AB951" s="144"/>
      <c r="AC951" s="144"/>
      <c r="AD951" s="144"/>
      <c r="AE951" s="232"/>
      <c r="AF951" s="144"/>
      <c r="AG951" s="144"/>
      <c r="AH951" s="232"/>
      <c r="AI951" s="232"/>
      <c r="AJ951" s="144"/>
      <c r="AK951" s="144"/>
      <c r="AL951" s="144"/>
      <c r="AM951" s="144"/>
      <c r="AN951" s="144"/>
      <c r="AO951" s="144"/>
      <c r="AP951" s="144"/>
      <c r="AQ951" s="144"/>
      <c r="AR951" s="144"/>
      <c r="AS951" s="144"/>
      <c r="AT951" s="144"/>
      <c r="AU951" s="144"/>
      <c r="AV951" s="144"/>
    </row>
    <row r="952" spans="3:48" x14ac:dyDescent="0.25">
      <c r="C952" s="144"/>
      <c r="D952" s="144"/>
      <c r="E952" s="144"/>
      <c r="F952" s="144"/>
      <c r="G952" s="144"/>
      <c r="H952" s="232"/>
      <c r="I952" s="144"/>
      <c r="J952" s="144"/>
      <c r="K952" s="144"/>
      <c r="L952" s="144"/>
      <c r="M952" s="144"/>
      <c r="N952" s="144"/>
      <c r="O952" s="144"/>
      <c r="P952" s="144"/>
      <c r="Q952" s="144"/>
      <c r="R952" s="144"/>
      <c r="S952" s="144"/>
      <c r="T952" s="144"/>
      <c r="U952" s="232"/>
      <c r="V952" s="232"/>
      <c r="W952" s="144"/>
      <c r="X952" s="144"/>
      <c r="Y952" s="144"/>
      <c r="Z952" s="144"/>
      <c r="AA952" s="144"/>
      <c r="AB952" s="144"/>
      <c r="AC952" s="144"/>
      <c r="AD952" s="144"/>
      <c r="AE952" s="232"/>
      <c r="AF952" s="144"/>
      <c r="AG952" s="144"/>
      <c r="AH952" s="232"/>
      <c r="AI952" s="232"/>
      <c r="AJ952" s="144"/>
      <c r="AK952" s="144"/>
      <c r="AL952" s="144"/>
      <c r="AM952" s="144"/>
      <c r="AN952" s="144"/>
      <c r="AO952" s="144"/>
      <c r="AP952" s="144"/>
      <c r="AQ952" s="144"/>
      <c r="AR952" s="144"/>
      <c r="AS952" s="144"/>
      <c r="AT952" s="144"/>
      <c r="AU952" s="144"/>
      <c r="AV952" s="144"/>
    </row>
    <row r="953" spans="3:48" x14ac:dyDescent="0.25">
      <c r="C953" s="144"/>
      <c r="D953" s="144"/>
      <c r="E953" s="144"/>
      <c r="F953" s="144"/>
      <c r="G953" s="144"/>
      <c r="H953" s="232"/>
      <c r="I953" s="144"/>
      <c r="J953" s="144"/>
      <c r="K953" s="144"/>
      <c r="L953" s="144"/>
      <c r="M953" s="144"/>
      <c r="N953" s="144"/>
      <c r="O953" s="144"/>
      <c r="P953" s="144"/>
      <c r="Q953" s="144"/>
      <c r="R953" s="144"/>
      <c r="S953" s="144"/>
      <c r="T953" s="144"/>
      <c r="U953" s="232"/>
      <c r="V953" s="232"/>
      <c r="W953" s="144"/>
      <c r="X953" s="144"/>
      <c r="Y953" s="144"/>
      <c r="Z953" s="144"/>
      <c r="AA953" s="144"/>
      <c r="AB953" s="144"/>
      <c r="AC953" s="144"/>
      <c r="AD953" s="144"/>
      <c r="AE953" s="232"/>
      <c r="AF953" s="144"/>
      <c r="AG953" s="144"/>
      <c r="AH953" s="232"/>
      <c r="AI953" s="232"/>
      <c r="AJ953" s="144"/>
      <c r="AK953" s="144"/>
      <c r="AL953" s="144"/>
      <c r="AM953" s="144"/>
      <c r="AN953" s="144"/>
      <c r="AO953" s="144"/>
      <c r="AP953" s="144"/>
      <c r="AQ953" s="144"/>
      <c r="AR953" s="144"/>
      <c r="AS953" s="144"/>
      <c r="AT953" s="144"/>
      <c r="AU953" s="144"/>
      <c r="AV953" s="144"/>
    </row>
    <row r="954" spans="3:48" x14ac:dyDescent="0.25">
      <c r="C954" s="144"/>
      <c r="D954" s="144"/>
      <c r="E954" s="144"/>
      <c r="F954" s="144"/>
      <c r="G954" s="144"/>
      <c r="H954" s="232"/>
      <c r="I954" s="144"/>
      <c r="J954" s="144"/>
      <c r="K954" s="144"/>
      <c r="L954" s="144"/>
      <c r="M954" s="144"/>
      <c r="N954" s="144"/>
      <c r="O954" s="144"/>
      <c r="P954" s="144"/>
      <c r="Q954" s="144"/>
      <c r="R954" s="144"/>
      <c r="S954" s="144"/>
      <c r="T954" s="144"/>
      <c r="U954" s="232"/>
      <c r="V954" s="232"/>
      <c r="W954" s="144"/>
      <c r="X954" s="144"/>
      <c r="Y954" s="144"/>
      <c r="Z954" s="144"/>
      <c r="AA954" s="144"/>
      <c r="AB954" s="144"/>
      <c r="AC954" s="144"/>
      <c r="AD954" s="144"/>
      <c r="AE954" s="232"/>
      <c r="AF954" s="144"/>
      <c r="AG954" s="144"/>
      <c r="AH954" s="232"/>
      <c r="AI954" s="232"/>
      <c r="AJ954" s="144"/>
      <c r="AK954" s="144"/>
      <c r="AL954" s="144"/>
      <c r="AM954" s="144"/>
      <c r="AN954" s="144"/>
      <c r="AO954" s="144"/>
      <c r="AP954" s="144"/>
      <c r="AQ954" s="144"/>
      <c r="AR954" s="144"/>
      <c r="AS954" s="144"/>
      <c r="AT954" s="144"/>
      <c r="AU954" s="144"/>
      <c r="AV954" s="144"/>
    </row>
    <row r="955" spans="3:48" x14ac:dyDescent="0.25">
      <c r="C955" s="144"/>
      <c r="D955" s="144"/>
      <c r="E955" s="144"/>
      <c r="F955" s="144"/>
      <c r="G955" s="144"/>
      <c r="H955" s="232"/>
      <c r="I955" s="144"/>
      <c r="J955" s="144"/>
      <c r="K955" s="144"/>
      <c r="L955" s="144"/>
      <c r="M955" s="144"/>
      <c r="N955" s="144"/>
      <c r="O955" s="144"/>
      <c r="P955" s="144"/>
      <c r="Q955" s="144"/>
      <c r="R955" s="144"/>
      <c r="S955" s="144"/>
      <c r="T955" s="144"/>
      <c r="U955" s="232"/>
      <c r="V955" s="232"/>
      <c r="W955" s="144"/>
      <c r="X955" s="144"/>
      <c r="Y955" s="144"/>
      <c r="Z955" s="144"/>
      <c r="AA955" s="144"/>
      <c r="AB955" s="144"/>
      <c r="AC955" s="144"/>
      <c r="AD955" s="144"/>
      <c r="AE955" s="232"/>
      <c r="AF955" s="144"/>
      <c r="AG955" s="144"/>
      <c r="AH955" s="232"/>
      <c r="AI955" s="232"/>
      <c r="AJ955" s="144"/>
      <c r="AK955" s="144"/>
      <c r="AL955" s="144"/>
      <c r="AM955" s="144"/>
      <c r="AN955" s="144"/>
      <c r="AO955" s="144"/>
      <c r="AP955" s="144"/>
      <c r="AQ955" s="144"/>
      <c r="AR955" s="144"/>
      <c r="AS955" s="144"/>
      <c r="AT955" s="144"/>
      <c r="AU955" s="144"/>
      <c r="AV955" s="144"/>
    </row>
    <row r="956" spans="3:48" x14ac:dyDescent="0.25">
      <c r="C956" s="144"/>
      <c r="D956" s="144"/>
      <c r="E956" s="144"/>
      <c r="F956" s="144"/>
      <c r="G956" s="144"/>
      <c r="H956" s="232"/>
      <c r="I956" s="144"/>
      <c r="J956" s="144"/>
      <c r="K956" s="144"/>
      <c r="L956" s="144"/>
      <c r="M956" s="144"/>
      <c r="N956" s="144"/>
      <c r="O956" s="144"/>
      <c r="P956" s="144"/>
      <c r="Q956" s="144"/>
      <c r="R956" s="144"/>
      <c r="S956" s="144"/>
      <c r="T956" s="144"/>
      <c r="U956" s="232"/>
      <c r="V956" s="232"/>
      <c r="W956" s="144"/>
      <c r="X956" s="144"/>
      <c r="Y956" s="144"/>
      <c r="Z956" s="144"/>
      <c r="AA956" s="144"/>
      <c r="AB956" s="144"/>
      <c r="AC956" s="144"/>
      <c r="AD956" s="144"/>
      <c r="AE956" s="232"/>
      <c r="AF956" s="144"/>
      <c r="AG956" s="144"/>
      <c r="AH956" s="232"/>
      <c r="AI956" s="232"/>
      <c r="AJ956" s="144"/>
      <c r="AK956" s="144"/>
      <c r="AL956" s="144"/>
      <c r="AM956" s="144"/>
      <c r="AN956" s="144"/>
      <c r="AO956" s="144"/>
      <c r="AP956" s="144"/>
      <c r="AQ956" s="144"/>
      <c r="AR956" s="144"/>
      <c r="AS956" s="144"/>
      <c r="AT956" s="144"/>
      <c r="AU956" s="144"/>
      <c r="AV956" s="144"/>
    </row>
    <row r="957" spans="3:48" x14ac:dyDescent="0.25">
      <c r="C957" s="144"/>
      <c r="D957" s="144"/>
      <c r="E957" s="144"/>
      <c r="F957" s="144"/>
      <c r="G957" s="144"/>
      <c r="H957" s="232"/>
      <c r="I957" s="144"/>
      <c r="J957" s="144"/>
      <c r="K957" s="144"/>
      <c r="L957" s="144"/>
      <c r="M957" s="144"/>
      <c r="N957" s="144"/>
      <c r="O957" s="144"/>
      <c r="P957" s="144"/>
      <c r="Q957" s="144"/>
      <c r="R957" s="144"/>
      <c r="S957" s="144"/>
      <c r="T957" s="144"/>
      <c r="U957" s="232"/>
      <c r="V957" s="232"/>
      <c r="W957" s="144"/>
      <c r="X957" s="144"/>
      <c r="Y957" s="144"/>
      <c r="Z957" s="144"/>
      <c r="AA957" s="144"/>
      <c r="AB957" s="144"/>
      <c r="AC957" s="144"/>
      <c r="AD957" s="144"/>
      <c r="AE957" s="232"/>
      <c r="AF957" s="144"/>
      <c r="AG957" s="144"/>
      <c r="AH957" s="232"/>
      <c r="AI957" s="232"/>
      <c r="AJ957" s="144"/>
      <c r="AK957" s="144"/>
      <c r="AL957" s="144"/>
      <c r="AM957" s="144"/>
      <c r="AN957" s="144"/>
      <c r="AO957" s="144"/>
      <c r="AP957" s="144"/>
      <c r="AQ957" s="144"/>
      <c r="AR957" s="144"/>
      <c r="AS957" s="144"/>
      <c r="AT957" s="144"/>
      <c r="AU957" s="144"/>
      <c r="AV957" s="144"/>
    </row>
    <row r="958" spans="3:48" x14ac:dyDescent="0.25">
      <c r="C958" s="144"/>
      <c r="D958" s="144"/>
      <c r="E958" s="144"/>
      <c r="F958" s="144"/>
      <c r="G958" s="144"/>
      <c r="H958" s="232"/>
      <c r="I958" s="144"/>
      <c r="J958" s="144"/>
      <c r="K958" s="144"/>
      <c r="L958" s="144"/>
      <c r="M958" s="144"/>
      <c r="N958" s="144"/>
      <c r="O958" s="144"/>
      <c r="P958" s="144"/>
      <c r="Q958" s="144"/>
      <c r="R958" s="144"/>
      <c r="S958" s="144"/>
      <c r="T958" s="144"/>
      <c r="U958" s="232"/>
      <c r="V958" s="232"/>
      <c r="W958" s="144"/>
      <c r="X958" s="144"/>
      <c r="Y958" s="144"/>
      <c r="Z958" s="144"/>
      <c r="AA958" s="144"/>
      <c r="AB958" s="144"/>
      <c r="AC958" s="144"/>
      <c r="AD958" s="144"/>
      <c r="AE958" s="232"/>
      <c r="AF958" s="144"/>
      <c r="AG958" s="144"/>
      <c r="AH958" s="232"/>
      <c r="AI958" s="232"/>
      <c r="AJ958" s="144"/>
      <c r="AK958" s="144"/>
      <c r="AL958" s="144"/>
      <c r="AM958" s="144"/>
      <c r="AN958" s="144"/>
      <c r="AO958" s="144"/>
      <c r="AP958" s="144"/>
      <c r="AQ958" s="144"/>
      <c r="AR958" s="144"/>
      <c r="AS958" s="144"/>
      <c r="AT958" s="144"/>
      <c r="AU958" s="144"/>
      <c r="AV958" s="144"/>
    </row>
    <row r="959" spans="3:48" x14ac:dyDescent="0.25">
      <c r="C959" s="144"/>
      <c r="D959" s="144"/>
      <c r="E959" s="144"/>
      <c r="F959" s="144"/>
      <c r="G959" s="144"/>
      <c r="H959" s="232"/>
      <c r="I959" s="144"/>
      <c r="J959" s="144"/>
      <c r="K959" s="144"/>
      <c r="L959" s="144"/>
      <c r="M959" s="144"/>
      <c r="N959" s="144"/>
      <c r="O959" s="144"/>
      <c r="P959" s="144"/>
      <c r="Q959" s="144"/>
      <c r="R959" s="144"/>
      <c r="S959" s="144"/>
      <c r="T959" s="144"/>
      <c r="U959" s="232"/>
      <c r="V959" s="232"/>
      <c r="W959" s="144"/>
      <c r="X959" s="144"/>
      <c r="Y959" s="144"/>
      <c r="Z959" s="144"/>
      <c r="AA959" s="144"/>
      <c r="AB959" s="144"/>
      <c r="AC959" s="144"/>
      <c r="AD959" s="144"/>
      <c r="AE959" s="232"/>
      <c r="AF959" s="144"/>
      <c r="AG959" s="144"/>
      <c r="AH959" s="232"/>
      <c r="AI959" s="232"/>
      <c r="AJ959" s="144"/>
      <c r="AK959" s="144"/>
      <c r="AL959" s="144"/>
      <c r="AM959" s="144"/>
      <c r="AN959" s="144"/>
      <c r="AO959" s="144"/>
      <c r="AP959" s="144"/>
      <c r="AQ959" s="144"/>
      <c r="AR959" s="144"/>
      <c r="AS959" s="144"/>
      <c r="AT959" s="144"/>
      <c r="AU959" s="144"/>
      <c r="AV959" s="144"/>
    </row>
    <row r="960" spans="3:48" x14ac:dyDescent="0.25">
      <c r="C960" s="144"/>
      <c r="D960" s="144"/>
      <c r="E960" s="144"/>
      <c r="F960" s="144"/>
      <c r="G960" s="144"/>
      <c r="H960" s="232"/>
      <c r="I960" s="144"/>
      <c r="J960" s="144"/>
      <c r="K960" s="144"/>
      <c r="L960" s="144"/>
      <c r="M960" s="144"/>
      <c r="N960" s="144"/>
      <c r="O960" s="144"/>
      <c r="P960" s="144"/>
      <c r="Q960" s="144"/>
      <c r="R960" s="144"/>
      <c r="S960" s="144"/>
      <c r="T960" s="144"/>
      <c r="U960" s="232"/>
      <c r="V960" s="232"/>
      <c r="W960" s="144"/>
      <c r="X960" s="144"/>
      <c r="Y960" s="144"/>
      <c r="Z960" s="144"/>
      <c r="AA960" s="144"/>
      <c r="AB960" s="144"/>
      <c r="AC960" s="144"/>
      <c r="AD960" s="144"/>
      <c r="AE960" s="232"/>
      <c r="AF960" s="144"/>
      <c r="AG960" s="144"/>
      <c r="AH960" s="232"/>
      <c r="AI960" s="232"/>
      <c r="AJ960" s="144"/>
      <c r="AK960" s="144"/>
      <c r="AL960" s="144"/>
      <c r="AM960" s="144"/>
      <c r="AN960" s="144"/>
      <c r="AO960" s="144"/>
      <c r="AP960" s="144"/>
      <c r="AQ960" s="144"/>
      <c r="AR960" s="144"/>
      <c r="AS960" s="144"/>
      <c r="AT960" s="144"/>
      <c r="AU960" s="144"/>
      <c r="AV960" s="144"/>
    </row>
    <row r="961" spans="3:48" x14ac:dyDescent="0.25">
      <c r="C961" s="144"/>
      <c r="D961" s="144"/>
      <c r="E961" s="144"/>
      <c r="F961" s="144"/>
      <c r="G961" s="144"/>
      <c r="H961" s="232"/>
      <c r="I961" s="144"/>
      <c r="J961" s="144"/>
      <c r="K961" s="144"/>
      <c r="L961" s="144"/>
      <c r="M961" s="144"/>
      <c r="N961" s="144"/>
      <c r="O961" s="144"/>
      <c r="P961" s="144"/>
      <c r="Q961" s="144"/>
      <c r="R961" s="144"/>
      <c r="S961" s="144"/>
      <c r="T961" s="144"/>
      <c r="U961" s="232"/>
      <c r="V961" s="232"/>
      <c r="W961" s="144"/>
      <c r="X961" s="144"/>
      <c r="Y961" s="144"/>
      <c r="Z961" s="144"/>
      <c r="AA961" s="144"/>
      <c r="AB961" s="144"/>
      <c r="AC961" s="144"/>
      <c r="AD961" s="144"/>
      <c r="AE961" s="232"/>
      <c r="AF961" s="144"/>
      <c r="AG961" s="144"/>
      <c r="AH961" s="232"/>
      <c r="AI961" s="232"/>
      <c r="AJ961" s="144"/>
      <c r="AK961" s="144"/>
      <c r="AL961" s="144"/>
      <c r="AM961" s="144"/>
      <c r="AN961" s="144"/>
      <c r="AO961" s="144"/>
      <c r="AP961" s="144"/>
      <c r="AQ961" s="144"/>
      <c r="AR961" s="144"/>
      <c r="AS961" s="144"/>
      <c r="AT961" s="144"/>
      <c r="AU961" s="144"/>
      <c r="AV961" s="144"/>
    </row>
    <row r="962" spans="3:48" x14ac:dyDescent="0.25">
      <c r="C962" s="144"/>
      <c r="D962" s="144"/>
      <c r="E962" s="144"/>
      <c r="F962" s="144"/>
      <c r="G962" s="144"/>
      <c r="H962" s="232"/>
      <c r="I962" s="144"/>
      <c r="J962" s="144"/>
      <c r="K962" s="144"/>
      <c r="L962" s="144"/>
      <c r="M962" s="144"/>
      <c r="N962" s="144"/>
      <c r="O962" s="144"/>
      <c r="P962" s="144"/>
      <c r="Q962" s="144"/>
      <c r="R962" s="144"/>
      <c r="S962" s="144"/>
      <c r="T962" s="144"/>
      <c r="U962" s="232"/>
      <c r="V962" s="232"/>
      <c r="W962" s="144"/>
      <c r="X962" s="144"/>
      <c r="Y962" s="144"/>
      <c r="Z962" s="144"/>
      <c r="AA962" s="144"/>
      <c r="AB962" s="144"/>
      <c r="AC962" s="144"/>
      <c r="AD962" s="144"/>
      <c r="AE962" s="232"/>
      <c r="AF962" s="144"/>
      <c r="AG962" s="144"/>
      <c r="AH962" s="232"/>
      <c r="AI962" s="232"/>
      <c r="AJ962" s="144"/>
      <c r="AK962" s="144"/>
      <c r="AL962" s="144"/>
      <c r="AM962" s="144"/>
      <c r="AN962" s="144"/>
      <c r="AO962" s="144"/>
      <c r="AP962" s="144"/>
      <c r="AQ962" s="144"/>
      <c r="AR962" s="144"/>
      <c r="AS962" s="144"/>
      <c r="AT962" s="144"/>
      <c r="AU962" s="144"/>
      <c r="AV962" s="144"/>
    </row>
    <row r="963" spans="3:48" x14ac:dyDescent="0.25">
      <c r="C963" s="144"/>
      <c r="D963" s="144"/>
      <c r="E963" s="144"/>
      <c r="F963" s="144"/>
      <c r="G963" s="144"/>
      <c r="H963" s="232"/>
      <c r="I963" s="144"/>
      <c r="J963" s="144"/>
      <c r="K963" s="144"/>
      <c r="L963" s="144"/>
      <c r="M963" s="144"/>
      <c r="N963" s="144"/>
      <c r="O963" s="144"/>
      <c r="P963" s="144"/>
      <c r="Q963" s="144"/>
      <c r="R963" s="144"/>
      <c r="S963" s="144"/>
      <c r="T963" s="144"/>
      <c r="U963" s="232"/>
      <c r="V963" s="232"/>
      <c r="W963" s="144"/>
      <c r="X963" s="144"/>
      <c r="Y963" s="144"/>
      <c r="Z963" s="144"/>
      <c r="AA963" s="144"/>
      <c r="AB963" s="144"/>
      <c r="AC963" s="144"/>
      <c r="AD963" s="144"/>
      <c r="AE963" s="232"/>
      <c r="AF963" s="144"/>
      <c r="AG963" s="144"/>
      <c r="AH963" s="232"/>
      <c r="AI963" s="232"/>
      <c r="AJ963" s="144"/>
      <c r="AK963" s="144"/>
      <c r="AL963" s="144"/>
      <c r="AM963" s="144"/>
      <c r="AN963" s="144"/>
      <c r="AO963" s="144"/>
      <c r="AP963" s="144"/>
      <c r="AQ963" s="144"/>
      <c r="AR963" s="144"/>
      <c r="AS963" s="144"/>
      <c r="AT963" s="144"/>
      <c r="AU963" s="144"/>
      <c r="AV963" s="144"/>
    </row>
    <row r="964" spans="3:48" x14ac:dyDescent="0.25">
      <c r="C964" s="144"/>
      <c r="D964" s="144"/>
      <c r="E964" s="144"/>
      <c r="F964" s="144"/>
      <c r="G964" s="144"/>
      <c r="H964" s="232"/>
      <c r="I964" s="144"/>
      <c r="J964" s="144"/>
      <c r="K964" s="144"/>
      <c r="L964" s="144"/>
      <c r="M964" s="144"/>
      <c r="N964" s="144"/>
      <c r="O964" s="144"/>
      <c r="P964" s="144"/>
      <c r="Q964" s="144"/>
      <c r="R964" s="144"/>
      <c r="S964" s="144"/>
      <c r="T964" s="144"/>
      <c r="U964" s="232"/>
      <c r="V964" s="232"/>
      <c r="W964" s="144"/>
      <c r="X964" s="144"/>
      <c r="Y964" s="144"/>
      <c r="Z964" s="144"/>
      <c r="AA964" s="144"/>
      <c r="AB964" s="144"/>
      <c r="AC964" s="144"/>
      <c r="AD964" s="144"/>
      <c r="AE964" s="232"/>
      <c r="AF964" s="144"/>
      <c r="AG964" s="144"/>
      <c r="AH964" s="232"/>
      <c r="AI964" s="232"/>
      <c r="AJ964" s="144"/>
      <c r="AK964" s="144"/>
      <c r="AL964" s="144"/>
      <c r="AM964" s="144"/>
      <c r="AN964" s="144"/>
      <c r="AO964" s="144"/>
      <c r="AP964" s="144"/>
      <c r="AQ964" s="144"/>
      <c r="AR964" s="144"/>
      <c r="AS964" s="144"/>
      <c r="AT964" s="144"/>
      <c r="AU964" s="144"/>
      <c r="AV964" s="144"/>
    </row>
    <row r="965" spans="3:48" x14ac:dyDescent="0.25">
      <c r="C965" s="144"/>
      <c r="D965" s="144"/>
      <c r="E965" s="144"/>
      <c r="F965" s="144"/>
      <c r="G965" s="144"/>
      <c r="H965" s="232"/>
      <c r="I965" s="144"/>
      <c r="J965" s="144"/>
      <c r="K965" s="144"/>
      <c r="L965" s="144"/>
      <c r="M965" s="144"/>
      <c r="N965" s="144"/>
      <c r="O965" s="144"/>
      <c r="P965" s="144"/>
      <c r="Q965" s="144"/>
      <c r="R965" s="144"/>
      <c r="S965" s="144"/>
      <c r="T965" s="144"/>
      <c r="U965" s="232"/>
      <c r="V965" s="232"/>
      <c r="W965" s="144"/>
      <c r="X965" s="144"/>
      <c r="Y965" s="144"/>
      <c r="Z965" s="144"/>
      <c r="AA965" s="144"/>
      <c r="AB965" s="144"/>
      <c r="AC965" s="144"/>
      <c r="AD965" s="144"/>
      <c r="AE965" s="232"/>
      <c r="AF965" s="144"/>
      <c r="AG965" s="144"/>
      <c r="AH965" s="232"/>
      <c r="AI965" s="232"/>
      <c r="AJ965" s="144"/>
      <c r="AK965" s="144"/>
      <c r="AL965" s="144"/>
      <c r="AM965" s="144"/>
      <c r="AN965" s="144"/>
      <c r="AO965" s="144"/>
      <c r="AP965" s="144"/>
      <c r="AQ965" s="144"/>
      <c r="AR965" s="144"/>
      <c r="AS965" s="144"/>
      <c r="AT965" s="144"/>
      <c r="AU965" s="144"/>
      <c r="AV965" s="144"/>
    </row>
    <row r="966" spans="3:48" x14ac:dyDescent="0.25">
      <c r="C966" s="144"/>
      <c r="D966" s="144"/>
      <c r="E966" s="144"/>
      <c r="F966" s="144"/>
      <c r="G966" s="144"/>
      <c r="H966" s="232"/>
      <c r="I966" s="144"/>
      <c r="J966" s="144"/>
      <c r="K966" s="144"/>
      <c r="L966" s="144"/>
      <c r="M966" s="144"/>
      <c r="N966" s="144"/>
      <c r="O966" s="144"/>
      <c r="P966" s="144"/>
      <c r="Q966" s="144"/>
      <c r="R966" s="144"/>
      <c r="S966" s="144"/>
      <c r="T966" s="144"/>
      <c r="U966" s="232"/>
      <c r="V966" s="232"/>
      <c r="W966" s="144"/>
      <c r="X966" s="144"/>
      <c r="Y966" s="144"/>
      <c r="Z966" s="144"/>
      <c r="AA966" s="144"/>
      <c r="AB966" s="144"/>
      <c r="AC966" s="144"/>
      <c r="AD966" s="144"/>
      <c r="AE966" s="232"/>
      <c r="AF966" s="144"/>
      <c r="AG966" s="144"/>
      <c r="AH966" s="232"/>
      <c r="AI966" s="232"/>
      <c r="AJ966" s="144"/>
      <c r="AK966" s="144"/>
      <c r="AL966" s="144"/>
      <c r="AM966" s="144"/>
      <c r="AN966" s="144"/>
      <c r="AO966" s="144"/>
      <c r="AP966" s="144"/>
      <c r="AQ966" s="144"/>
      <c r="AR966" s="144"/>
      <c r="AS966" s="144"/>
      <c r="AT966" s="144"/>
      <c r="AU966" s="144"/>
      <c r="AV966" s="144"/>
    </row>
    <row r="967" spans="3:48" x14ac:dyDescent="0.25">
      <c r="C967" s="144"/>
      <c r="D967" s="144"/>
      <c r="E967" s="144"/>
      <c r="F967" s="144"/>
      <c r="G967" s="144"/>
      <c r="H967" s="232"/>
      <c r="I967" s="144"/>
      <c r="J967" s="144"/>
      <c r="K967" s="144"/>
      <c r="L967" s="144"/>
      <c r="M967" s="144"/>
      <c r="N967" s="144"/>
      <c r="O967" s="144"/>
      <c r="P967" s="144"/>
      <c r="Q967" s="144"/>
      <c r="R967" s="144"/>
      <c r="S967" s="144"/>
      <c r="T967" s="144"/>
      <c r="U967" s="232"/>
      <c r="V967" s="232"/>
      <c r="W967" s="144"/>
      <c r="X967" s="144"/>
      <c r="Y967" s="144"/>
      <c r="Z967" s="144"/>
      <c r="AA967" s="144"/>
      <c r="AB967" s="144"/>
      <c r="AC967" s="144"/>
      <c r="AD967" s="144"/>
      <c r="AE967" s="232"/>
      <c r="AF967" s="144"/>
      <c r="AG967" s="144"/>
      <c r="AH967" s="232"/>
      <c r="AI967" s="232"/>
      <c r="AJ967" s="144"/>
      <c r="AK967" s="144"/>
      <c r="AL967" s="144"/>
      <c r="AM967" s="144"/>
      <c r="AN967" s="144"/>
      <c r="AO967" s="144"/>
      <c r="AP967" s="144"/>
      <c r="AQ967" s="144"/>
      <c r="AR967" s="144"/>
      <c r="AS967" s="144"/>
      <c r="AT967" s="144"/>
      <c r="AU967" s="144"/>
      <c r="AV967" s="144"/>
    </row>
    <row r="968" spans="3:48" x14ac:dyDescent="0.25">
      <c r="C968" s="144"/>
      <c r="D968" s="144"/>
      <c r="E968" s="144"/>
      <c r="F968" s="144"/>
      <c r="G968" s="144"/>
      <c r="H968" s="232"/>
      <c r="I968" s="144"/>
      <c r="J968" s="144"/>
      <c r="K968" s="144"/>
      <c r="L968" s="144"/>
      <c r="M968" s="144"/>
      <c r="N968" s="144"/>
      <c r="O968" s="144"/>
      <c r="P968" s="144"/>
      <c r="Q968" s="144"/>
      <c r="R968" s="144"/>
      <c r="S968" s="144"/>
      <c r="T968" s="144"/>
      <c r="U968" s="232"/>
      <c r="V968" s="232"/>
      <c r="W968" s="144"/>
      <c r="X968" s="144"/>
      <c r="Y968" s="144"/>
      <c r="Z968" s="144"/>
      <c r="AA968" s="144"/>
      <c r="AB968" s="144"/>
      <c r="AC968" s="144"/>
      <c r="AD968" s="144"/>
      <c r="AE968" s="232"/>
      <c r="AF968" s="144"/>
      <c r="AG968" s="144"/>
      <c r="AH968" s="232"/>
      <c r="AI968" s="232"/>
      <c r="AJ968" s="144"/>
      <c r="AK968" s="144"/>
      <c r="AL968" s="144"/>
      <c r="AM968" s="144"/>
      <c r="AN968" s="144"/>
      <c r="AO968" s="144"/>
      <c r="AP968" s="144"/>
      <c r="AQ968" s="144"/>
      <c r="AR968" s="144"/>
      <c r="AS968" s="144"/>
      <c r="AT968" s="144"/>
      <c r="AU968" s="144"/>
      <c r="AV968" s="144"/>
    </row>
    <row r="969" spans="3:48" x14ac:dyDescent="0.25">
      <c r="C969" s="144"/>
      <c r="D969" s="144"/>
      <c r="E969" s="144"/>
      <c r="F969" s="144"/>
      <c r="G969" s="144"/>
      <c r="H969" s="232"/>
      <c r="I969" s="144"/>
      <c r="J969" s="144"/>
      <c r="K969" s="144"/>
      <c r="L969" s="144"/>
      <c r="M969" s="144"/>
      <c r="N969" s="144"/>
      <c r="O969" s="144"/>
      <c r="P969" s="144"/>
      <c r="Q969" s="144"/>
      <c r="R969" s="144"/>
      <c r="S969" s="144"/>
      <c r="T969" s="144"/>
      <c r="U969" s="232"/>
      <c r="V969" s="232"/>
      <c r="W969" s="144"/>
      <c r="X969" s="144"/>
      <c r="Y969" s="144"/>
      <c r="Z969" s="144"/>
      <c r="AA969" s="144"/>
      <c r="AB969" s="144"/>
      <c r="AC969" s="144"/>
      <c r="AD969" s="144"/>
      <c r="AE969" s="232"/>
      <c r="AF969" s="144"/>
      <c r="AG969" s="144"/>
      <c r="AH969" s="232"/>
      <c r="AI969" s="232"/>
      <c r="AJ969" s="144"/>
      <c r="AK969" s="144"/>
      <c r="AL969" s="144"/>
      <c r="AM969" s="144"/>
      <c r="AN969" s="144"/>
      <c r="AO969" s="144"/>
      <c r="AP969" s="144"/>
      <c r="AQ969" s="144"/>
      <c r="AR969" s="144"/>
      <c r="AS969" s="144"/>
      <c r="AT969" s="144"/>
      <c r="AU969" s="144"/>
      <c r="AV969" s="144"/>
    </row>
    <row r="970" spans="3:48" x14ac:dyDescent="0.25">
      <c r="C970" s="144"/>
      <c r="D970" s="144"/>
      <c r="E970" s="144"/>
      <c r="F970" s="144"/>
      <c r="G970" s="144"/>
      <c r="H970" s="232"/>
      <c r="I970" s="144"/>
      <c r="J970" s="144"/>
      <c r="K970" s="144"/>
      <c r="L970" s="144"/>
      <c r="M970" s="144"/>
      <c r="N970" s="144"/>
      <c r="O970" s="144"/>
      <c r="P970" s="144"/>
      <c r="Q970" s="144"/>
      <c r="R970" s="144"/>
      <c r="S970" s="144"/>
      <c r="T970" s="144"/>
      <c r="U970" s="232"/>
      <c r="V970" s="232"/>
      <c r="W970" s="144"/>
      <c r="X970" s="144"/>
      <c r="Y970" s="144"/>
      <c r="Z970" s="144"/>
      <c r="AA970" s="144"/>
      <c r="AB970" s="144"/>
      <c r="AC970" s="144"/>
      <c r="AD970" s="144"/>
      <c r="AE970" s="232"/>
      <c r="AF970" s="144"/>
      <c r="AG970" s="144"/>
      <c r="AH970" s="232"/>
      <c r="AI970" s="232"/>
      <c r="AJ970" s="144"/>
      <c r="AK970" s="144"/>
      <c r="AL970" s="144"/>
      <c r="AM970" s="144"/>
      <c r="AN970" s="144"/>
      <c r="AO970" s="144"/>
      <c r="AP970" s="144"/>
      <c r="AQ970" s="144"/>
      <c r="AR970" s="144"/>
      <c r="AS970" s="144"/>
      <c r="AT970" s="144"/>
      <c r="AU970" s="144"/>
      <c r="AV970" s="144"/>
    </row>
    <row r="971" spans="3:48" x14ac:dyDescent="0.25">
      <c r="C971" s="144"/>
      <c r="D971" s="144"/>
      <c r="E971" s="144"/>
      <c r="F971" s="144"/>
      <c r="G971" s="144"/>
      <c r="H971" s="232"/>
      <c r="I971" s="144"/>
      <c r="J971" s="144"/>
      <c r="K971" s="144"/>
      <c r="L971" s="144"/>
      <c r="M971" s="144"/>
      <c r="N971" s="144"/>
      <c r="O971" s="144"/>
      <c r="P971" s="144"/>
      <c r="Q971" s="144"/>
      <c r="R971" s="144"/>
      <c r="S971" s="144"/>
      <c r="T971" s="144"/>
      <c r="U971" s="232"/>
      <c r="V971" s="232"/>
      <c r="W971" s="144"/>
      <c r="X971" s="144"/>
      <c r="Y971" s="144"/>
      <c r="Z971" s="144"/>
      <c r="AA971" s="144"/>
      <c r="AB971" s="144"/>
      <c r="AC971" s="144"/>
      <c r="AD971" s="144"/>
      <c r="AE971" s="232"/>
      <c r="AF971" s="144"/>
      <c r="AG971" s="144"/>
      <c r="AH971" s="232"/>
      <c r="AI971" s="232"/>
      <c r="AJ971" s="144"/>
      <c r="AK971" s="144"/>
      <c r="AL971" s="144"/>
      <c r="AM971" s="144"/>
      <c r="AN971" s="144"/>
      <c r="AO971" s="144"/>
      <c r="AP971" s="144"/>
      <c r="AQ971" s="144"/>
      <c r="AR971" s="144"/>
      <c r="AS971" s="144"/>
      <c r="AT971" s="144"/>
      <c r="AU971" s="144"/>
      <c r="AV971" s="144"/>
    </row>
    <row r="972" spans="3:48" x14ac:dyDescent="0.25">
      <c r="C972" s="144"/>
      <c r="D972" s="144"/>
      <c r="E972" s="144"/>
      <c r="F972" s="144"/>
      <c r="G972" s="144"/>
      <c r="H972" s="232"/>
      <c r="I972" s="144"/>
      <c r="J972" s="144"/>
      <c r="K972" s="144"/>
      <c r="L972" s="144"/>
      <c r="M972" s="144"/>
      <c r="N972" s="144"/>
      <c r="O972" s="144"/>
      <c r="P972" s="144"/>
      <c r="Q972" s="144"/>
      <c r="R972" s="144"/>
      <c r="S972" s="144"/>
      <c r="T972" s="144"/>
      <c r="U972" s="232"/>
      <c r="V972" s="232"/>
      <c r="W972" s="144"/>
      <c r="X972" s="144"/>
      <c r="Y972" s="144"/>
      <c r="Z972" s="144"/>
      <c r="AA972" s="144"/>
      <c r="AB972" s="144"/>
      <c r="AC972" s="144"/>
      <c r="AD972" s="144"/>
      <c r="AE972" s="232"/>
      <c r="AF972" s="144"/>
      <c r="AG972" s="144"/>
      <c r="AH972" s="232"/>
      <c r="AI972" s="232"/>
      <c r="AJ972" s="144"/>
      <c r="AK972" s="144"/>
      <c r="AL972" s="144"/>
      <c r="AM972" s="144"/>
      <c r="AN972" s="144"/>
      <c r="AO972" s="144"/>
      <c r="AP972" s="144"/>
      <c r="AQ972" s="144"/>
      <c r="AR972" s="144"/>
      <c r="AS972" s="144"/>
      <c r="AT972" s="144"/>
      <c r="AU972" s="144"/>
      <c r="AV972" s="144"/>
    </row>
    <row r="973" spans="3:48" x14ac:dyDescent="0.25">
      <c r="C973" s="144"/>
      <c r="D973" s="144"/>
      <c r="E973" s="144"/>
      <c r="F973" s="144"/>
      <c r="G973" s="144"/>
      <c r="H973" s="232"/>
      <c r="I973" s="144"/>
      <c r="J973" s="144"/>
      <c r="K973" s="144"/>
      <c r="L973" s="144"/>
      <c r="M973" s="144"/>
      <c r="N973" s="144"/>
      <c r="O973" s="144"/>
      <c r="P973" s="144"/>
      <c r="Q973" s="144"/>
      <c r="R973" s="144"/>
      <c r="S973" s="144"/>
      <c r="T973" s="144"/>
      <c r="U973" s="232"/>
      <c r="V973" s="232"/>
      <c r="W973" s="144"/>
      <c r="X973" s="144"/>
      <c r="Y973" s="144"/>
      <c r="Z973" s="144"/>
      <c r="AA973" s="144"/>
      <c r="AB973" s="144"/>
      <c r="AC973" s="144"/>
      <c r="AD973" s="144"/>
      <c r="AE973" s="232"/>
      <c r="AF973" s="144"/>
      <c r="AG973" s="144"/>
      <c r="AH973" s="232"/>
      <c r="AI973" s="232"/>
      <c r="AJ973" s="144"/>
      <c r="AK973" s="144"/>
      <c r="AL973" s="144"/>
      <c r="AM973" s="144"/>
      <c r="AN973" s="144"/>
      <c r="AO973" s="144"/>
      <c r="AP973" s="144"/>
      <c r="AQ973" s="144"/>
      <c r="AR973" s="144"/>
      <c r="AS973" s="144"/>
      <c r="AT973" s="144"/>
      <c r="AU973" s="144"/>
      <c r="AV973" s="144"/>
    </row>
    <row r="974" spans="3:48" x14ac:dyDescent="0.25">
      <c r="C974" s="144"/>
      <c r="D974" s="144"/>
      <c r="E974" s="144"/>
      <c r="F974" s="144"/>
      <c r="G974" s="144"/>
      <c r="H974" s="232"/>
      <c r="I974" s="144"/>
      <c r="J974" s="144"/>
      <c r="K974" s="144"/>
      <c r="L974" s="144"/>
      <c r="M974" s="144"/>
      <c r="N974" s="144"/>
      <c r="O974" s="144"/>
      <c r="P974" s="144"/>
      <c r="Q974" s="144"/>
      <c r="R974" s="144"/>
      <c r="S974" s="144"/>
      <c r="T974" s="144"/>
      <c r="U974" s="232"/>
      <c r="V974" s="232"/>
      <c r="W974" s="144"/>
      <c r="X974" s="144"/>
      <c r="Y974" s="144"/>
      <c r="Z974" s="144"/>
      <c r="AA974" s="144"/>
      <c r="AB974" s="144"/>
      <c r="AC974" s="144"/>
      <c r="AD974" s="144"/>
      <c r="AE974" s="232"/>
      <c r="AF974" s="144"/>
      <c r="AG974" s="144"/>
      <c r="AH974" s="232"/>
      <c r="AI974" s="232"/>
      <c r="AJ974" s="144"/>
      <c r="AK974" s="144"/>
      <c r="AL974" s="144"/>
      <c r="AM974" s="144"/>
      <c r="AN974" s="144"/>
      <c r="AO974" s="144"/>
      <c r="AP974" s="144"/>
      <c r="AQ974" s="144"/>
      <c r="AR974" s="144"/>
      <c r="AS974" s="144"/>
      <c r="AT974" s="144"/>
      <c r="AU974" s="144"/>
      <c r="AV974" s="144"/>
    </row>
    <row r="975" spans="3:48" x14ac:dyDescent="0.25">
      <c r="C975" s="144"/>
      <c r="D975" s="144"/>
      <c r="E975" s="144"/>
      <c r="F975" s="144"/>
      <c r="G975" s="144"/>
      <c r="H975" s="232"/>
      <c r="I975" s="144"/>
      <c r="J975" s="144"/>
      <c r="K975" s="144"/>
      <c r="L975" s="144"/>
      <c r="M975" s="144"/>
      <c r="N975" s="144"/>
      <c r="O975" s="144"/>
      <c r="P975" s="144"/>
      <c r="Q975" s="144"/>
      <c r="R975" s="144"/>
      <c r="S975" s="144"/>
      <c r="T975" s="144"/>
      <c r="U975" s="232"/>
      <c r="V975" s="232"/>
      <c r="W975" s="144"/>
      <c r="X975" s="144"/>
      <c r="Y975" s="144"/>
      <c r="Z975" s="144"/>
      <c r="AA975" s="144"/>
      <c r="AB975" s="144"/>
      <c r="AC975" s="144"/>
      <c r="AD975" s="144"/>
      <c r="AE975" s="232"/>
      <c r="AF975" s="144"/>
      <c r="AG975" s="144"/>
      <c r="AH975" s="232"/>
      <c r="AI975" s="232"/>
      <c r="AJ975" s="144"/>
      <c r="AK975" s="144"/>
      <c r="AL975" s="144"/>
      <c r="AM975" s="144"/>
      <c r="AN975" s="144"/>
      <c r="AO975" s="144"/>
      <c r="AP975" s="144"/>
      <c r="AQ975" s="144"/>
      <c r="AR975" s="144"/>
      <c r="AS975" s="144"/>
      <c r="AT975" s="144"/>
      <c r="AU975" s="144"/>
      <c r="AV975" s="144"/>
    </row>
    <row r="976" spans="3:48" x14ac:dyDescent="0.25">
      <c r="C976" s="144"/>
      <c r="D976" s="144"/>
      <c r="E976" s="144"/>
      <c r="F976" s="144"/>
      <c r="G976" s="144"/>
      <c r="H976" s="232"/>
      <c r="I976" s="144"/>
      <c r="J976" s="144"/>
      <c r="K976" s="144"/>
      <c r="L976" s="144"/>
      <c r="M976" s="144"/>
      <c r="N976" s="144"/>
      <c r="O976" s="144"/>
      <c r="P976" s="144"/>
      <c r="Q976" s="144"/>
      <c r="R976" s="144"/>
      <c r="S976" s="144"/>
      <c r="T976" s="144"/>
      <c r="U976" s="232"/>
      <c r="V976" s="232"/>
      <c r="W976" s="144"/>
      <c r="X976" s="144"/>
      <c r="Y976" s="144"/>
      <c r="Z976" s="144"/>
      <c r="AA976" s="144"/>
      <c r="AB976" s="144"/>
      <c r="AC976" s="144"/>
      <c r="AD976" s="144"/>
      <c r="AE976" s="232"/>
      <c r="AF976" s="144"/>
      <c r="AG976" s="144"/>
      <c r="AH976" s="232"/>
      <c r="AI976" s="232"/>
      <c r="AJ976" s="144"/>
      <c r="AK976" s="144"/>
      <c r="AL976" s="144"/>
      <c r="AM976" s="144"/>
      <c r="AN976" s="144"/>
      <c r="AO976" s="144"/>
      <c r="AP976" s="144"/>
      <c r="AQ976" s="144"/>
      <c r="AR976" s="144"/>
      <c r="AS976" s="144"/>
      <c r="AT976" s="144"/>
      <c r="AU976" s="144"/>
      <c r="AV976" s="144"/>
    </row>
    <row r="977" spans="3:48" x14ac:dyDescent="0.25">
      <c r="C977" s="144"/>
      <c r="D977" s="144"/>
      <c r="E977" s="144"/>
      <c r="F977" s="144"/>
      <c r="G977" s="144"/>
      <c r="H977" s="232"/>
      <c r="I977" s="144"/>
      <c r="J977" s="144"/>
      <c r="K977" s="144"/>
      <c r="L977" s="144"/>
      <c r="M977" s="144"/>
      <c r="N977" s="144"/>
      <c r="O977" s="144"/>
      <c r="P977" s="144"/>
      <c r="Q977" s="144"/>
      <c r="R977" s="144"/>
      <c r="S977" s="144"/>
      <c r="T977" s="144"/>
      <c r="U977" s="232"/>
      <c r="V977" s="232"/>
      <c r="W977" s="144"/>
      <c r="X977" s="144"/>
      <c r="Y977" s="144"/>
      <c r="Z977" s="144"/>
      <c r="AA977" s="144"/>
      <c r="AB977" s="144"/>
      <c r="AC977" s="144"/>
      <c r="AD977" s="144"/>
      <c r="AE977" s="232"/>
      <c r="AF977" s="144"/>
      <c r="AG977" s="144"/>
      <c r="AH977" s="232"/>
      <c r="AI977" s="232"/>
      <c r="AJ977" s="144"/>
      <c r="AK977" s="144"/>
      <c r="AL977" s="144"/>
      <c r="AM977" s="144"/>
      <c r="AN977" s="144"/>
      <c r="AO977" s="144"/>
      <c r="AP977" s="144"/>
      <c r="AQ977" s="144"/>
      <c r="AR977" s="144"/>
      <c r="AS977" s="144"/>
      <c r="AT977" s="144"/>
      <c r="AU977" s="144"/>
      <c r="AV977" s="144"/>
    </row>
    <row r="978" spans="3:48" x14ac:dyDescent="0.25">
      <c r="C978" s="144"/>
      <c r="D978" s="144"/>
      <c r="E978" s="144"/>
      <c r="F978" s="144"/>
      <c r="G978" s="144"/>
      <c r="H978" s="232"/>
      <c r="I978" s="144"/>
      <c r="J978" s="144"/>
      <c r="K978" s="144"/>
      <c r="L978" s="144"/>
      <c r="M978" s="144"/>
      <c r="N978" s="144"/>
      <c r="O978" s="144"/>
      <c r="P978" s="144"/>
      <c r="Q978" s="144"/>
      <c r="R978" s="144"/>
      <c r="S978" s="144"/>
      <c r="T978" s="144"/>
      <c r="U978" s="232"/>
      <c r="V978" s="232"/>
      <c r="W978" s="144"/>
      <c r="X978" s="144"/>
      <c r="Y978" s="144"/>
      <c r="Z978" s="144"/>
      <c r="AA978" s="144"/>
      <c r="AB978" s="144"/>
      <c r="AC978" s="144"/>
      <c r="AD978" s="144"/>
      <c r="AE978" s="232"/>
      <c r="AF978" s="144"/>
      <c r="AG978" s="144"/>
      <c r="AH978" s="232"/>
      <c r="AI978" s="232"/>
      <c r="AJ978" s="144"/>
      <c r="AK978" s="144"/>
      <c r="AL978" s="144"/>
      <c r="AM978" s="144"/>
      <c r="AN978" s="144"/>
      <c r="AO978" s="144"/>
      <c r="AP978" s="144"/>
      <c r="AQ978" s="144"/>
      <c r="AR978" s="144"/>
      <c r="AS978" s="144"/>
      <c r="AT978" s="144"/>
      <c r="AU978" s="144"/>
      <c r="AV978" s="144"/>
    </row>
    <row r="979" spans="3:48" x14ac:dyDescent="0.25">
      <c r="C979" s="144"/>
      <c r="D979" s="144"/>
      <c r="E979" s="144"/>
      <c r="F979" s="144"/>
      <c r="G979" s="144"/>
      <c r="H979" s="232"/>
      <c r="I979" s="144"/>
      <c r="J979" s="144"/>
      <c r="K979" s="144"/>
      <c r="L979" s="144"/>
      <c r="M979" s="144"/>
      <c r="N979" s="144"/>
      <c r="O979" s="144"/>
      <c r="P979" s="144"/>
      <c r="Q979" s="144"/>
      <c r="R979" s="144"/>
      <c r="S979" s="144"/>
      <c r="T979" s="144"/>
      <c r="U979" s="232"/>
      <c r="V979" s="232"/>
      <c r="W979" s="144"/>
      <c r="X979" s="144"/>
      <c r="Y979" s="144"/>
      <c r="Z979" s="144"/>
      <c r="AA979" s="144"/>
      <c r="AB979" s="144"/>
      <c r="AC979" s="144"/>
      <c r="AD979" s="144"/>
      <c r="AE979" s="232"/>
      <c r="AF979" s="144"/>
      <c r="AG979" s="144"/>
      <c r="AH979" s="232"/>
      <c r="AI979" s="232"/>
      <c r="AJ979" s="144"/>
      <c r="AK979" s="144"/>
      <c r="AL979" s="144"/>
      <c r="AM979" s="144"/>
      <c r="AN979" s="144"/>
      <c r="AO979" s="144"/>
      <c r="AP979" s="144"/>
      <c r="AQ979" s="144"/>
      <c r="AR979" s="144"/>
      <c r="AS979" s="144"/>
      <c r="AT979" s="144"/>
      <c r="AU979" s="144"/>
      <c r="AV979" s="144"/>
    </row>
    <row r="980" spans="3:48" x14ac:dyDescent="0.25">
      <c r="C980" s="144"/>
      <c r="D980" s="144"/>
      <c r="E980" s="144"/>
      <c r="F980" s="144"/>
      <c r="G980" s="144"/>
      <c r="H980" s="232"/>
      <c r="I980" s="144"/>
      <c r="J980" s="144"/>
      <c r="K980" s="144"/>
      <c r="L980" s="144"/>
      <c r="M980" s="144"/>
      <c r="N980" s="144"/>
      <c r="O980" s="144"/>
      <c r="P980" s="144"/>
      <c r="Q980" s="144"/>
      <c r="R980" s="144"/>
      <c r="S980" s="144"/>
      <c r="T980" s="144"/>
      <c r="U980" s="232"/>
      <c r="V980" s="232"/>
      <c r="W980" s="144"/>
      <c r="X980" s="144"/>
      <c r="Y980" s="144"/>
      <c r="Z980" s="144"/>
      <c r="AA980" s="144"/>
      <c r="AB980" s="144"/>
      <c r="AC980" s="144"/>
      <c r="AD980" s="144"/>
      <c r="AE980" s="232"/>
      <c r="AF980" s="144"/>
      <c r="AG980" s="144"/>
      <c r="AH980" s="232"/>
      <c r="AI980" s="232"/>
      <c r="AJ980" s="144"/>
      <c r="AK980" s="144"/>
      <c r="AL980" s="144"/>
      <c r="AM980" s="144"/>
      <c r="AN980" s="144"/>
      <c r="AO980" s="144"/>
      <c r="AP980" s="144"/>
      <c r="AQ980" s="144"/>
      <c r="AR980" s="144"/>
      <c r="AS980" s="144"/>
      <c r="AT980" s="144"/>
      <c r="AU980" s="144"/>
      <c r="AV980" s="144"/>
    </row>
    <row r="981" spans="3:48" x14ac:dyDescent="0.25">
      <c r="C981" s="144"/>
      <c r="D981" s="144"/>
      <c r="E981" s="144"/>
      <c r="F981" s="144"/>
      <c r="G981" s="144"/>
      <c r="H981" s="232"/>
      <c r="I981" s="144"/>
      <c r="J981" s="144"/>
      <c r="K981" s="144"/>
      <c r="L981" s="144"/>
      <c r="M981" s="144"/>
      <c r="N981" s="144"/>
      <c r="O981" s="144"/>
      <c r="P981" s="144"/>
      <c r="Q981" s="144"/>
      <c r="R981" s="144"/>
      <c r="S981" s="144"/>
      <c r="T981" s="144"/>
      <c r="U981" s="232"/>
      <c r="V981" s="232"/>
      <c r="W981" s="144"/>
      <c r="X981" s="144"/>
      <c r="Y981" s="144"/>
      <c r="Z981" s="144"/>
      <c r="AA981" s="144"/>
      <c r="AB981" s="144"/>
      <c r="AC981" s="144"/>
      <c r="AD981" s="144"/>
      <c r="AE981" s="232"/>
      <c r="AF981" s="144"/>
      <c r="AG981" s="144"/>
      <c r="AH981" s="232"/>
      <c r="AI981" s="232"/>
      <c r="AJ981" s="144"/>
      <c r="AK981" s="144"/>
      <c r="AL981" s="144"/>
      <c r="AM981" s="144"/>
      <c r="AN981" s="144"/>
      <c r="AO981" s="144"/>
      <c r="AP981" s="144"/>
      <c r="AQ981" s="144"/>
      <c r="AR981" s="144"/>
      <c r="AS981" s="144"/>
      <c r="AT981" s="144"/>
      <c r="AU981" s="144"/>
      <c r="AV981" s="144"/>
    </row>
    <row r="982" spans="3:48" x14ac:dyDescent="0.25">
      <c r="C982" s="144"/>
      <c r="D982" s="144"/>
      <c r="E982" s="144"/>
      <c r="F982" s="144"/>
      <c r="G982" s="144"/>
      <c r="H982" s="232"/>
      <c r="I982" s="144"/>
      <c r="J982" s="144"/>
      <c r="K982" s="144"/>
      <c r="L982" s="144"/>
      <c r="M982" s="144"/>
      <c r="N982" s="144"/>
      <c r="O982" s="144"/>
      <c r="P982" s="144"/>
      <c r="Q982" s="144"/>
      <c r="R982" s="144"/>
      <c r="S982" s="144"/>
      <c r="T982" s="144"/>
      <c r="U982" s="232"/>
      <c r="V982" s="232"/>
      <c r="W982" s="144"/>
      <c r="X982" s="144"/>
      <c r="Y982" s="144"/>
      <c r="Z982" s="144"/>
      <c r="AA982" s="144"/>
      <c r="AB982" s="144"/>
      <c r="AC982" s="144"/>
      <c r="AD982" s="144"/>
      <c r="AE982" s="232"/>
      <c r="AF982" s="144"/>
      <c r="AG982" s="144"/>
      <c r="AH982" s="232"/>
      <c r="AI982" s="232"/>
      <c r="AJ982" s="144"/>
      <c r="AK982" s="144"/>
      <c r="AL982" s="144"/>
      <c r="AM982" s="144"/>
      <c r="AN982" s="144"/>
      <c r="AO982" s="144"/>
      <c r="AP982" s="144"/>
      <c r="AQ982" s="144"/>
      <c r="AR982" s="144"/>
      <c r="AS982" s="144"/>
      <c r="AT982" s="144"/>
      <c r="AU982" s="144"/>
      <c r="AV982" s="144"/>
    </row>
    <row r="983" spans="3:48" x14ac:dyDescent="0.25">
      <c r="C983" s="144"/>
      <c r="D983" s="144"/>
      <c r="E983" s="144"/>
      <c r="F983" s="144"/>
      <c r="G983" s="144"/>
      <c r="H983" s="232"/>
      <c r="I983" s="144"/>
      <c r="J983" s="144"/>
      <c r="K983" s="144"/>
      <c r="L983" s="144"/>
      <c r="M983" s="144"/>
      <c r="N983" s="144"/>
      <c r="O983" s="144"/>
      <c r="P983" s="144"/>
      <c r="Q983" s="144"/>
      <c r="R983" s="144"/>
      <c r="S983" s="144"/>
      <c r="T983" s="144"/>
      <c r="U983" s="232"/>
      <c r="V983" s="232"/>
      <c r="W983" s="144"/>
      <c r="X983" s="144"/>
      <c r="Y983" s="144"/>
      <c r="Z983" s="144"/>
      <c r="AA983" s="144"/>
      <c r="AB983" s="144"/>
      <c r="AC983" s="144"/>
      <c r="AD983" s="144"/>
      <c r="AE983" s="232"/>
      <c r="AF983" s="144"/>
      <c r="AG983" s="144"/>
      <c r="AH983" s="232"/>
      <c r="AI983" s="232"/>
      <c r="AJ983" s="144"/>
      <c r="AK983" s="144"/>
      <c r="AL983" s="144"/>
      <c r="AM983" s="144"/>
      <c r="AN983" s="144"/>
      <c r="AO983" s="144"/>
      <c r="AP983" s="144"/>
      <c r="AQ983" s="144"/>
      <c r="AR983" s="144"/>
      <c r="AS983" s="144"/>
      <c r="AT983" s="144"/>
      <c r="AU983" s="144"/>
      <c r="AV983" s="144"/>
    </row>
    <row r="984" spans="3:48" x14ac:dyDescent="0.25">
      <c r="C984" s="144"/>
      <c r="D984" s="144"/>
      <c r="E984" s="144"/>
      <c r="F984" s="144"/>
      <c r="G984" s="144"/>
      <c r="H984" s="232"/>
      <c r="I984" s="144"/>
      <c r="J984" s="144"/>
      <c r="K984" s="144"/>
      <c r="L984" s="144"/>
      <c r="M984" s="144"/>
      <c r="N984" s="144"/>
      <c r="O984" s="144"/>
      <c r="P984" s="144"/>
      <c r="Q984" s="144"/>
      <c r="R984" s="144"/>
      <c r="S984" s="144"/>
      <c r="T984" s="144"/>
      <c r="U984" s="232"/>
      <c r="V984" s="232"/>
      <c r="W984" s="144"/>
      <c r="X984" s="144"/>
      <c r="Y984" s="144"/>
      <c r="Z984" s="144"/>
      <c r="AA984" s="144"/>
      <c r="AB984" s="144"/>
      <c r="AC984" s="144"/>
      <c r="AD984" s="144"/>
      <c r="AE984" s="232"/>
      <c r="AF984" s="144"/>
      <c r="AG984" s="144"/>
      <c r="AH984" s="232"/>
      <c r="AI984" s="232"/>
      <c r="AJ984" s="144"/>
      <c r="AK984" s="144"/>
      <c r="AL984" s="144"/>
      <c r="AM984" s="144"/>
      <c r="AN984" s="144"/>
      <c r="AO984" s="144"/>
      <c r="AP984" s="144"/>
      <c r="AQ984" s="144"/>
      <c r="AR984" s="144"/>
      <c r="AS984" s="144"/>
      <c r="AT984" s="144"/>
      <c r="AU984" s="144"/>
      <c r="AV984" s="144"/>
    </row>
    <row r="985" spans="3:48" x14ac:dyDescent="0.25">
      <c r="C985" s="144"/>
      <c r="D985" s="144"/>
      <c r="E985" s="144"/>
      <c r="F985" s="144"/>
      <c r="G985" s="144"/>
      <c r="H985" s="232"/>
      <c r="I985" s="144"/>
      <c r="J985" s="144"/>
      <c r="K985" s="144"/>
      <c r="L985" s="144"/>
      <c r="M985" s="144"/>
      <c r="N985" s="144"/>
      <c r="O985" s="144"/>
      <c r="P985" s="144"/>
      <c r="Q985" s="144"/>
      <c r="R985" s="144"/>
      <c r="S985" s="144"/>
      <c r="T985" s="144"/>
      <c r="U985" s="232"/>
      <c r="V985" s="232"/>
      <c r="W985" s="144"/>
      <c r="X985" s="144"/>
      <c r="Y985" s="144"/>
      <c r="Z985" s="144"/>
      <c r="AA985" s="144"/>
      <c r="AB985" s="144"/>
      <c r="AC985" s="144"/>
      <c r="AD985" s="144"/>
      <c r="AE985" s="232"/>
      <c r="AF985" s="144"/>
      <c r="AG985" s="144"/>
      <c r="AH985" s="232"/>
      <c r="AI985" s="232"/>
      <c r="AJ985" s="144"/>
      <c r="AK985" s="144"/>
      <c r="AL985" s="144"/>
      <c r="AM985" s="144"/>
      <c r="AN985" s="144"/>
      <c r="AO985" s="144"/>
      <c r="AP985" s="144"/>
      <c r="AQ985" s="144"/>
      <c r="AR985" s="144"/>
      <c r="AS985" s="144"/>
      <c r="AT985" s="144"/>
      <c r="AU985" s="144"/>
      <c r="AV985" s="144"/>
    </row>
    <row r="986" spans="3:48" x14ac:dyDescent="0.25">
      <c r="C986" s="144"/>
      <c r="D986" s="144"/>
      <c r="E986" s="144"/>
      <c r="F986" s="144"/>
      <c r="G986" s="144"/>
      <c r="H986" s="232"/>
      <c r="I986" s="144"/>
      <c r="J986" s="144"/>
      <c r="K986" s="144"/>
      <c r="L986" s="144"/>
      <c r="M986" s="144"/>
      <c r="N986" s="144"/>
      <c r="O986" s="144"/>
      <c r="P986" s="144"/>
      <c r="Q986" s="144"/>
      <c r="R986" s="144"/>
      <c r="S986" s="144"/>
      <c r="T986" s="144"/>
      <c r="U986" s="232"/>
      <c r="V986" s="232"/>
      <c r="W986" s="144"/>
      <c r="X986" s="144"/>
      <c r="Y986" s="144"/>
      <c r="Z986" s="144"/>
      <c r="AA986" s="144"/>
      <c r="AB986" s="144"/>
      <c r="AC986" s="144"/>
      <c r="AD986" s="144"/>
      <c r="AE986" s="232"/>
      <c r="AF986" s="144"/>
      <c r="AG986" s="144"/>
      <c r="AH986" s="232"/>
      <c r="AI986" s="232"/>
      <c r="AJ986" s="144"/>
      <c r="AK986" s="144"/>
      <c r="AL986" s="144"/>
      <c r="AM986" s="144"/>
      <c r="AN986" s="144"/>
      <c r="AO986" s="144"/>
      <c r="AP986" s="144"/>
      <c r="AQ986" s="144"/>
      <c r="AR986" s="144"/>
      <c r="AS986" s="144"/>
      <c r="AT986" s="144"/>
      <c r="AU986" s="144"/>
      <c r="AV986" s="144"/>
    </row>
    <row r="987" spans="3:48" x14ac:dyDescent="0.25">
      <c r="C987" s="144"/>
      <c r="D987" s="144"/>
      <c r="E987" s="144"/>
      <c r="F987" s="144"/>
      <c r="G987" s="144"/>
      <c r="H987" s="232"/>
      <c r="I987" s="144"/>
      <c r="J987" s="144"/>
      <c r="K987" s="144"/>
      <c r="L987" s="144"/>
      <c r="M987" s="144"/>
      <c r="N987" s="144"/>
      <c r="O987" s="144"/>
      <c r="P987" s="144"/>
      <c r="Q987" s="144"/>
      <c r="R987" s="144"/>
      <c r="S987" s="144"/>
      <c r="T987" s="144"/>
      <c r="U987" s="232"/>
      <c r="V987" s="232"/>
      <c r="W987" s="144"/>
      <c r="X987" s="144"/>
      <c r="Y987" s="144"/>
      <c r="Z987" s="144"/>
      <c r="AA987" s="144"/>
      <c r="AB987" s="144"/>
      <c r="AC987" s="144"/>
      <c r="AD987" s="144"/>
      <c r="AE987" s="232"/>
      <c r="AF987" s="144"/>
      <c r="AG987" s="144"/>
      <c r="AH987" s="232"/>
      <c r="AI987" s="232"/>
      <c r="AJ987" s="144"/>
      <c r="AK987" s="144"/>
      <c r="AL987" s="144"/>
      <c r="AM987" s="144"/>
      <c r="AN987" s="144"/>
      <c r="AO987" s="144"/>
      <c r="AP987" s="144"/>
      <c r="AQ987" s="144"/>
      <c r="AR987" s="144"/>
      <c r="AS987" s="144"/>
      <c r="AT987" s="144"/>
      <c r="AU987" s="144"/>
      <c r="AV987" s="144"/>
    </row>
    <row r="988" spans="3:48" x14ac:dyDescent="0.25">
      <c r="C988" s="144"/>
      <c r="D988" s="144"/>
      <c r="E988" s="144"/>
      <c r="F988" s="144"/>
      <c r="G988" s="144"/>
      <c r="H988" s="232"/>
      <c r="I988" s="144"/>
      <c r="J988" s="144"/>
      <c r="K988" s="144"/>
      <c r="L988" s="144"/>
      <c r="M988" s="144"/>
      <c r="N988" s="144"/>
      <c r="O988" s="144"/>
      <c r="P988" s="144"/>
      <c r="Q988" s="144"/>
      <c r="R988" s="144"/>
      <c r="S988" s="144"/>
      <c r="T988" s="144"/>
      <c r="U988" s="232"/>
      <c r="V988" s="232"/>
      <c r="W988" s="144"/>
      <c r="X988" s="144"/>
      <c r="Y988" s="144"/>
      <c r="Z988" s="144"/>
      <c r="AA988" s="144"/>
      <c r="AB988" s="144"/>
      <c r="AC988" s="144"/>
      <c r="AD988" s="144"/>
      <c r="AE988" s="232"/>
      <c r="AF988" s="144"/>
      <c r="AG988" s="144"/>
      <c r="AH988" s="232"/>
      <c r="AI988" s="232"/>
      <c r="AJ988" s="144"/>
      <c r="AK988" s="144"/>
      <c r="AL988" s="144"/>
      <c r="AM988" s="144"/>
      <c r="AN988" s="144"/>
      <c r="AO988" s="144"/>
      <c r="AP988" s="144"/>
      <c r="AQ988" s="144"/>
      <c r="AR988" s="144"/>
      <c r="AS988" s="144"/>
      <c r="AT988" s="144"/>
      <c r="AU988" s="144"/>
      <c r="AV988" s="144"/>
    </row>
    <row r="989" spans="3:48" x14ac:dyDescent="0.25">
      <c r="C989" s="144"/>
      <c r="D989" s="144"/>
      <c r="E989" s="144"/>
      <c r="F989" s="144"/>
      <c r="G989" s="144"/>
      <c r="H989" s="232"/>
      <c r="I989" s="144"/>
      <c r="J989" s="144"/>
      <c r="K989" s="144"/>
      <c r="L989" s="144"/>
      <c r="M989" s="144"/>
      <c r="N989" s="144"/>
      <c r="O989" s="144"/>
      <c r="P989" s="144"/>
      <c r="Q989" s="144"/>
      <c r="R989" s="144"/>
      <c r="S989" s="144"/>
      <c r="T989" s="144"/>
      <c r="U989" s="232"/>
      <c r="V989" s="232"/>
      <c r="W989" s="144"/>
      <c r="X989" s="144"/>
      <c r="Y989" s="144"/>
      <c r="Z989" s="144"/>
      <c r="AA989" s="144"/>
      <c r="AB989" s="144"/>
      <c r="AC989" s="144"/>
      <c r="AD989" s="144"/>
      <c r="AE989" s="232"/>
      <c r="AF989" s="144"/>
      <c r="AG989" s="144"/>
      <c r="AH989" s="232"/>
      <c r="AI989" s="232"/>
      <c r="AJ989" s="144"/>
      <c r="AK989" s="144"/>
      <c r="AL989" s="144"/>
      <c r="AM989" s="144"/>
      <c r="AN989" s="144"/>
      <c r="AO989" s="144"/>
      <c r="AP989" s="144"/>
      <c r="AQ989" s="144"/>
      <c r="AR989" s="144"/>
      <c r="AS989" s="144"/>
      <c r="AT989" s="144"/>
      <c r="AU989" s="144"/>
      <c r="AV989" s="144"/>
    </row>
    <row r="990" spans="3:48" x14ac:dyDescent="0.25">
      <c r="C990" s="144"/>
      <c r="D990" s="144"/>
      <c r="E990" s="144"/>
      <c r="F990" s="144"/>
      <c r="G990" s="144"/>
      <c r="H990" s="232"/>
      <c r="I990" s="144"/>
      <c r="J990" s="144"/>
      <c r="K990" s="144"/>
      <c r="L990" s="144"/>
      <c r="M990" s="144"/>
      <c r="N990" s="144"/>
      <c r="O990" s="144"/>
      <c r="P990" s="144"/>
      <c r="Q990" s="144"/>
      <c r="R990" s="144"/>
      <c r="S990" s="144"/>
      <c r="T990" s="144"/>
      <c r="U990" s="232"/>
      <c r="V990" s="232"/>
      <c r="W990" s="144"/>
      <c r="X990" s="144"/>
      <c r="Y990" s="144"/>
      <c r="Z990" s="144"/>
      <c r="AA990" s="144"/>
      <c r="AB990" s="144"/>
      <c r="AC990" s="144"/>
      <c r="AD990" s="144"/>
      <c r="AE990" s="232"/>
      <c r="AF990" s="144"/>
      <c r="AG990" s="144"/>
      <c r="AH990" s="232"/>
      <c r="AI990" s="232"/>
      <c r="AJ990" s="144"/>
      <c r="AK990" s="144"/>
      <c r="AL990" s="144"/>
      <c r="AM990" s="144"/>
      <c r="AN990" s="144"/>
      <c r="AO990" s="144"/>
      <c r="AP990" s="144"/>
      <c r="AQ990" s="144"/>
      <c r="AR990" s="144"/>
      <c r="AS990" s="144"/>
      <c r="AT990" s="144"/>
      <c r="AU990" s="144"/>
      <c r="AV990" s="144"/>
    </row>
    <row r="991" spans="3:48" x14ac:dyDescent="0.25">
      <c r="C991" s="144"/>
      <c r="D991" s="144"/>
      <c r="E991" s="144"/>
      <c r="F991" s="144"/>
      <c r="G991" s="144"/>
      <c r="H991" s="232"/>
      <c r="I991" s="144"/>
      <c r="J991" s="144"/>
      <c r="K991" s="144"/>
      <c r="L991" s="144"/>
      <c r="M991" s="144"/>
      <c r="N991" s="144"/>
      <c r="O991" s="144"/>
      <c r="P991" s="144"/>
      <c r="Q991" s="144"/>
      <c r="R991" s="144"/>
      <c r="S991" s="144"/>
      <c r="T991" s="144"/>
      <c r="U991" s="232"/>
      <c r="V991" s="232"/>
      <c r="W991" s="144"/>
      <c r="X991" s="144"/>
      <c r="Y991" s="144"/>
      <c r="Z991" s="144"/>
      <c r="AA991" s="144"/>
      <c r="AB991" s="144"/>
      <c r="AC991" s="144"/>
      <c r="AD991" s="144"/>
      <c r="AE991" s="232"/>
      <c r="AF991" s="144"/>
      <c r="AG991" s="144"/>
      <c r="AH991" s="232"/>
      <c r="AI991" s="232"/>
      <c r="AJ991" s="144"/>
      <c r="AK991" s="144"/>
      <c r="AL991" s="144"/>
      <c r="AM991" s="144"/>
      <c r="AN991" s="144"/>
      <c r="AO991" s="144"/>
      <c r="AP991" s="144"/>
      <c r="AQ991" s="144"/>
      <c r="AR991" s="144"/>
      <c r="AS991" s="144"/>
      <c r="AT991" s="144"/>
      <c r="AU991" s="144"/>
      <c r="AV991" s="144"/>
    </row>
    <row r="992" spans="3:48" x14ac:dyDescent="0.25">
      <c r="C992" s="144"/>
      <c r="D992" s="144"/>
      <c r="E992" s="144"/>
      <c r="F992" s="144"/>
      <c r="G992" s="144"/>
      <c r="H992" s="232"/>
      <c r="I992" s="144"/>
      <c r="J992" s="144"/>
      <c r="K992" s="144"/>
      <c r="L992" s="144"/>
      <c r="M992" s="144"/>
      <c r="N992" s="144"/>
      <c r="O992" s="144"/>
      <c r="P992" s="144"/>
      <c r="Q992" s="144"/>
      <c r="R992" s="144"/>
      <c r="S992" s="144"/>
      <c r="T992" s="144"/>
      <c r="U992" s="232"/>
      <c r="V992" s="232"/>
      <c r="W992" s="144"/>
      <c r="X992" s="144"/>
      <c r="Y992" s="144"/>
      <c r="Z992" s="144"/>
      <c r="AA992" s="144"/>
      <c r="AB992" s="144"/>
      <c r="AC992" s="144"/>
      <c r="AD992" s="144"/>
      <c r="AE992" s="232"/>
      <c r="AF992" s="144"/>
      <c r="AG992" s="144"/>
      <c r="AH992" s="232"/>
      <c r="AI992" s="232"/>
      <c r="AJ992" s="144"/>
      <c r="AK992" s="144"/>
      <c r="AL992" s="144"/>
      <c r="AM992" s="144"/>
      <c r="AN992" s="144"/>
      <c r="AO992" s="144"/>
      <c r="AP992" s="144"/>
      <c r="AQ992" s="144"/>
      <c r="AR992" s="144"/>
      <c r="AS992" s="144"/>
      <c r="AT992" s="144"/>
      <c r="AU992" s="144"/>
      <c r="AV992" s="144"/>
    </row>
    <row r="993" spans="3:48" x14ac:dyDescent="0.25">
      <c r="C993" s="144"/>
      <c r="D993" s="144"/>
      <c r="E993" s="144"/>
      <c r="F993" s="144"/>
      <c r="G993" s="144"/>
      <c r="H993" s="232"/>
      <c r="I993" s="144"/>
      <c r="J993" s="144"/>
      <c r="K993" s="144"/>
      <c r="L993" s="144"/>
      <c r="M993" s="144"/>
      <c r="N993" s="144"/>
      <c r="O993" s="144"/>
      <c r="P993" s="144"/>
      <c r="Q993" s="144"/>
      <c r="R993" s="144"/>
      <c r="S993" s="144"/>
      <c r="T993" s="144"/>
      <c r="U993" s="232"/>
      <c r="V993" s="232"/>
      <c r="W993" s="144"/>
      <c r="X993" s="144"/>
      <c r="Y993" s="144"/>
      <c r="Z993" s="144"/>
      <c r="AA993" s="144"/>
      <c r="AB993" s="144"/>
      <c r="AC993" s="144"/>
      <c r="AD993" s="144"/>
      <c r="AE993" s="232"/>
      <c r="AF993" s="144"/>
      <c r="AG993" s="144"/>
      <c r="AH993" s="232"/>
      <c r="AI993" s="232"/>
      <c r="AJ993" s="144"/>
      <c r="AK993" s="144"/>
      <c r="AL993" s="144"/>
      <c r="AM993" s="144"/>
      <c r="AN993" s="144"/>
      <c r="AO993" s="144"/>
      <c r="AP993" s="144"/>
      <c r="AQ993" s="144"/>
      <c r="AR993" s="144"/>
      <c r="AS993" s="144"/>
      <c r="AT993" s="144"/>
      <c r="AU993" s="144"/>
      <c r="AV993" s="144"/>
    </row>
    <row r="994" spans="3:48" x14ac:dyDescent="0.25">
      <c r="C994" s="144"/>
      <c r="D994" s="144"/>
      <c r="E994" s="144"/>
      <c r="F994" s="144"/>
      <c r="G994" s="144"/>
      <c r="H994" s="232"/>
      <c r="I994" s="144"/>
      <c r="J994" s="144"/>
      <c r="K994" s="144"/>
      <c r="L994" s="144"/>
      <c r="M994" s="144"/>
      <c r="N994" s="144"/>
      <c r="O994" s="144"/>
      <c r="P994" s="144"/>
      <c r="Q994" s="144"/>
      <c r="R994" s="144"/>
      <c r="S994" s="144"/>
      <c r="T994" s="144"/>
      <c r="U994" s="232"/>
      <c r="V994" s="232"/>
      <c r="W994" s="144"/>
      <c r="X994" s="144"/>
      <c r="Y994" s="144"/>
      <c r="Z994" s="144"/>
      <c r="AA994" s="144"/>
      <c r="AB994" s="144"/>
      <c r="AC994" s="144"/>
      <c r="AD994" s="144"/>
      <c r="AE994" s="232"/>
      <c r="AF994" s="144"/>
      <c r="AG994" s="144"/>
      <c r="AH994" s="232"/>
      <c r="AI994" s="232"/>
      <c r="AJ994" s="144"/>
      <c r="AK994" s="144"/>
      <c r="AL994" s="144"/>
      <c r="AM994" s="144"/>
      <c r="AN994" s="144"/>
      <c r="AO994" s="144"/>
      <c r="AP994" s="144"/>
      <c r="AQ994" s="144"/>
      <c r="AR994" s="144"/>
      <c r="AS994" s="144"/>
      <c r="AT994" s="144"/>
      <c r="AU994" s="144"/>
      <c r="AV994" s="144"/>
    </row>
    <row r="995" spans="3:48" x14ac:dyDescent="0.25">
      <c r="C995" s="144"/>
      <c r="D995" s="144"/>
      <c r="E995" s="144"/>
      <c r="F995" s="144"/>
      <c r="G995" s="144"/>
      <c r="H995" s="232"/>
      <c r="I995" s="144"/>
      <c r="J995" s="144"/>
      <c r="K995" s="144"/>
      <c r="L995" s="144"/>
      <c r="M995" s="144"/>
      <c r="N995" s="144"/>
      <c r="O995" s="144"/>
      <c r="P995" s="144"/>
      <c r="Q995" s="144"/>
      <c r="R995" s="144"/>
      <c r="S995" s="144"/>
      <c r="T995" s="144"/>
      <c r="U995" s="232"/>
      <c r="V995" s="232"/>
      <c r="W995" s="144"/>
      <c r="X995" s="144"/>
      <c r="Y995" s="144"/>
      <c r="Z995" s="144"/>
      <c r="AA995" s="144"/>
      <c r="AB995" s="144"/>
      <c r="AC995" s="144"/>
      <c r="AD995" s="144"/>
      <c r="AE995" s="232"/>
      <c r="AF995" s="144"/>
      <c r="AG995" s="144"/>
      <c r="AH995" s="232"/>
      <c r="AI995" s="232"/>
      <c r="AJ995" s="144"/>
      <c r="AK995" s="144"/>
      <c r="AL995" s="144"/>
      <c r="AM995" s="144"/>
      <c r="AN995" s="144"/>
      <c r="AO995" s="144"/>
      <c r="AP995" s="144"/>
      <c r="AQ995" s="144"/>
      <c r="AR995" s="144"/>
      <c r="AS995" s="144"/>
      <c r="AT995" s="144"/>
      <c r="AU995" s="144"/>
      <c r="AV995" s="144"/>
    </row>
    <row r="996" spans="3:48" x14ac:dyDescent="0.25">
      <c r="C996" s="144"/>
      <c r="D996" s="144"/>
      <c r="E996" s="144"/>
      <c r="F996" s="144"/>
      <c r="G996" s="144"/>
      <c r="H996" s="232"/>
      <c r="I996" s="144"/>
      <c r="J996" s="144"/>
      <c r="K996" s="144"/>
      <c r="L996" s="144"/>
      <c r="M996" s="144"/>
      <c r="N996" s="144"/>
      <c r="O996" s="144"/>
      <c r="P996" s="144"/>
      <c r="Q996" s="144"/>
      <c r="R996" s="144"/>
      <c r="S996" s="144"/>
      <c r="T996" s="144"/>
      <c r="U996" s="232"/>
      <c r="V996" s="232"/>
      <c r="W996" s="144"/>
      <c r="X996" s="144"/>
      <c r="Y996" s="144"/>
      <c r="Z996" s="144"/>
      <c r="AA996" s="144"/>
      <c r="AB996" s="144"/>
      <c r="AC996" s="144"/>
      <c r="AD996" s="144"/>
      <c r="AE996" s="232"/>
      <c r="AF996" s="144"/>
      <c r="AG996" s="144"/>
      <c r="AH996" s="232"/>
      <c r="AI996" s="232"/>
      <c r="AJ996" s="144"/>
      <c r="AK996" s="144"/>
      <c r="AL996" s="144"/>
      <c r="AM996" s="144"/>
      <c r="AN996" s="144"/>
      <c r="AO996" s="144"/>
      <c r="AP996" s="144"/>
      <c r="AQ996" s="144"/>
      <c r="AR996" s="144"/>
      <c r="AS996" s="144"/>
      <c r="AT996" s="144"/>
      <c r="AU996" s="144"/>
      <c r="AV996" s="144"/>
    </row>
    <row r="997" spans="3:48" x14ac:dyDescent="0.25">
      <c r="C997" s="144"/>
      <c r="D997" s="144"/>
      <c r="E997" s="144"/>
      <c r="F997" s="144"/>
      <c r="G997" s="144"/>
      <c r="H997" s="232"/>
      <c r="I997" s="144"/>
      <c r="J997" s="144"/>
      <c r="K997" s="144"/>
      <c r="L997" s="144"/>
      <c r="M997" s="144"/>
      <c r="N997" s="144"/>
      <c r="O997" s="144"/>
      <c r="P997" s="144"/>
      <c r="Q997" s="144"/>
      <c r="R997" s="144"/>
      <c r="S997" s="144"/>
      <c r="T997" s="144"/>
      <c r="U997" s="232"/>
      <c r="V997" s="232"/>
      <c r="W997" s="144"/>
      <c r="X997" s="144"/>
      <c r="Y997" s="144"/>
      <c r="Z997" s="144"/>
      <c r="AA997" s="144"/>
      <c r="AB997" s="144"/>
      <c r="AC997" s="144"/>
      <c r="AD997" s="144"/>
      <c r="AE997" s="232"/>
      <c r="AF997" s="144"/>
      <c r="AG997" s="144"/>
      <c r="AH997" s="232"/>
      <c r="AI997" s="232"/>
      <c r="AJ997" s="144"/>
      <c r="AK997" s="144"/>
      <c r="AL997" s="144"/>
      <c r="AM997" s="144"/>
      <c r="AN997" s="144"/>
      <c r="AO997" s="144"/>
      <c r="AP997" s="144"/>
      <c r="AQ997" s="144"/>
      <c r="AR997" s="144"/>
      <c r="AS997" s="144"/>
      <c r="AT997" s="144"/>
      <c r="AU997" s="144"/>
      <c r="AV997" s="144"/>
    </row>
    <row r="998" spans="3:48" x14ac:dyDescent="0.25">
      <c r="C998" s="144"/>
      <c r="D998" s="144"/>
      <c r="E998" s="144"/>
      <c r="F998" s="144"/>
      <c r="G998" s="144"/>
      <c r="H998" s="232"/>
      <c r="I998" s="144"/>
      <c r="J998" s="144"/>
      <c r="K998" s="144"/>
      <c r="L998" s="144"/>
      <c r="M998" s="144"/>
      <c r="N998" s="144"/>
      <c r="O998" s="144"/>
      <c r="P998" s="144"/>
      <c r="Q998" s="144"/>
      <c r="R998" s="144"/>
      <c r="S998" s="144"/>
      <c r="T998" s="144"/>
      <c r="U998" s="232"/>
      <c r="V998" s="232"/>
      <c r="W998" s="144"/>
      <c r="X998" s="144"/>
      <c r="Y998" s="144"/>
      <c r="Z998" s="144"/>
      <c r="AA998" s="144"/>
      <c r="AB998" s="144"/>
      <c r="AC998" s="144"/>
      <c r="AD998" s="144"/>
      <c r="AE998" s="232"/>
      <c r="AF998" s="144"/>
      <c r="AG998" s="144"/>
      <c r="AH998" s="232"/>
      <c r="AI998" s="232"/>
      <c r="AJ998" s="144"/>
      <c r="AK998" s="144"/>
      <c r="AL998" s="144"/>
      <c r="AM998" s="144"/>
      <c r="AN998" s="144"/>
      <c r="AO998" s="144"/>
      <c r="AP998" s="144"/>
      <c r="AQ998" s="144"/>
      <c r="AR998" s="144"/>
      <c r="AS998" s="144"/>
      <c r="AT998" s="144"/>
      <c r="AU998" s="144"/>
      <c r="AV998" s="144"/>
    </row>
    <row r="999" spans="3:48" x14ac:dyDescent="0.25">
      <c r="C999" s="144"/>
      <c r="D999" s="144"/>
      <c r="E999" s="144"/>
      <c r="F999" s="144"/>
      <c r="G999" s="144"/>
      <c r="H999" s="232"/>
      <c r="I999" s="144"/>
      <c r="J999" s="144"/>
      <c r="K999" s="144"/>
      <c r="L999" s="144"/>
      <c r="M999" s="144"/>
      <c r="N999" s="144"/>
      <c r="O999" s="144"/>
      <c r="P999" s="144"/>
      <c r="Q999" s="144"/>
      <c r="R999" s="144"/>
      <c r="S999" s="144"/>
      <c r="T999" s="144"/>
      <c r="U999" s="232"/>
      <c r="V999" s="232"/>
      <c r="W999" s="144"/>
      <c r="X999" s="144"/>
      <c r="Y999" s="144"/>
      <c r="Z999" s="144"/>
      <c r="AA999" s="144"/>
      <c r="AB999" s="144"/>
      <c r="AC999" s="144"/>
      <c r="AD999" s="144"/>
      <c r="AE999" s="232"/>
      <c r="AF999" s="144"/>
      <c r="AG999" s="144"/>
      <c r="AH999" s="232"/>
      <c r="AI999" s="232"/>
      <c r="AJ999" s="144"/>
      <c r="AK999" s="144"/>
      <c r="AL999" s="144"/>
      <c r="AM999" s="144"/>
      <c r="AN999" s="144"/>
      <c r="AO999" s="144"/>
      <c r="AP999" s="144"/>
      <c r="AQ999" s="144"/>
      <c r="AR999" s="144"/>
      <c r="AS999" s="144"/>
      <c r="AT999" s="144"/>
      <c r="AU999" s="144"/>
      <c r="AV999" s="144"/>
    </row>
    <row r="1000" spans="3:48" x14ac:dyDescent="0.25">
      <c r="C1000" s="144"/>
      <c r="D1000" s="144"/>
      <c r="E1000" s="144"/>
      <c r="F1000" s="144"/>
      <c r="G1000" s="144"/>
      <c r="H1000" s="232"/>
      <c r="I1000" s="144"/>
      <c r="J1000" s="144"/>
      <c r="K1000" s="144"/>
      <c r="L1000" s="144"/>
      <c r="M1000" s="144"/>
      <c r="N1000" s="144"/>
      <c r="O1000" s="144"/>
      <c r="P1000" s="144"/>
      <c r="Q1000" s="144"/>
      <c r="R1000" s="144"/>
      <c r="S1000" s="144"/>
      <c r="T1000" s="144"/>
      <c r="U1000" s="232"/>
      <c r="V1000" s="232"/>
      <c r="W1000" s="144"/>
      <c r="X1000" s="144"/>
      <c r="Y1000" s="144"/>
      <c r="Z1000" s="144"/>
      <c r="AA1000" s="144"/>
      <c r="AB1000" s="144"/>
      <c r="AC1000" s="144"/>
      <c r="AD1000" s="144"/>
      <c r="AE1000" s="232"/>
      <c r="AF1000" s="144"/>
      <c r="AG1000" s="144"/>
      <c r="AH1000" s="232"/>
      <c r="AI1000" s="232"/>
      <c r="AJ1000" s="144"/>
      <c r="AK1000" s="144"/>
      <c r="AL1000" s="144"/>
      <c r="AM1000" s="144"/>
      <c r="AN1000" s="144"/>
      <c r="AO1000" s="144"/>
      <c r="AP1000" s="144"/>
      <c r="AQ1000" s="144"/>
      <c r="AR1000" s="144"/>
      <c r="AS1000" s="144"/>
      <c r="AT1000" s="144"/>
      <c r="AU1000" s="144"/>
      <c r="AV1000" s="144"/>
    </row>
    <row r="1001" spans="3:48" x14ac:dyDescent="0.25">
      <c r="C1001" s="144"/>
      <c r="D1001" s="144"/>
      <c r="E1001" s="144"/>
      <c r="F1001" s="144"/>
      <c r="G1001" s="144"/>
      <c r="H1001" s="232"/>
      <c r="I1001" s="144"/>
      <c r="J1001" s="144"/>
      <c r="K1001" s="144"/>
      <c r="L1001" s="144"/>
      <c r="M1001" s="144"/>
      <c r="N1001" s="144"/>
      <c r="O1001" s="144"/>
      <c r="P1001" s="144"/>
      <c r="Q1001" s="144"/>
      <c r="R1001" s="144"/>
      <c r="S1001" s="144"/>
      <c r="T1001" s="144"/>
      <c r="U1001" s="232"/>
      <c r="V1001" s="232"/>
      <c r="W1001" s="144"/>
      <c r="X1001" s="144"/>
      <c r="Y1001" s="144"/>
      <c r="Z1001" s="144"/>
      <c r="AA1001" s="144"/>
      <c r="AB1001" s="144"/>
      <c r="AC1001" s="144"/>
      <c r="AD1001" s="144"/>
      <c r="AE1001" s="232"/>
      <c r="AF1001" s="144"/>
      <c r="AG1001" s="144"/>
      <c r="AH1001" s="232"/>
      <c r="AI1001" s="232"/>
      <c r="AJ1001" s="144"/>
      <c r="AK1001" s="144"/>
      <c r="AL1001" s="144"/>
      <c r="AM1001" s="144"/>
      <c r="AN1001" s="144"/>
      <c r="AO1001" s="144"/>
      <c r="AP1001" s="144"/>
      <c r="AQ1001" s="144"/>
      <c r="AR1001" s="144"/>
      <c r="AS1001" s="144"/>
      <c r="AT1001" s="144"/>
      <c r="AU1001" s="144"/>
      <c r="AV1001" s="144"/>
    </row>
    <row r="1002" spans="3:48" x14ac:dyDescent="0.25">
      <c r="C1002" s="144"/>
      <c r="D1002" s="144"/>
      <c r="E1002" s="144"/>
      <c r="F1002" s="144"/>
      <c r="G1002" s="144"/>
      <c r="H1002" s="232"/>
      <c r="I1002" s="144"/>
      <c r="J1002" s="144"/>
      <c r="K1002" s="144"/>
      <c r="L1002" s="144"/>
      <c r="M1002" s="144"/>
      <c r="N1002" s="144"/>
      <c r="O1002" s="144"/>
      <c r="P1002" s="144"/>
      <c r="Q1002" s="144"/>
      <c r="R1002" s="144"/>
      <c r="S1002" s="144"/>
      <c r="T1002" s="144"/>
      <c r="U1002" s="232"/>
      <c r="V1002" s="232"/>
      <c r="W1002" s="144"/>
      <c r="X1002" s="144"/>
      <c r="Y1002" s="144"/>
      <c r="Z1002" s="144"/>
      <c r="AA1002" s="144"/>
      <c r="AB1002" s="144"/>
      <c r="AC1002" s="144"/>
      <c r="AD1002" s="144"/>
      <c r="AE1002" s="232"/>
      <c r="AF1002" s="144"/>
      <c r="AG1002" s="144"/>
      <c r="AH1002" s="232"/>
      <c r="AI1002" s="232"/>
      <c r="AJ1002" s="144"/>
      <c r="AK1002" s="144"/>
      <c r="AL1002" s="144"/>
      <c r="AM1002" s="144"/>
      <c r="AN1002" s="144"/>
      <c r="AO1002" s="144"/>
      <c r="AP1002" s="144"/>
      <c r="AQ1002" s="144"/>
      <c r="AR1002" s="144"/>
      <c r="AS1002" s="144"/>
      <c r="AT1002" s="144"/>
      <c r="AU1002" s="144"/>
      <c r="AV1002" s="144"/>
    </row>
    <row r="1003" spans="3:48" x14ac:dyDescent="0.25">
      <c r="C1003" s="144"/>
      <c r="D1003" s="144"/>
      <c r="E1003" s="144"/>
      <c r="F1003" s="144"/>
      <c r="G1003" s="144"/>
      <c r="H1003" s="232"/>
      <c r="I1003" s="144"/>
      <c r="J1003" s="144"/>
      <c r="K1003" s="144"/>
      <c r="L1003" s="144"/>
      <c r="M1003" s="144"/>
      <c r="N1003" s="144"/>
      <c r="O1003" s="144"/>
      <c r="P1003" s="144"/>
      <c r="Q1003" s="144"/>
      <c r="R1003" s="144"/>
      <c r="S1003" s="144"/>
      <c r="T1003" s="144"/>
      <c r="U1003" s="232"/>
      <c r="V1003" s="232"/>
      <c r="W1003" s="144"/>
      <c r="X1003" s="144"/>
      <c r="Y1003" s="144"/>
      <c r="Z1003" s="144"/>
      <c r="AA1003" s="144"/>
      <c r="AB1003" s="144"/>
      <c r="AC1003" s="144"/>
      <c r="AD1003" s="144"/>
      <c r="AE1003" s="232"/>
      <c r="AF1003" s="144"/>
      <c r="AG1003" s="144"/>
      <c r="AH1003" s="232"/>
      <c r="AI1003" s="232"/>
      <c r="AJ1003" s="144"/>
      <c r="AK1003" s="144"/>
      <c r="AL1003" s="144"/>
      <c r="AM1003" s="144"/>
      <c r="AN1003" s="144"/>
      <c r="AO1003" s="144"/>
      <c r="AP1003" s="144"/>
      <c r="AQ1003" s="144"/>
      <c r="AR1003" s="144"/>
      <c r="AS1003" s="144"/>
      <c r="AT1003" s="144"/>
      <c r="AU1003" s="144"/>
      <c r="AV1003" s="144"/>
    </row>
    <row r="1004" spans="3:48" x14ac:dyDescent="0.25">
      <c r="C1004" s="144"/>
      <c r="D1004" s="144"/>
      <c r="E1004" s="144"/>
      <c r="F1004" s="144"/>
      <c r="G1004" s="144"/>
      <c r="H1004" s="232"/>
      <c r="I1004" s="144"/>
      <c r="J1004" s="144"/>
      <c r="K1004" s="144"/>
      <c r="L1004" s="144"/>
      <c r="M1004" s="144"/>
      <c r="N1004" s="144"/>
      <c r="O1004" s="144"/>
      <c r="P1004" s="144"/>
      <c r="Q1004" s="144"/>
      <c r="R1004" s="144"/>
      <c r="S1004" s="144"/>
      <c r="T1004" s="144"/>
      <c r="U1004" s="232"/>
      <c r="V1004" s="232"/>
      <c r="W1004" s="144"/>
      <c r="X1004" s="144"/>
      <c r="Y1004" s="144"/>
      <c r="Z1004" s="144"/>
      <c r="AA1004" s="144"/>
      <c r="AB1004" s="144"/>
      <c r="AC1004" s="144"/>
      <c r="AD1004" s="144"/>
      <c r="AE1004" s="232"/>
      <c r="AF1004" s="144"/>
      <c r="AG1004" s="144"/>
      <c r="AH1004" s="232"/>
      <c r="AI1004" s="232"/>
      <c r="AJ1004" s="144"/>
      <c r="AK1004" s="144"/>
      <c r="AL1004" s="144"/>
      <c r="AM1004" s="144"/>
      <c r="AN1004" s="144"/>
      <c r="AO1004" s="144"/>
      <c r="AP1004" s="144"/>
      <c r="AQ1004" s="144"/>
      <c r="AR1004" s="144"/>
      <c r="AS1004" s="144"/>
      <c r="AT1004" s="144"/>
      <c r="AU1004" s="144"/>
      <c r="AV1004" s="144"/>
    </row>
    <row r="1005" spans="3:48" x14ac:dyDescent="0.25">
      <c r="C1005" s="144"/>
      <c r="D1005" s="144"/>
      <c r="E1005" s="144"/>
      <c r="F1005" s="144"/>
      <c r="G1005" s="144"/>
      <c r="H1005" s="232"/>
      <c r="I1005" s="144"/>
      <c r="J1005" s="144"/>
      <c r="K1005" s="144"/>
      <c r="L1005" s="144"/>
      <c r="M1005" s="144"/>
      <c r="N1005" s="144"/>
      <c r="O1005" s="144"/>
      <c r="P1005" s="144"/>
      <c r="Q1005" s="144"/>
      <c r="R1005" s="144"/>
      <c r="S1005" s="144"/>
      <c r="T1005" s="144"/>
      <c r="U1005" s="232"/>
      <c r="V1005" s="232"/>
      <c r="W1005" s="144"/>
      <c r="X1005" s="144"/>
      <c r="Y1005" s="144"/>
      <c r="Z1005" s="144"/>
      <c r="AA1005" s="144"/>
      <c r="AB1005" s="144"/>
      <c r="AC1005" s="144"/>
      <c r="AD1005" s="144"/>
      <c r="AE1005" s="232"/>
      <c r="AF1005" s="144"/>
      <c r="AG1005" s="144"/>
      <c r="AH1005" s="232"/>
      <c r="AI1005" s="232"/>
      <c r="AJ1005" s="144"/>
      <c r="AK1005" s="144"/>
      <c r="AL1005" s="144"/>
      <c r="AM1005" s="144"/>
      <c r="AN1005" s="144"/>
      <c r="AO1005" s="144"/>
      <c r="AP1005" s="144"/>
      <c r="AQ1005" s="144"/>
      <c r="AR1005" s="144"/>
      <c r="AS1005" s="144"/>
      <c r="AT1005" s="144"/>
      <c r="AU1005" s="144"/>
      <c r="AV1005" s="144"/>
    </row>
    <row r="1006" spans="3:48" x14ac:dyDescent="0.25">
      <c r="C1006" s="144"/>
      <c r="D1006" s="144"/>
      <c r="E1006" s="144"/>
      <c r="F1006" s="144"/>
      <c r="G1006" s="144"/>
      <c r="H1006" s="232"/>
      <c r="I1006" s="144"/>
      <c r="J1006" s="144"/>
      <c r="K1006" s="144"/>
      <c r="L1006" s="144"/>
      <c r="M1006" s="144"/>
      <c r="N1006" s="144"/>
      <c r="O1006" s="144"/>
      <c r="P1006" s="144"/>
      <c r="Q1006" s="144"/>
      <c r="R1006" s="144"/>
      <c r="S1006" s="144"/>
      <c r="T1006" s="144"/>
      <c r="U1006" s="232"/>
      <c r="V1006" s="232"/>
      <c r="W1006" s="144"/>
      <c r="X1006" s="144"/>
      <c r="Y1006" s="144"/>
      <c r="Z1006" s="144"/>
      <c r="AA1006" s="144"/>
      <c r="AB1006" s="144"/>
      <c r="AC1006" s="144"/>
      <c r="AD1006" s="144"/>
      <c r="AE1006" s="232"/>
      <c r="AF1006" s="144"/>
      <c r="AG1006" s="144"/>
      <c r="AH1006" s="232"/>
      <c r="AI1006" s="232"/>
      <c r="AJ1006" s="144"/>
      <c r="AK1006" s="144"/>
      <c r="AL1006" s="144"/>
      <c r="AM1006" s="144"/>
      <c r="AN1006" s="144"/>
      <c r="AO1006" s="144"/>
      <c r="AP1006" s="144"/>
      <c r="AQ1006" s="144"/>
      <c r="AR1006" s="144"/>
      <c r="AS1006" s="144"/>
      <c r="AT1006" s="144"/>
      <c r="AU1006" s="144"/>
      <c r="AV1006" s="144"/>
    </row>
    <row r="1007" spans="3:48" x14ac:dyDescent="0.25">
      <c r="C1007" s="144"/>
      <c r="D1007" s="144"/>
      <c r="E1007" s="144"/>
      <c r="F1007" s="144"/>
      <c r="G1007" s="144"/>
      <c r="H1007" s="232"/>
      <c r="I1007" s="144"/>
      <c r="J1007" s="144"/>
      <c r="K1007" s="144"/>
      <c r="L1007" s="144"/>
      <c r="M1007" s="144"/>
      <c r="N1007" s="144"/>
      <c r="O1007" s="144"/>
      <c r="P1007" s="144"/>
      <c r="Q1007" s="144"/>
      <c r="R1007" s="144"/>
      <c r="S1007" s="144"/>
      <c r="T1007" s="144"/>
      <c r="U1007" s="232"/>
      <c r="V1007" s="232"/>
      <c r="W1007" s="144"/>
      <c r="X1007" s="144"/>
      <c r="Y1007" s="144"/>
      <c r="Z1007" s="144"/>
      <c r="AA1007" s="144"/>
      <c r="AB1007" s="144"/>
      <c r="AC1007" s="144"/>
      <c r="AD1007" s="144"/>
      <c r="AE1007" s="232"/>
      <c r="AF1007" s="144"/>
      <c r="AG1007" s="144"/>
      <c r="AH1007" s="232"/>
      <c r="AI1007" s="232"/>
      <c r="AJ1007" s="144"/>
      <c r="AK1007" s="144"/>
      <c r="AL1007" s="144"/>
      <c r="AM1007" s="144"/>
      <c r="AN1007" s="144"/>
      <c r="AO1007" s="144"/>
      <c r="AP1007" s="144"/>
      <c r="AQ1007" s="144"/>
      <c r="AR1007" s="144"/>
      <c r="AS1007" s="144"/>
      <c r="AT1007" s="144"/>
      <c r="AU1007" s="144"/>
      <c r="AV1007" s="144"/>
    </row>
    <row r="1008" spans="3:48" x14ac:dyDescent="0.25">
      <c r="C1008" s="144"/>
      <c r="D1008" s="144"/>
      <c r="E1008" s="144"/>
      <c r="F1008" s="144"/>
      <c r="G1008" s="144"/>
      <c r="H1008" s="232"/>
      <c r="I1008" s="144"/>
      <c r="J1008" s="144"/>
      <c r="K1008" s="144"/>
      <c r="L1008" s="144"/>
      <c r="M1008" s="144"/>
      <c r="N1008" s="144"/>
      <c r="O1008" s="144"/>
      <c r="P1008" s="144"/>
      <c r="Q1008" s="144"/>
      <c r="R1008" s="144"/>
      <c r="S1008" s="144"/>
      <c r="T1008" s="144"/>
      <c r="U1008" s="232"/>
      <c r="V1008" s="232"/>
      <c r="W1008" s="144"/>
      <c r="X1008" s="144"/>
      <c r="Y1008" s="144"/>
      <c r="Z1008" s="144"/>
      <c r="AA1008" s="144"/>
      <c r="AB1008" s="144"/>
      <c r="AC1008" s="144"/>
      <c r="AD1008" s="144"/>
      <c r="AE1008" s="232"/>
      <c r="AF1008" s="144"/>
      <c r="AG1008" s="144"/>
      <c r="AH1008" s="232"/>
      <c r="AI1008" s="232"/>
      <c r="AJ1008" s="144"/>
      <c r="AK1008" s="144"/>
      <c r="AL1008" s="144"/>
      <c r="AM1008" s="144"/>
      <c r="AN1008" s="144"/>
      <c r="AO1008" s="144"/>
      <c r="AP1008" s="144"/>
      <c r="AQ1008" s="144"/>
      <c r="AR1008" s="144"/>
      <c r="AS1008" s="144"/>
      <c r="AT1008" s="144"/>
      <c r="AU1008" s="144"/>
      <c r="AV1008" s="144"/>
    </row>
    <row r="1009" spans="3:48" x14ac:dyDescent="0.25">
      <c r="C1009" s="144"/>
      <c r="D1009" s="144"/>
      <c r="E1009" s="144"/>
      <c r="F1009" s="144"/>
      <c r="G1009" s="144"/>
      <c r="H1009" s="232"/>
      <c r="I1009" s="144"/>
      <c r="J1009" s="144"/>
      <c r="K1009" s="144"/>
      <c r="L1009" s="144"/>
      <c r="M1009" s="144"/>
      <c r="N1009" s="144"/>
      <c r="O1009" s="144"/>
      <c r="P1009" s="144"/>
      <c r="Q1009" s="144"/>
      <c r="R1009" s="144"/>
      <c r="S1009" s="144"/>
      <c r="T1009" s="144"/>
      <c r="U1009" s="232"/>
      <c r="V1009" s="232"/>
      <c r="W1009" s="144"/>
      <c r="X1009" s="144"/>
      <c r="Y1009" s="144"/>
      <c r="Z1009" s="144"/>
      <c r="AA1009" s="144"/>
      <c r="AB1009" s="144"/>
      <c r="AC1009" s="144"/>
      <c r="AD1009" s="144"/>
      <c r="AE1009" s="232"/>
      <c r="AF1009" s="144"/>
      <c r="AG1009" s="144"/>
      <c r="AH1009" s="232"/>
      <c r="AI1009" s="232"/>
      <c r="AJ1009" s="144"/>
      <c r="AK1009" s="144"/>
      <c r="AL1009" s="144"/>
      <c r="AM1009" s="144"/>
      <c r="AN1009" s="144"/>
      <c r="AO1009" s="144"/>
      <c r="AP1009" s="144"/>
      <c r="AQ1009" s="144"/>
      <c r="AR1009" s="144"/>
      <c r="AS1009" s="144"/>
      <c r="AT1009" s="144"/>
      <c r="AU1009" s="144"/>
      <c r="AV1009" s="144"/>
    </row>
    <row r="1010" spans="3:48" x14ac:dyDescent="0.25">
      <c r="C1010" s="144"/>
      <c r="D1010" s="144"/>
      <c r="E1010" s="144"/>
      <c r="F1010" s="144"/>
      <c r="G1010" s="144"/>
      <c r="H1010" s="232"/>
      <c r="I1010" s="144"/>
      <c r="J1010" s="144"/>
      <c r="K1010" s="144"/>
      <c r="L1010" s="144"/>
      <c r="M1010" s="144"/>
      <c r="N1010" s="144"/>
      <c r="O1010" s="144"/>
      <c r="P1010" s="144"/>
      <c r="Q1010" s="144"/>
      <c r="R1010" s="144"/>
      <c r="S1010" s="144"/>
      <c r="T1010" s="144"/>
      <c r="U1010" s="232"/>
      <c r="V1010" s="232"/>
      <c r="W1010" s="144"/>
      <c r="X1010" s="144"/>
      <c r="Y1010" s="144"/>
      <c r="Z1010" s="144"/>
      <c r="AA1010" s="144"/>
      <c r="AB1010" s="144"/>
      <c r="AC1010" s="144"/>
      <c r="AD1010" s="144"/>
      <c r="AE1010" s="232"/>
      <c r="AF1010" s="144"/>
      <c r="AG1010" s="144"/>
      <c r="AH1010" s="232"/>
      <c r="AI1010" s="232"/>
      <c r="AJ1010" s="144"/>
      <c r="AK1010" s="144"/>
      <c r="AL1010" s="144"/>
      <c r="AM1010" s="144"/>
      <c r="AN1010" s="144"/>
      <c r="AO1010" s="144"/>
      <c r="AP1010" s="144"/>
      <c r="AQ1010" s="144"/>
      <c r="AR1010" s="144"/>
      <c r="AS1010" s="144"/>
      <c r="AT1010" s="144"/>
      <c r="AU1010" s="144"/>
      <c r="AV1010" s="144"/>
    </row>
    <row r="1011" spans="3:48" x14ac:dyDescent="0.25">
      <c r="C1011" s="144"/>
      <c r="D1011" s="144"/>
      <c r="E1011" s="144"/>
      <c r="F1011" s="144"/>
      <c r="G1011" s="144"/>
      <c r="H1011" s="232"/>
      <c r="I1011" s="144"/>
      <c r="J1011" s="144"/>
      <c r="K1011" s="144"/>
      <c r="L1011" s="144"/>
      <c r="M1011" s="144"/>
      <c r="N1011" s="144"/>
      <c r="O1011" s="144"/>
      <c r="P1011" s="144"/>
      <c r="Q1011" s="144"/>
      <c r="R1011" s="144"/>
      <c r="S1011" s="144"/>
      <c r="T1011" s="144"/>
      <c r="U1011" s="232"/>
      <c r="V1011" s="232"/>
      <c r="W1011" s="144"/>
      <c r="X1011" s="144"/>
      <c r="Y1011" s="144"/>
      <c r="Z1011" s="144"/>
      <c r="AA1011" s="144"/>
      <c r="AB1011" s="144"/>
      <c r="AC1011" s="144"/>
      <c r="AD1011" s="144"/>
      <c r="AE1011" s="232"/>
      <c r="AF1011" s="144"/>
      <c r="AG1011" s="144"/>
      <c r="AH1011" s="232"/>
      <c r="AI1011" s="232"/>
      <c r="AJ1011" s="144"/>
      <c r="AK1011" s="144"/>
      <c r="AL1011" s="144"/>
      <c r="AM1011" s="144"/>
      <c r="AN1011" s="144"/>
      <c r="AO1011" s="144"/>
      <c r="AP1011" s="144"/>
      <c r="AQ1011" s="144"/>
      <c r="AR1011" s="144"/>
      <c r="AS1011" s="144"/>
      <c r="AT1011" s="144"/>
      <c r="AU1011" s="144"/>
      <c r="AV1011" s="144"/>
    </row>
    <row r="1012" spans="3:48" x14ac:dyDescent="0.25">
      <c r="C1012" s="144"/>
      <c r="D1012" s="144"/>
      <c r="E1012" s="144"/>
      <c r="F1012" s="144"/>
      <c r="G1012" s="144"/>
      <c r="H1012" s="232"/>
      <c r="I1012" s="144"/>
      <c r="J1012" s="144"/>
      <c r="K1012" s="144"/>
      <c r="L1012" s="144"/>
      <c r="M1012" s="144"/>
      <c r="N1012" s="144"/>
      <c r="O1012" s="144"/>
      <c r="P1012" s="144"/>
      <c r="Q1012" s="144"/>
      <c r="R1012" s="144"/>
      <c r="S1012" s="144"/>
      <c r="T1012" s="144"/>
      <c r="U1012" s="232"/>
      <c r="V1012" s="232"/>
      <c r="W1012" s="144"/>
      <c r="X1012" s="144"/>
      <c r="Y1012" s="144"/>
      <c r="Z1012" s="144"/>
      <c r="AA1012" s="144"/>
      <c r="AB1012" s="144"/>
      <c r="AC1012" s="144"/>
      <c r="AD1012" s="144"/>
      <c r="AE1012" s="232"/>
      <c r="AF1012" s="144"/>
      <c r="AG1012" s="144"/>
      <c r="AH1012" s="232"/>
      <c r="AI1012" s="232"/>
      <c r="AJ1012" s="144"/>
      <c r="AK1012" s="144"/>
      <c r="AL1012" s="144"/>
      <c r="AM1012" s="144"/>
      <c r="AN1012" s="144"/>
      <c r="AO1012" s="144"/>
      <c r="AP1012" s="144"/>
      <c r="AQ1012" s="144"/>
      <c r="AR1012" s="144"/>
      <c r="AS1012" s="144"/>
      <c r="AT1012" s="144"/>
      <c r="AU1012" s="144"/>
      <c r="AV1012" s="144"/>
    </row>
    <row r="1013" spans="3:48" x14ac:dyDescent="0.25">
      <c r="C1013" s="144"/>
      <c r="D1013" s="144"/>
      <c r="E1013" s="144"/>
      <c r="F1013" s="144"/>
      <c r="G1013" s="144"/>
      <c r="H1013" s="232"/>
      <c r="I1013" s="144"/>
      <c r="J1013" s="144"/>
      <c r="K1013" s="144"/>
      <c r="L1013" s="144"/>
      <c r="M1013" s="144"/>
      <c r="N1013" s="144"/>
      <c r="O1013" s="144"/>
      <c r="P1013" s="144"/>
      <c r="Q1013" s="144"/>
      <c r="R1013" s="144"/>
      <c r="S1013" s="144"/>
      <c r="T1013" s="144"/>
      <c r="U1013" s="232"/>
      <c r="V1013" s="232"/>
      <c r="W1013" s="144"/>
      <c r="X1013" s="144"/>
      <c r="Y1013" s="144"/>
      <c r="Z1013" s="144"/>
      <c r="AA1013" s="144"/>
      <c r="AB1013" s="144"/>
      <c r="AC1013" s="144"/>
      <c r="AD1013" s="144"/>
      <c r="AE1013" s="232"/>
      <c r="AF1013" s="144"/>
      <c r="AG1013" s="144"/>
      <c r="AH1013" s="232"/>
      <c r="AI1013" s="232"/>
      <c r="AJ1013" s="144"/>
      <c r="AK1013" s="144"/>
      <c r="AL1013" s="144"/>
      <c r="AM1013" s="144"/>
      <c r="AN1013" s="144"/>
      <c r="AO1013" s="144"/>
      <c r="AP1013" s="144"/>
      <c r="AQ1013" s="144"/>
      <c r="AR1013" s="144"/>
      <c r="AS1013" s="144"/>
      <c r="AT1013" s="144"/>
      <c r="AU1013" s="144"/>
      <c r="AV1013" s="144"/>
    </row>
    <row r="1014" spans="3:48" x14ac:dyDescent="0.25">
      <c r="C1014" s="144"/>
      <c r="D1014" s="144"/>
      <c r="E1014" s="144"/>
      <c r="F1014" s="144"/>
      <c r="G1014" s="144"/>
      <c r="H1014" s="232"/>
      <c r="I1014" s="144"/>
      <c r="J1014" s="144"/>
      <c r="K1014" s="144"/>
      <c r="L1014" s="144"/>
      <c r="M1014" s="144"/>
      <c r="N1014" s="144"/>
      <c r="O1014" s="144"/>
      <c r="P1014" s="144"/>
      <c r="Q1014" s="144"/>
      <c r="R1014" s="144"/>
      <c r="S1014" s="144"/>
      <c r="T1014" s="144"/>
      <c r="U1014" s="232"/>
      <c r="V1014" s="232"/>
      <c r="W1014" s="144"/>
      <c r="X1014" s="144"/>
      <c r="Y1014" s="144"/>
      <c r="Z1014" s="144"/>
      <c r="AA1014" s="144"/>
      <c r="AB1014" s="144"/>
      <c r="AC1014" s="144"/>
      <c r="AD1014" s="144"/>
      <c r="AE1014" s="232"/>
      <c r="AF1014" s="144"/>
      <c r="AG1014" s="144"/>
      <c r="AH1014" s="232"/>
      <c r="AI1014" s="232"/>
      <c r="AJ1014" s="144"/>
      <c r="AK1014" s="144"/>
      <c r="AL1014" s="144"/>
      <c r="AM1014" s="144"/>
      <c r="AN1014" s="144"/>
      <c r="AO1014" s="144"/>
      <c r="AP1014" s="144"/>
      <c r="AQ1014" s="144"/>
      <c r="AR1014" s="144"/>
      <c r="AS1014" s="144"/>
      <c r="AT1014" s="144"/>
      <c r="AU1014" s="144"/>
      <c r="AV1014" s="144"/>
    </row>
    <row r="1015" spans="3:48" x14ac:dyDescent="0.25">
      <c r="C1015" s="144"/>
      <c r="D1015" s="144"/>
      <c r="E1015" s="144"/>
      <c r="F1015" s="144"/>
      <c r="G1015" s="144"/>
      <c r="H1015" s="232"/>
      <c r="I1015" s="144"/>
      <c r="J1015" s="144"/>
      <c r="K1015" s="144"/>
      <c r="L1015" s="144"/>
      <c r="M1015" s="144"/>
      <c r="N1015" s="144"/>
      <c r="O1015" s="144"/>
      <c r="P1015" s="144"/>
      <c r="Q1015" s="144"/>
      <c r="R1015" s="144"/>
      <c r="S1015" s="144"/>
      <c r="T1015" s="144"/>
      <c r="U1015" s="232"/>
      <c r="V1015" s="232"/>
      <c r="W1015" s="144"/>
      <c r="X1015" s="144"/>
      <c r="Y1015" s="144"/>
      <c r="Z1015" s="144"/>
      <c r="AA1015" s="144"/>
      <c r="AB1015" s="144"/>
      <c r="AC1015" s="144"/>
      <c r="AD1015" s="144"/>
      <c r="AE1015" s="232"/>
      <c r="AF1015" s="144"/>
      <c r="AG1015" s="144"/>
      <c r="AH1015" s="232"/>
      <c r="AI1015" s="232"/>
      <c r="AJ1015" s="144"/>
      <c r="AK1015" s="144"/>
      <c r="AL1015" s="144"/>
      <c r="AM1015" s="144"/>
      <c r="AN1015" s="144"/>
      <c r="AO1015" s="144"/>
      <c r="AP1015" s="144"/>
      <c r="AQ1015" s="144"/>
      <c r="AR1015" s="144"/>
      <c r="AS1015" s="144"/>
      <c r="AT1015" s="144"/>
      <c r="AU1015" s="144"/>
      <c r="AV1015" s="144"/>
    </row>
    <row r="1016" spans="3:48" x14ac:dyDescent="0.25">
      <c r="C1016" s="144"/>
      <c r="D1016" s="144"/>
      <c r="E1016" s="144"/>
      <c r="F1016" s="144"/>
      <c r="G1016" s="144"/>
      <c r="H1016" s="232"/>
      <c r="I1016" s="144"/>
      <c r="J1016" s="144"/>
      <c r="K1016" s="144"/>
      <c r="L1016" s="144"/>
      <c r="M1016" s="144"/>
      <c r="N1016" s="144"/>
      <c r="O1016" s="144"/>
      <c r="P1016" s="144"/>
      <c r="Q1016" s="144"/>
      <c r="R1016" s="144"/>
      <c r="S1016" s="144"/>
      <c r="T1016" s="144"/>
      <c r="U1016" s="232"/>
      <c r="V1016" s="232"/>
      <c r="W1016" s="144"/>
      <c r="X1016" s="144"/>
      <c r="Y1016" s="144"/>
      <c r="Z1016" s="144"/>
      <c r="AA1016" s="144"/>
      <c r="AB1016" s="144"/>
      <c r="AC1016" s="144"/>
      <c r="AD1016" s="144"/>
      <c r="AE1016" s="232"/>
      <c r="AF1016" s="144"/>
      <c r="AG1016" s="144"/>
      <c r="AH1016" s="232"/>
      <c r="AI1016" s="232"/>
      <c r="AJ1016" s="144"/>
      <c r="AK1016" s="144"/>
      <c r="AL1016" s="144"/>
      <c r="AM1016" s="144"/>
      <c r="AN1016" s="144"/>
      <c r="AO1016" s="144"/>
      <c r="AP1016" s="144"/>
      <c r="AQ1016" s="144"/>
      <c r="AR1016" s="144"/>
      <c r="AS1016" s="144"/>
      <c r="AT1016" s="144"/>
      <c r="AU1016" s="144"/>
      <c r="AV1016" s="144"/>
    </row>
    <row r="1017" spans="3:48" x14ac:dyDescent="0.25">
      <c r="C1017" s="144"/>
      <c r="D1017" s="144"/>
      <c r="E1017" s="144"/>
      <c r="F1017" s="144"/>
      <c r="G1017" s="144"/>
      <c r="H1017" s="232"/>
      <c r="I1017" s="144"/>
      <c r="J1017" s="144"/>
      <c r="K1017" s="144"/>
      <c r="L1017" s="144"/>
      <c r="M1017" s="144"/>
      <c r="N1017" s="144"/>
      <c r="O1017" s="144"/>
      <c r="P1017" s="144"/>
      <c r="Q1017" s="144"/>
      <c r="R1017" s="144"/>
      <c r="S1017" s="144"/>
      <c r="T1017" s="144"/>
      <c r="U1017" s="232"/>
      <c r="V1017" s="232"/>
      <c r="W1017" s="144"/>
      <c r="X1017" s="144"/>
      <c r="Y1017" s="144"/>
      <c r="Z1017" s="144"/>
      <c r="AA1017" s="144"/>
      <c r="AB1017" s="144"/>
      <c r="AC1017" s="144"/>
      <c r="AD1017" s="144"/>
      <c r="AE1017" s="232"/>
      <c r="AF1017" s="144"/>
      <c r="AG1017" s="144"/>
      <c r="AH1017" s="232"/>
      <c r="AI1017" s="232"/>
      <c r="AJ1017" s="144"/>
      <c r="AK1017" s="144"/>
      <c r="AL1017" s="144"/>
      <c r="AM1017" s="144"/>
      <c r="AN1017" s="144"/>
      <c r="AO1017" s="144"/>
      <c r="AP1017" s="144"/>
      <c r="AQ1017" s="144"/>
      <c r="AR1017" s="144"/>
      <c r="AS1017" s="144"/>
      <c r="AT1017" s="144"/>
      <c r="AU1017" s="144"/>
      <c r="AV1017" s="144"/>
    </row>
    <row r="1018" spans="3:48" x14ac:dyDescent="0.25">
      <c r="C1018" s="144"/>
      <c r="D1018" s="144"/>
      <c r="E1018" s="144"/>
      <c r="F1018" s="144"/>
      <c r="G1018" s="144"/>
      <c r="H1018" s="232"/>
      <c r="I1018" s="144"/>
      <c r="J1018" s="144"/>
      <c r="K1018" s="144"/>
      <c r="L1018" s="144"/>
      <c r="M1018" s="144"/>
      <c r="N1018" s="144"/>
      <c r="O1018" s="144"/>
      <c r="P1018" s="144"/>
      <c r="Q1018" s="144"/>
      <c r="R1018" s="144"/>
      <c r="S1018" s="144"/>
      <c r="T1018" s="144"/>
      <c r="U1018" s="232"/>
      <c r="V1018" s="232"/>
      <c r="W1018" s="144"/>
      <c r="X1018" s="144"/>
      <c r="Y1018" s="144"/>
      <c r="Z1018" s="144"/>
      <c r="AA1018" s="144"/>
      <c r="AB1018" s="144"/>
      <c r="AC1018" s="144"/>
      <c r="AD1018" s="144"/>
      <c r="AE1018" s="232"/>
      <c r="AF1018" s="144"/>
      <c r="AG1018" s="144"/>
      <c r="AH1018" s="232"/>
      <c r="AI1018" s="232"/>
      <c r="AJ1018" s="144"/>
      <c r="AK1018" s="144"/>
      <c r="AL1018" s="144"/>
      <c r="AM1018" s="144"/>
      <c r="AN1018" s="144"/>
      <c r="AO1018" s="144"/>
      <c r="AP1018" s="144"/>
      <c r="AQ1018" s="144"/>
      <c r="AR1018" s="144"/>
      <c r="AS1018" s="144"/>
      <c r="AT1018" s="144"/>
      <c r="AU1018" s="144"/>
      <c r="AV1018" s="144"/>
    </row>
    <row r="1019" spans="3:48" x14ac:dyDescent="0.25">
      <c r="C1019" s="144"/>
      <c r="D1019" s="144"/>
      <c r="E1019" s="144"/>
      <c r="F1019" s="144"/>
      <c r="G1019" s="144"/>
      <c r="H1019" s="232"/>
      <c r="I1019" s="144"/>
      <c r="J1019" s="144"/>
      <c r="K1019" s="144"/>
      <c r="L1019" s="144"/>
      <c r="M1019" s="144"/>
      <c r="N1019" s="144"/>
      <c r="O1019" s="144"/>
      <c r="P1019" s="144"/>
      <c r="Q1019" s="144"/>
      <c r="R1019" s="144"/>
      <c r="S1019" s="144"/>
      <c r="T1019" s="144"/>
      <c r="U1019" s="232"/>
      <c r="V1019" s="232"/>
      <c r="W1019" s="144"/>
      <c r="X1019" s="144"/>
      <c r="Y1019" s="144"/>
      <c r="Z1019" s="144"/>
      <c r="AA1019" s="144"/>
      <c r="AB1019" s="144"/>
      <c r="AC1019" s="144"/>
      <c r="AD1019" s="144"/>
      <c r="AE1019" s="232"/>
      <c r="AF1019" s="144"/>
      <c r="AG1019" s="144"/>
      <c r="AH1019" s="232"/>
      <c r="AI1019" s="232"/>
      <c r="AJ1019" s="144"/>
      <c r="AK1019" s="144"/>
      <c r="AL1019" s="144"/>
      <c r="AM1019" s="144"/>
      <c r="AN1019" s="144"/>
      <c r="AO1019" s="144"/>
      <c r="AP1019" s="144"/>
      <c r="AQ1019" s="144"/>
      <c r="AR1019" s="144"/>
      <c r="AS1019" s="144"/>
      <c r="AT1019" s="144"/>
      <c r="AU1019" s="144"/>
      <c r="AV1019" s="144"/>
    </row>
    <row r="1020" spans="3:48" x14ac:dyDescent="0.25">
      <c r="C1020" s="144"/>
      <c r="D1020" s="144"/>
      <c r="E1020" s="144"/>
      <c r="F1020" s="144"/>
      <c r="G1020" s="144"/>
      <c r="H1020" s="232"/>
      <c r="I1020" s="144"/>
      <c r="J1020" s="144"/>
      <c r="K1020" s="144"/>
      <c r="L1020" s="144"/>
      <c r="M1020" s="144"/>
      <c r="N1020" s="144"/>
      <c r="O1020" s="144"/>
      <c r="P1020" s="144"/>
      <c r="Q1020" s="144"/>
      <c r="R1020" s="144"/>
      <c r="S1020" s="144"/>
      <c r="T1020" s="144"/>
      <c r="U1020" s="232"/>
      <c r="V1020" s="232"/>
      <c r="W1020" s="144"/>
      <c r="X1020" s="144"/>
      <c r="Y1020" s="144"/>
      <c r="Z1020" s="144"/>
      <c r="AA1020" s="144"/>
      <c r="AB1020" s="144"/>
      <c r="AC1020" s="144"/>
      <c r="AD1020" s="144"/>
      <c r="AE1020" s="232"/>
      <c r="AF1020" s="144"/>
      <c r="AG1020" s="144"/>
      <c r="AH1020" s="232"/>
      <c r="AI1020" s="232"/>
      <c r="AJ1020" s="144"/>
      <c r="AK1020" s="144"/>
      <c r="AL1020" s="144"/>
      <c r="AM1020" s="144"/>
      <c r="AN1020" s="144"/>
      <c r="AO1020" s="144"/>
      <c r="AP1020" s="144"/>
      <c r="AQ1020" s="144"/>
      <c r="AR1020" s="144"/>
      <c r="AS1020" s="144"/>
      <c r="AT1020" s="144"/>
      <c r="AU1020" s="144"/>
      <c r="AV1020" s="144"/>
    </row>
    <row r="1021" spans="3:48" x14ac:dyDescent="0.25">
      <c r="C1021" s="144"/>
      <c r="D1021" s="144"/>
      <c r="E1021" s="144"/>
      <c r="F1021" s="144"/>
      <c r="G1021" s="144"/>
      <c r="H1021" s="232"/>
      <c r="I1021" s="144"/>
      <c r="J1021" s="144"/>
      <c r="K1021" s="144"/>
      <c r="L1021" s="144"/>
      <c r="M1021" s="144"/>
      <c r="N1021" s="144"/>
      <c r="O1021" s="144"/>
      <c r="P1021" s="144"/>
      <c r="Q1021" s="144"/>
      <c r="R1021" s="144"/>
      <c r="S1021" s="144"/>
      <c r="T1021" s="144"/>
      <c r="U1021" s="232"/>
      <c r="V1021" s="232"/>
      <c r="W1021" s="144"/>
      <c r="X1021" s="144"/>
      <c r="Y1021" s="144"/>
      <c r="Z1021" s="144"/>
      <c r="AA1021" s="144"/>
      <c r="AB1021" s="144"/>
      <c r="AC1021" s="144"/>
      <c r="AD1021" s="144"/>
      <c r="AE1021" s="232"/>
      <c r="AF1021" s="144"/>
      <c r="AG1021" s="144"/>
      <c r="AH1021" s="232"/>
      <c r="AI1021" s="232"/>
      <c r="AJ1021" s="144"/>
      <c r="AK1021" s="144"/>
      <c r="AL1021" s="144"/>
      <c r="AM1021" s="144"/>
      <c r="AN1021" s="144"/>
      <c r="AO1021" s="144"/>
      <c r="AP1021" s="144"/>
      <c r="AQ1021" s="144"/>
      <c r="AR1021" s="144"/>
      <c r="AS1021" s="144"/>
      <c r="AT1021" s="144"/>
      <c r="AU1021" s="144"/>
      <c r="AV1021" s="144"/>
    </row>
    <row r="1022" spans="3:48" x14ac:dyDescent="0.25">
      <c r="C1022" s="144"/>
      <c r="D1022" s="144"/>
      <c r="E1022" s="144"/>
      <c r="F1022" s="144"/>
      <c r="G1022" s="144"/>
      <c r="H1022" s="232"/>
      <c r="I1022" s="144"/>
      <c r="J1022" s="144"/>
      <c r="K1022" s="144"/>
      <c r="L1022" s="144"/>
      <c r="M1022" s="144"/>
      <c r="N1022" s="144"/>
      <c r="O1022" s="144"/>
      <c r="P1022" s="144"/>
      <c r="Q1022" s="144"/>
      <c r="R1022" s="144"/>
      <c r="S1022" s="144"/>
      <c r="T1022" s="144"/>
      <c r="U1022" s="232"/>
      <c r="V1022" s="232"/>
      <c r="W1022" s="144"/>
      <c r="X1022" s="144"/>
      <c r="Y1022" s="144"/>
      <c r="Z1022" s="144"/>
      <c r="AA1022" s="144"/>
      <c r="AB1022" s="144"/>
      <c r="AC1022" s="144"/>
      <c r="AD1022" s="144"/>
      <c r="AE1022" s="232"/>
      <c r="AF1022" s="144"/>
      <c r="AG1022" s="144"/>
      <c r="AH1022" s="232"/>
      <c r="AI1022" s="232"/>
      <c r="AJ1022" s="144"/>
      <c r="AK1022" s="144"/>
      <c r="AL1022" s="144"/>
      <c r="AM1022" s="144"/>
      <c r="AN1022" s="144"/>
      <c r="AO1022" s="144"/>
      <c r="AP1022" s="144"/>
      <c r="AQ1022" s="144"/>
      <c r="AR1022" s="144"/>
      <c r="AS1022" s="144"/>
      <c r="AT1022" s="144"/>
      <c r="AU1022" s="144"/>
      <c r="AV1022" s="144"/>
    </row>
    <row r="1023" spans="3:48" x14ac:dyDescent="0.25">
      <c r="C1023" s="144"/>
      <c r="D1023" s="144"/>
      <c r="E1023" s="144"/>
      <c r="F1023" s="144"/>
      <c r="G1023" s="144"/>
      <c r="H1023" s="232"/>
      <c r="I1023" s="144"/>
      <c r="J1023" s="144"/>
      <c r="K1023" s="144"/>
      <c r="L1023" s="144"/>
      <c r="M1023" s="144"/>
      <c r="N1023" s="144"/>
      <c r="O1023" s="144"/>
      <c r="P1023" s="144"/>
      <c r="Q1023" s="144"/>
      <c r="R1023" s="144"/>
      <c r="S1023" s="144"/>
      <c r="T1023" s="144"/>
      <c r="U1023" s="232"/>
      <c r="V1023" s="232"/>
      <c r="W1023" s="144"/>
      <c r="X1023" s="144"/>
      <c r="Y1023" s="144"/>
      <c r="Z1023" s="144"/>
      <c r="AA1023" s="144"/>
      <c r="AB1023" s="144"/>
      <c r="AC1023" s="144"/>
      <c r="AD1023" s="144"/>
      <c r="AE1023" s="232"/>
      <c r="AF1023" s="144"/>
      <c r="AG1023" s="144"/>
      <c r="AH1023" s="232"/>
      <c r="AI1023" s="232"/>
      <c r="AJ1023" s="144"/>
      <c r="AK1023" s="144"/>
      <c r="AL1023" s="144"/>
      <c r="AM1023" s="144"/>
      <c r="AN1023" s="144"/>
      <c r="AO1023" s="144"/>
      <c r="AP1023" s="144"/>
      <c r="AQ1023" s="144"/>
      <c r="AR1023" s="144"/>
      <c r="AS1023" s="144"/>
      <c r="AT1023" s="144"/>
      <c r="AU1023" s="144"/>
      <c r="AV1023" s="144"/>
    </row>
    <row r="1024" spans="3:48" x14ac:dyDescent="0.25">
      <c r="C1024" s="144"/>
      <c r="D1024" s="144"/>
      <c r="E1024" s="144"/>
      <c r="F1024" s="144"/>
      <c r="G1024" s="144"/>
      <c r="H1024" s="232"/>
      <c r="I1024" s="144"/>
      <c r="J1024" s="144"/>
      <c r="K1024" s="144"/>
      <c r="L1024" s="144"/>
      <c r="M1024" s="144"/>
      <c r="N1024" s="144"/>
      <c r="O1024" s="144"/>
      <c r="P1024" s="144"/>
      <c r="Q1024" s="144"/>
      <c r="R1024" s="144"/>
      <c r="S1024" s="144"/>
      <c r="T1024" s="144"/>
      <c r="U1024" s="232"/>
      <c r="V1024" s="232"/>
      <c r="W1024" s="144"/>
      <c r="X1024" s="144"/>
      <c r="Y1024" s="144"/>
      <c r="Z1024" s="144"/>
      <c r="AA1024" s="144"/>
      <c r="AB1024" s="144"/>
      <c r="AC1024" s="144"/>
      <c r="AD1024" s="144"/>
      <c r="AE1024" s="232"/>
      <c r="AF1024" s="144"/>
      <c r="AG1024" s="144"/>
      <c r="AH1024" s="232"/>
      <c r="AI1024" s="232"/>
      <c r="AJ1024" s="144"/>
      <c r="AK1024" s="144"/>
      <c r="AL1024" s="144"/>
      <c r="AM1024" s="144"/>
      <c r="AN1024" s="144"/>
      <c r="AO1024" s="144"/>
      <c r="AP1024" s="144"/>
      <c r="AQ1024" s="144"/>
      <c r="AR1024" s="144"/>
      <c r="AS1024" s="144"/>
      <c r="AT1024" s="144"/>
      <c r="AU1024" s="144"/>
      <c r="AV1024" s="144"/>
    </row>
    <row r="1025" spans="3:48" x14ac:dyDescent="0.25">
      <c r="C1025" s="144"/>
      <c r="D1025" s="144"/>
      <c r="E1025" s="144"/>
      <c r="F1025" s="144"/>
      <c r="G1025" s="144"/>
      <c r="H1025" s="232"/>
      <c r="I1025" s="144"/>
      <c r="J1025" s="144"/>
      <c r="K1025" s="144"/>
      <c r="L1025" s="144"/>
      <c r="M1025" s="144"/>
      <c r="N1025" s="144"/>
      <c r="O1025" s="144"/>
      <c r="P1025" s="144"/>
      <c r="Q1025" s="144"/>
      <c r="R1025" s="144"/>
      <c r="S1025" s="144"/>
      <c r="T1025" s="144"/>
      <c r="U1025" s="232"/>
      <c r="V1025" s="232"/>
      <c r="W1025" s="144"/>
      <c r="X1025" s="144"/>
      <c r="Y1025" s="144"/>
      <c r="Z1025" s="144"/>
      <c r="AA1025" s="144"/>
      <c r="AB1025" s="144"/>
      <c r="AC1025" s="144"/>
      <c r="AD1025" s="144"/>
      <c r="AE1025" s="232"/>
      <c r="AF1025" s="144"/>
      <c r="AG1025" s="144"/>
      <c r="AH1025" s="232"/>
      <c r="AI1025" s="232"/>
      <c r="AJ1025" s="144"/>
      <c r="AK1025" s="144"/>
      <c r="AL1025" s="144"/>
      <c r="AM1025" s="144"/>
      <c r="AN1025" s="144"/>
      <c r="AO1025" s="144"/>
      <c r="AP1025" s="144"/>
      <c r="AQ1025" s="144"/>
      <c r="AR1025" s="144"/>
      <c r="AS1025" s="144"/>
      <c r="AT1025" s="144"/>
      <c r="AU1025" s="144"/>
      <c r="AV1025" s="144"/>
    </row>
    <row r="1026" spans="3:48" x14ac:dyDescent="0.25">
      <c r="C1026" s="144"/>
      <c r="D1026" s="144"/>
      <c r="E1026" s="144"/>
      <c r="F1026" s="144"/>
      <c r="G1026" s="144"/>
      <c r="H1026" s="232"/>
      <c r="I1026" s="144"/>
      <c r="J1026" s="144"/>
      <c r="K1026" s="144"/>
      <c r="L1026" s="144"/>
      <c r="M1026" s="144"/>
      <c r="N1026" s="144"/>
      <c r="O1026" s="144"/>
      <c r="P1026" s="144"/>
      <c r="Q1026" s="144"/>
      <c r="R1026" s="144"/>
      <c r="S1026" s="144"/>
      <c r="T1026" s="144"/>
      <c r="U1026" s="232"/>
      <c r="V1026" s="232"/>
      <c r="W1026" s="144"/>
      <c r="X1026" s="144"/>
      <c r="Y1026" s="144"/>
      <c r="Z1026" s="144"/>
      <c r="AA1026" s="144"/>
      <c r="AB1026" s="144"/>
      <c r="AC1026" s="144"/>
      <c r="AD1026" s="144"/>
      <c r="AE1026" s="232"/>
      <c r="AF1026" s="144"/>
      <c r="AG1026" s="144"/>
      <c r="AH1026" s="232"/>
      <c r="AI1026" s="232"/>
      <c r="AJ1026" s="144"/>
      <c r="AK1026" s="144"/>
      <c r="AL1026" s="144"/>
      <c r="AM1026" s="144"/>
      <c r="AN1026" s="144"/>
      <c r="AO1026" s="144"/>
      <c r="AP1026" s="144"/>
      <c r="AQ1026" s="144"/>
      <c r="AR1026" s="144"/>
      <c r="AS1026" s="144"/>
      <c r="AT1026" s="144"/>
      <c r="AU1026" s="144"/>
      <c r="AV1026" s="144"/>
    </row>
    <row r="1027" spans="3:48" x14ac:dyDescent="0.25">
      <c r="C1027" s="144"/>
      <c r="D1027" s="144"/>
      <c r="E1027" s="144"/>
      <c r="F1027" s="144"/>
      <c r="G1027" s="144"/>
      <c r="H1027" s="232"/>
      <c r="I1027" s="144"/>
      <c r="J1027" s="144"/>
      <c r="K1027" s="144"/>
      <c r="L1027" s="144"/>
      <c r="M1027" s="144"/>
      <c r="N1027" s="144"/>
      <c r="O1027" s="144"/>
      <c r="P1027" s="144"/>
      <c r="Q1027" s="144"/>
      <c r="R1027" s="144"/>
      <c r="S1027" s="144"/>
      <c r="T1027" s="144"/>
      <c r="U1027" s="232"/>
      <c r="V1027" s="232"/>
      <c r="W1027" s="144"/>
      <c r="X1027" s="144"/>
      <c r="Y1027" s="144"/>
      <c r="Z1027" s="144"/>
      <c r="AA1027" s="144"/>
      <c r="AB1027" s="144"/>
      <c r="AC1027" s="144"/>
      <c r="AD1027" s="144"/>
      <c r="AE1027" s="232"/>
      <c r="AF1027" s="144"/>
      <c r="AG1027" s="144"/>
      <c r="AH1027" s="232"/>
      <c r="AI1027" s="232"/>
      <c r="AJ1027" s="144"/>
      <c r="AK1027" s="144"/>
      <c r="AL1027" s="144"/>
      <c r="AM1027" s="144"/>
      <c r="AN1027" s="144"/>
      <c r="AO1027" s="144"/>
      <c r="AP1027" s="144"/>
      <c r="AQ1027" s="144"/>
      <c r="AR1027" s="144"/>
      <c r="AS1027" s="144"/>
      <c r="AT1027" s="144"/>
      <c r="AU1027" s="144"/>
      <c r="AV1027" s="144"/>
    </row>
    <row r="1028" spans="3:48" x14ac:dyDescent="0.25">
      <c r="C1028" s="144"/>
      <c r="D1028" s="144"/>
      <c r="E1028" s="144"/>
      <c r="F1028" s="144"/>
      <c r="G1028" s="144"/>
      <c r="H1028" s="232"/>
      <c r="I1028" s="144"/>
      <c r="J1028" s="144"/>
      <c r="K1028" s="144"/>
      <c r="L1028" s="144"/>
      <c r="M1028" s="144"/>
      <c r="N1028" s="144"/>
      <c r="O1028" s="144"/>
      <c r="P1028" s="144"/>
      <c r="Q1028" s="144"/>
      <c r="R1028" s="144"/>
      <c r="S1028" s="144"/>
      <c r="T1028" s="144"/>
      <c r="U1028" s="232"/>
      <c r="V1028" s="232"/>
      <c r="W1028" s="144"/>
      <c r="X1028" s="144"/>
      <c r="Y1028" s="144"/>
      <c r="Z1028" s="144"/>
      <c r="AA1028" s="144"/>
      <c r="AB1028" s="144"/>
      <c r="AC1028" s="144"/>
      <c r="AD1028" s="144"/>
      <c r="AE1028" s="232"/>
      <c r="AF1028" s="144"/>
      <c r="AG1028" s="144"/>
      <c r="AH1028" s="232"/>
      <c r="AI1028" s="232"/>
      <c r="AJ1028" s="144"/>
      <c r="AK1028" s="144"/>
      <c r="AL1028" s="144"/>
      <c r="AM1028" s="144"/>
      <c r="AN1028" s="144"/>
      <c r="AO1028" s="144"/>
      <c r="AP1028" s="144"/>
      <c r="AQ1028" s="144"/>
      <c r="AR1028" s="144"/>
      <c r="AS1028" s="144"/>
      <c r="AT1028" s="144"/>
      <c r="AU1028" s="144"/>
      <c r="AV1028" s="144"/>
    </row>
    <row r="1029" spans="3:48" x14ac:dyDescent="0.25">
      <c r="C1029" s="144"/>
      <c r="D1029" s="144"/>
      <c r="E1029" s="144"/>
      <c r="F1029" s="144"/>
      <c r="G1029" s="144"/>
      <c r="H1029" s="232"/>
      <c r="I1029" s="144"/>
      <c r="J1029" s="144"/>
      <c r="K1029" s="144"/>
      <c r="L1029" s="144"/>
      <c r="M1029" s="144"/>
      <c r="N1029" s="144"/>
      <c r="O1029" s="144"/>
      <c r="P1029" s="144"/>
      <c r="Q1029" s="144"/>
      <c r="R1029" s="144"/>
      <c r="S1029" s="144"/>
      <c r="T1029" s="144"/>
      <c r="U1029" s="232"/>
      <c r="V1029" s="232"/>
      <c r="W1029" s="144"/>
      <c r="X1029" s="144"/>
      <c r="Y1029" s="144"/>
      <c r="Z1029" s="144"/>
      <c r="AA1029" s="144"/>
      <c r="AB1029" s="144"/>
      <c r="AC1029" s="144"/>
      <c r="AD1029" s="144"/>
      <c r="AE1029" s="232"/>
      <c r="AF1029" s="144"/>
      <c r="AG1029" s="144"/>
      <c r="AH1029" s="232"/>
      <c r="AI1029" s="232"/>
      <c r="AJ1029" s="144"/>
      <c r="AK1029" s="144"/>
      <c r="AL1029" s="144"/>
      <c r="AM1029" s="144"/>
      <c r="AN1029" s="144"/>
      <c r="AO1029" s="144"/>
      <c r="AP1029" s="144"/>
      <c r="AQ1029" s="144"/>
      <c r="AR1029" s="144"/>
      <c r="AS1029" s="144"/>
      <c r="AT1029" s="144"/>
      <c r="AU1029" s="144"/>
      <c r="AV1029" s="144"/>
    </row>
    <row r="1030" spans="3:48" x14ac:dyDescent="0.25">
      <c r="C1030" s="144"/>
      <c r="D1030" s="144"/>
      <c r="E1030" s="144"/>
      <c r="F1030" s="144"/>
      <c r="G1030" s="144"/>
      <c r="H1030" s="232"/>
      <c r="I1030" s="144"/>
      <c r="J1030" s="144"/>
      <c r="K1030" s="144"/>
      <c r="L1030" s="144"/>
      <c r="M1030" s="144"/>
      <c r="N1030" s="144"/>
      <c r="O1030" s="144"/>
      <c r="P1030" s="144"/>
      <c r="Q1030" s="144"/>
      <c r="R1030" s="144"/>
      <c r="S1030" s="144"/>
      <c r="T1030" s="144"/>
      <c r="U1030" s="232"/>
      <c r="V1030" s="232"/>
      <c r="W1030" s="144"/>
      <c r="X1030" s="144"/>
      <c r="Y1030" s="144"/>
      <c r="Z1030" s="144"/>
      <c r="AA1030" s="144"/>
      <c r="AB1030" s="144"/>
      <c r="AC1030" s="144"/>
      <c r="AD1030" s="144"/>
      <c r="AE1030" s="232"/>
      <c r="AF1030" s="144"/>
      <c r="AG1030" s="144"/>
      <c r="AH1030" s="232"/>
      <c r="AI1030" s="232"/>
      <c r="AJ1030" s="144"/>
      <c r="AK1030" s="144"/>
      <c r="AL1030" s="144"/>
      <c r="AM1030" s="144"/>
      <c r="AN1030" s="144"/>
      <c r="AO1030" s="144"/>
      <c r="AP1030" s="144"/>
      <c r="AQ1030" s="144"/>
      <c r="AR1030" s="144"/>
      <c r="AS1030" s="144"/>
      <c r="AT1030" s="144"/>
      <c r="AU1030" s="144"/>
      <c r="AV1030" s="144"/>
    </row>
    <row r="1031" spans="3:48" x14ac:dyDescent="0.25">
      <c r="C1031" s="144"/>
      <c r="D1031" s="144"/>
      <c r="E1031" s="144"/>
      <c r="F1031" s="144"/>
      <c r="G1031" s="144"/>
      <c r="H1031" s="232"/>
      <c r="I1031" s="144"/>
      <c r="J1031" s="144"/>
      <c r="K1031" s="144"/>
      <c r="L1031" s="144"/>
      <c r="M1031" s="144"/>
      <c r="N1031" s="144"/>
      <c r="O1031" s="144"/>
      <c r="P1031" s="144"/>
      <c r="Q1031" s="144"/>
      <c r="R1031" s="144"/>
      <c r="S1031" s="144"/>
      <c r="T1031" s="144"/>
      <c r="U1031" s="232"/>
      <c r="V1031" s="232"/>
      <c r="W1031" s="144"/>
      <c r="X1031" s="144"/>
      <c r="Y1031" s="144"/>
      <c r="Z1031" s="144"/>
      <c r="AA1031" s="144"/>
      <c r="AB1031" s="144"/>
      <c r="AC1031" s="144"/>
      <c r="AD1031" s="144"/>
      <c r="AE1031" s="232"/>
      <c r="AF1031" s="144"/>
      <c r="AG1031" s="144"/>
      <c r="AH1031" s="232"/>
      <c r="AI1031" s="232"/>
      <c r="AJ1031" s="144"/>
      <c r="AK1031" s="144"/>
      <c r="AL1031" s="144"/>
      <c r="AM1031" s="144"/>
      <c r="AN1031" s="144"/>
      <c r="AO1031" s="144"/>
      <c r="AP1031" s="144"/>
      <c r="AQ1031" s="144"/>
      <c r="AR1031" s="144"/>
      <c r="AS1031" s="144"/>
      <c r="AT1031" s="144"/>
      <c r="AU1031" s="144"/>
      <c r="AV1031" s="144"/>
    </row>
    <row r="1032" spans="3:48" x14ac:dyDescent="0.25">
      <c r="C1032" s="144"/>
      <c r="D1032" s="144"/>
      <c r="E1032" s="144"/>
      <c r="F1032" s="144"/>
      <c r="G1032" s="144"/>
      <c r="H1032" s="232"/>
      <c r="I1032" s="144"/>
      <c r="J1032" s="144"/>
      <c r="K1032" s="144"/>
      <c r="L1032" s="144"/>
      <c r="M1032" s="144"/>
      <c r="N1032" s="144"/>
      <c r="O1032" s="144"/>
      <c r="P1032" s="144"/>
      <c r="Q1032" s="144"/>
      <c r="R1032" s="144"/>
      <c r="S1032" s="144"/>
      <c r="T1032" s="144"/>
      <c r="U1032" s="232"/>
      <c r="V1032" s="232"/>
      <c r="W1032" s="144"/>
      <c r="X1032" s="144"/>
      <c r="Y1032" s="144"/>
      <c r="Z1032" s="144"/>
      <c r="AA1032" s="144"/>
      <c r="AB1032" s="144"/>
      <c r="AC1032" s="144"/>
      <c r="AD1032" s="144"/>
      <c r="AE1032" s="232"/>
      <c r="AF1032" s="144"/>
      <c r="AG1032" s="144"/>
      <c r="AH1032" s="232"/>
      <c r="AI1032" s="232"/>
      <c r="AJ1032" s="144"/>
      <c r="AK1032" s="144"/>
      <c r="AL1032" s="144"/>
      <c r="AM1032" s="144"/>
      <c r="AN1032" s="144"/>
      <c r="AO1032" s="144"/>
      <c r="AP1032" s="144"/>
      <c r="AQ1032" s="144"/>
      <c r="AR1032" s="144"/>
      <c r="AS1032" s="144"/>
      <c r="AT1032" s="144"/>
      <c r="AU1032" s="144"/>
      <c r="AV1032" s="144"/>
    </row>
    <row r="1033" spans="3:48" x14ac:dyDescent="0.25">
      <c r="C1033" s="144"/>
      <c r="D1033" s="144"/>
      <c r="E1033" s="144"/>
      <c r="F1033" s="144"/>
      <c r="G1033" s="144"/>
      <c r="H1033" s="232"/>
      <c r="I1033" s="144"/>
      <c r="J1033" s="144"/>
      <c r="K1033" s="144"/>
      <c r="L1033" s="144"/>
      <c r="M1033" s="144"/>
      <c r="N1033" s="144"/>
      <c r="O1033" s="144"/>
      <c r="P1033" s="144"/>
      <c r="Q1033" s="144"/>
      <c r="R1033" s="144"/>
      <c r="S1033" s="144"/>
      <c r="T1033" s="144"/>
      <c r="U1033" s="232"/>
      <c r="V1033" s="232"/>
      <c r="W1033" s="144"/>
      <c r="X1033" s="144"/>
      <c r="Y1033" s="144"/>
      <c r="Z1033" s="144"/>
      <c r="AA1033" s="144"/>
      <c r="AB1033" s="144"/>
      <c r="AC1033" s="144"/>
      <c r="AD1033" s="144"/>
      <c r="AE1033" s="232"/>
      <c r="AF1033" s="144"/>
      <c r="AG1033" s="144"/>
      <c r="AH1033" s="232"/>
      <c r="AI1033" s="232"/>
      <c r="AJ1033" s="144"/>
      <c r="AK1033" s="144"/>
      <c r="AL1033" s="144"/>
      <c r="AM1033" s="144"/>
      <c r="AN1033" s="144"/>
      <c r="AO1033" s="144"/>
      <c r="AP1033" s="144"/>
      <c r="AQ1033" s="144"/>
      <c r="AR1033" s="144"/>
      <c r="AS1033" s="144"/>
      <c r="AT1033" s="144"/>
      <c r="AU1033" s="144"/>
      <c r="AV1033" s="144"/>
    </row>
    <row r="1034" spans="3:48" x14ac:dyDescent="0.25">
      <c r="C1034" s="144"/>
      <c r="D1034" s="144"/>
      <c r="E1034" s="144"/>
      <c r="F1034" s="144"/>
      <c r="G1034" s="144"/>
      <c r="H1034" s="232"/>
      <c r="I1034" s="144"/>
      <c r="J1034" s="144"/>
      <c r="K1034" s="144"/>
      <c r="L1034" s="144"/>
      <c r="M1034" s="144"/>
      <c r="N1034" s="144"/>
      <c r="O1034" s="144"/>
      <c r="P1034" s="144"/>
      <c r="Q1034" s="144"/>
      <c r="R1034" s="144"/>
      <c r="S1034" s="144"/>
      <c r="T1034" s="144"/>
      <c r="U1034" s="232"/>
      <c r="V1034" s="232"/>
      <c r="W1034" s="144"/>
      <c r="X1034" s="144"/>
      <c r="Y1034" s="144"/>
      <c r="Z1034" s="144"/>
      <c r="AA1034" s="144"/>
      <c r="AB1034" s="144"/>
      <c r="AC1034" s="144"/>
      <c r="AD1034" s="144"/>
      <c r="AE1034" s="232"/>
      <c r="AF1034" s="144"/>
      <c r="AG1034" s="144"/>
      <c r="AH1034" s="232"/>
      <c r="AI1034" s="232"/>
      <c r="AJ1034" s="144"/>
      <c r="AK1034" s="144"/>
      <c r="AL1034" s="144"/>
      <c r="AM1034" s="144"/>
      <c r="AN1034" s="144"/>
      <c r="AO1034" s="144"/>
      <c r="AP1034" s="144"/>
      <c r="AQ1034" s="144"/>
      <c r="AR1034" s="144"/>
      <c r="AS1034" s="144"/>
      <c r="AT1034" s="144"/>
      <c r="AU1034" s="144"/>
      <c r="AV1034" s="144"/>
    </row>
    <row r="1035" spans="3:48" x14ac:dyDescent="0.25">
      <c r="C1035" s="144"/>
      <c r="D1035" s="144"/>
      <c r="E1035" s="144"/>
      <c r="F1035" s="144"/>
      <c r="G1035" s="144"/>
      <c r="H1035" s="232"/>
      <c r="I1035" s="144"/>
      <c r="J1035" s="144"/>
      <c r="K1035" s="144"/>
      <c r="L1035" s="144"/>
      <c r="M1035" s="144"/>
      <c r="N1035" s="144"/>
      <c r="O1035" s="144"/>
      <c r="P1035" s="144"/>
      <c r="Q1035" s="144"/>
      <c r="R1035" s="144"/>
      <c r="S1035" s="144"/>
      <c r="T1035" s="144"/>
      <c r="U1035" s="232"/>
      <c r="V1035" s="232"/>
      <c r="W1035" s="144"/>
      <c r="X1035" s="144"/>
      <c r="Y1035" s="144"/>
      <c r="Z1035" s="144"/>
      <c r="AA1035" s="144"/>
      <c r="AB1035" s="144"/>
      <c r="AC1035" s="144"/>
      <c r="AD1035" s="144"/>
      <c r="AE1035" s="232"/>
      <c r="AF1035" s="144"/>
      <c r="AG1035" s="144"/>
      <c r="AH1035" s="232"/>
      <c r="AI1035" s="232"/>
      <c r="AJ1035" s="144"/>
      <c r="AK1035" s="144"/>
      <c r="AL1035" s="144"/>
      <c r="AM1035" s="144"/>
      <c r="AN1035" s="144"/>
      <c r="AO1035" s="144"/>
      <c r="AP1035" s="144"/>
      <c r="AQ1035" s="144"/>
      <c r="AR1035" s="144"/>
      <c r="AS1035" s="144"/>
      <c r="AT1035" s="144"/>
      <c r="AU1035" s="144"/>
      <c r="AV1035" s="144"/>
    </row>
    <row r="1036" spans="3:48" x14ac:dyDescent="0.25">
      <c r="C1036" s="144"/>
      <c r="D1036" s="144"/>
      <c r="E1036" s="144"/>
      <c r="F1036" s="144"/>
      <c r="G1036" s="144"/>
      <c r="H1036" s="232"/>
      <c r="I1036" s="144"/>
      <c r="J1036" s="144"/>
      <c r="K1036" s="144"/>
      <c r="L1036" s="144"/>
      <c r="M1036" s="144"/>
      <c r="N1036" s="144"/>
      <c r="O1036" s="144"/>
      <c r="P1036" s="144"/>
      <c r="Q1036" s="144"/>
      <c r="R1036" s="144"/>
      <c r="S1036" s="144"/>
      <c r="T1036" s="144"/>
      <c r="U1036" s="232"/>
      <c r="V1036" s="232"/>
      <c r="W1036" s="144"/>
      <c r="X1036" s="144"/>
      <c r="Y1036" s="144"/>
      <c r="Z1036" s="144"/>
      <c r="AA1036" s="144"/>
      <c r="AB1036" s="144"/>
      <c r="AC1036" s="144"/>
      <c r="AD1036" s="144"/>
      <c r="AE1036" s="232"/>
      <c r="AF1036" s="144"/>
      <c r="AG1036" s="144"/>
      <c r="AH1036" s="232"/>
      <c r="AI1036" s="232"/>
      <c r="AJ1036" s="144"/>
      <c r="AK1036" s="144"/>
      <c r="AL1036" s="144"/>
      <c r="AM1036" s="144"/>
      <c r="AN1036" s="144"/>
      <c r="AO1036" s="144"/>
      <c r="AP1036" s="144"/>
      <c r="AQ1036" s="144"/>
      <c r="AR1036" s="144"/>
      <c r="AS1036" s="144"/>
      <c r="AT1036" s="144"/>
      <c r="AU1036" s="144"/>
      <c r="AV1036" s="144"/>
    </row>
    <row r="1037" spans="3:48" x14ac:dyDescent="0.25">
      <c r="C1037" s="144"/>
      <c r="D1037" s="144"/>
      <c r="E1037" s="144"/>
      <c r="F1037" s="144"/>
      <c r="G1037" s="144"/>
      <c r="H1037" s="232"/>
      <c r="I1037" s="144"/>
      <c r="J1037" s="144"/>
      <c r="K1037" s="144"/>
      <c r="L1037" s="144"/>
      <c r="M1037" s="144"/>
      <c r="N1037" s="144"/>
      <c r="O1037" s="144"/>
      <c r="P1037" s="144"/>
      <c r="Q1037" s="144"/>
      <c r="R1037" s="144"/>
      <c r="S1037" s="144"/>
      <c r="T1037" s="144"/>
      <c r="U1037" s="232"/>
      <c r="V1037" s="232"/>
      <c r="W1037" s="144"/>
      <c r="X1037" s="144"/>
      <c r="Y1037" s="144"/>
      <c r="Z1037" s="144"/>
      <c r="AA1037" s="144"/>
      <c r="AB1037" s="144"/>
      <c r="AC1037" s="144"/>
      <c r="AD1037" s="144"/>
      <c r="AE1037" s="232"/>
      <c r="AF1037" s="144"/>
      <c r="AG1037" s="144"/>
      <c r="AH1037" s="232"/>
      <c r="AI1037" s="232"/>
      <c r="AJ1037" s="144"/>
      <c r="AK1037" s="144"/>
      <c r="AL1037" s="144"/>
      <c r="AM1037" s="144"/>
      <c r="AN1037" s="144"/>
      <c r="AO1037" s="144"/>
      <c r="AP1037" s="144"/>
      <c r="AQ1037" s="144"/>
      <c r="AR1037" s="144"/>
      <c r="AS1037" s="144"/>
      <c r="AT1037" s="144"/>
      <c r="AU1037" s="144"/>
      <c r="AV1037" s="144"/>
    </row>
    <row r="1038" spans="3:48" x14ac:dyDescent="0.25">
      <c r="C1038" s="144"/>
      <c r="D1038" s="144"/>
      <c r="E1038" s="144"/>
      <c r="F1038" s="144"/>
      <c r="G1038" s="144"/>
      <c r="H1038" s="232"/>
      <c r="I1038" s="144"/>
      <c r="J1038" s="144"/>
      <c r="K1038" s="144"/>
      <c r="L1038" s="144"/>
      <c r="M1038" s="144"/>
      <c r="N1038" s="144"/>
      <c r="O1038" s="144"/>
      <c r="P1038" s="144"/>
      <c r="Q1038" s="144"/>
      <c r="R1038" s="144"/>
      <c r="S1038" s="144"/>
      <c r="T1038" s="144"/>
      <c r="U1038" s="232"/>
      <c r="V1038" s="232"/>
      <c r="W1038" s="144"/>
      <c r="X1038" s="144"/>
      <c r="Y1038" s="144"/>
      <c r="Z1038" s="144"/>
      <c r="AA1038" s="144"/>
      <c r="AB1038" s="144"/>
      <c r="AC1038" s="144"/>
      <c r="AD1038" s="144"/>
      <c r="AE1038" s="232"/>
      <c r="AF1038" s="144"/>
      <c r="AG1038" s="144"/>
      <c r="AH1038" s="232"/>
      <c r="AI1038" s="232"/>
      <c r="AJ1038" s="144"/>
      <c r="AK1038" s="144"/>
      <c r="AL1038" s="144"/>
      <c r="AM1038" s="144"/>
      <c r="AN1038" s="144"/>
      <c r="AO1038" s="144"/>
      <c r="AP1038" s="144"/>
      <c r="AQ1038" s="144"/>
      <c r="AR1038" s="144"/>
      <c r="AS1038" s="144"/>
      <c r="AT1038" s="144"/>
      <c r="AU1038" s="144"/>
      <c r="AV1038" s="144"/>
    </row>
  </sheetData>
  <autoFilter ref="A2:BB2" xr:uid="{00000000-0009-0000-0000-000000000000}"/>
  <mergeCells count="700">
    <mergeCell ref="N322:N324"/>
    <mergeCell ref="D93:D208"/>
    <mergeCell ref="AK131:AK137"/>
    <mergeCell ref="AU139:AU152"/>
    <mergeCell ref="AK168:AK177"/>
    <mergeCell ref="AT168:AT177"/>
    <mergeCell ref="AU168:AU177"/>
    <mergeCell ref="AT139:AT152"/>
    <mergeCell ref="AK139:AK152"/>
    <mergeCell ref="AK154:AK159"/>
    <mergeCell ref="AT154:AT159"/>
    <mergeCell ref="AU154:AU159"/>
    <mergeCell ref="AT301:AT303"/>
    <mergeCell ref="AU301:AU303"/>
    <mergeCell ref="AK93:AK116"/>
    <mergeCell ref="AT93:AT116"/>
    <mergeCell ref="AU93:AU116"/>
    <mergeCell ref="AK118:AK130"/>
    <mergeCell ref="AT118:AT130"/>
    <mergeCell ref="AU118:AU130"/>
    <mergeCell ref="AT131:AT137"/>
    <mergeCell ref="AU131:AU137"/>
    <mergeCell ref="AK293:AK294"/>
    <mergeCell ref="AT293:AT294"/>
    <mergeCell ref="AU293:AU294"/>
    <mergeCell ref="AK305:AK306"/>
    <mergeCell ref="AT305:AT306"/>
    <mergeCell ref="AU305:AU306"/>
    <mergeCell ref="AK296:AK298"/>
    <mergeCell ref="AT296:AT298"/>
    <mergeCell ref="AU296:AU298"/>
    <mergeCell ref="AK301:AK303"/>
    <mergeCell ref="AK287:AK288"/>
    <mergeCell ref="AT287:AT288"/>
    <mergeCell ref="AU287:AU288"/>
    <mergeCell ref="AK290:AK291"/>
    <mergeCell ref="AT290:AT291"/>
    <mergeCell ref="AU290:AU291"/>
    <mergeCell ref="AU281:AU282"/>
    <mergeCell ref="AT179:AT193"/>
    <mergeCell ref="AU179:AU193"/>
    <mergeCell ref="AT195:AT199"/>
    <mergeCell ref="AK195:AK199"/>
    <mergeCell ref="AU195:AU199"/>
    <mergeCell ref="AK274:AK276"/>
    <mergeCell ref="AT274:AT276"/>
    <mergeCell ref="AU274:AU276"/>
    <mergeCell ref="AT201:AT206"/>
    <mergeCell ref="AK201:AK206"/>
    <mergeCell ref="AT242:AT243"/>
    <mergeCell ref="AU242:AU243"/>
    <mergeCell ref="AK248:AK249"/>
    <mergeCell ref="AK269:AK270"/>
    <mergeCell ref="AT269:AT270"/>
    <mergeCell ref="AU269:AU270"/>
    <mergeCell ref="AK257:AK258"/>
    <mergeCell ref="AT257:AT258"/>
    <mergeCell ref="AK310:AK313"/>
    <mergeCell ref="AT310:AT313"/>
    <mergeCell ref="AU310:AU313"/>
    <mergeCell ref="AT209:AT214"/>
    <mergeCell ref="AU209:AU214"/>
    <mergeCell ref="AT248:AT249"/>
    <mergeCell ref="AT216:AT224"/>
    <mergeCell ref="AU216:AU224"/>
    <mergeCell ref="AT226:AT227"/>
    <mergeCell ref="AU226:AU227"/>
    <mergeCell ref="AT229:AT237"/>
    <mergeCell ref="AU229:AU237"/>
    <mergeCell ref="AU251:AU252"/>
    <mergeCell ref="AK239:AK240"/>
    <mergeCell ref="AT239:AT240"/>
    <mergeCell ref="AU239:AU240"/>
    <mergeCell ref="AU257:AU258"/>
    <mergeCell ref="AK265:AK266"/>
    <mergeCell ref="AK242:AK243"/>
    <mergeCell ref="AK278:AK279"/>
    <mergeCell ref="AT278:AT279"/>
    <mergeCell ref="AU278:AU279"/>
    <mergeCell ref="AK281:AK282"/>
    <mergeCell ref="AT281:AT282"/>
    <mergeCell ref="AE216:AE224"/>
    <mergeCell ref="AE229:AE236"/>
    <mergeCell ref="AK209:AK214"/>
    <mergeCell ref="AK216:AK224"/>
    <mergeCell ref="AE75:AE83"/>
    <mergeCell ref="AE86:AE90"/>
    <mergeCell ref="AE96:AE98"/>
    <mergeCell ref="AE103:AE106"/>
    <mergeCell ref="AE118:AE121"/>
    <mergeCell ref="AE124:AE128"/>
    <mergeCell ref="AE173:AE176"/>
    <mergeCell ref="AE190:AE192"/>
    <mergeCell ref="AE195:AE198"/>
    <mergeCell ref="AE149:AE151"/>
    <mergeCell ref="AE154:AE155"/>
    <mergeCell ref="AE156:AE157"/>
    <mergeCell ref="AE161:AE162"/>
    <mergeCell ref="AK226:AK227"/>
    <mergeCell ref="AK229:AK237"/>
    <mergeCell ref="AK160:AK167"/>
    <mergeCell ref="AK179:AK193"/>
    <mergeCell ref="AK45:AK46"/>
    <mergeCell ref="AT45:AT46"/>
    <mergeCell ref="AU45:AU46"/>
    <mergeCell ref="AK48:AK51"/>
    <mergeCell ref="AT48:AT51"/>
    <mergeCell ref="AU48:AU51"/>
    <mergeCell ref="AE201:AE202"/>
    <mergeCell ref="AE204:AE205"/>
    <mergeCell ref="AE209:AE214"/>
    <mergeCell ref="AT160:AT167"/>
    <mergeCell ref="AU160:AU167"/>
    <mergeCell ref="AU201:AU206"/>
    <mergeCell ref="AE53:AE61"/>
    <mergeCell ref="AE63:AE68"/>
    <mergeCell ref="AE70:AE72"/>
    <mergeCell ref="AK88:AK90"/>
    <mergeCell ref="AT88:AT90"/>
    <mergeCell ref="AU88:AU90"/>
    <mergeCell ref="AK86:AK87"/>
    <mergeCell ref="AT86:AT87"/>
    <mergeCell ref="AU86:AU87"/>
    <mergeCell ref="AK60:AK61"/>
    <mergeCell ref="AT60:AT61"/>
    <mergeCell ref="AU60:AU61"/>
    <mergeCell ref="AE26:AE27"/>
    <mergeCell ref="AE33:AE34"/>
    <mergeCell ref="AE35:AE37"/>
    <mergeCell ref="AK82:AK83"/>
    <mergeCell ref="AT82:AT83"/>
    <mergeCell ref="AU82:AU83"/>
    <mergeCell ref="AK75:AK78"/>
    <mergeCell ref="AT75:AT78"/>
    <mergeCell ref="AU75:AU78"/>
    <mergeCell ref="AK80:AK81"/>
    <mergeCell ref="AT80:AT81"/>
    <mergeCell ref="AU80:AU81"/>
    <mergeCell ref="AK63:AK68"/>
    <mergeCell ref="AT63:AT68"/>
    <mergeCell ref="AU63:AU68"/>
    <mergeCell ref="AK70:AK73"/>
    <mergeCell ref="AT70:AT73"/>
    <mergeCell ref="AU70:AU73"/>
    <mergeCell ref="AK58:AK59"/>
    <mergeCell ref="AT58:AT59"/>
    <mergeCell ref="AU58:AU59"/>
    <mergeCell ref="AE39:AE41"/>
    <mergeCell ref="AE43:AE46"/>
    <mergeCell ref="AE48:AE51"/>
    <mergeCell ref="AU3:AU7"/>
    <mergeCell ref="AK10:AK13"/>
    <mergeCell ref="AT10:AT13"/>
    <mergeCell ref="AU10:AU13"/>
    <mergeCell ref="AK15:AK18"/>
    <mergeCell ref="AE139:AE142"/>
    <mergeCell ref="AE143:AE144"/>
    <mergeCell ref="AK33:AK37"/>
    <mergeCell ref="AT33:AT37"/>
    <mergeCell ref="AU33:AU37"/>
    <mergeCell ref="AK39:AK41"/>
    <mergeCell ref="AT39:AT41"/>
    <mergeCell ref="AU39:AU41"/>
    <mergeCell ref="AT15:AT18"/>
    <mergeCell ref="AU15:AU18"/>
    <mergeCell ref="AK22:AK24"/>
    <mergeCell ref="AT22:AT24"/>
    <mergeCell ref="AU22:AU24"/>
    <mergeCell ref="AK26:AK31"/>
    <mergeCell ref="AT26:AT31"/>
    <mergeCell ref="AU26:AU31"/>
    <mergeCell ref="AE3:AE6"/>
    <mergeCell ref="AE10:AE17"/>
    <mergeCell ref="AE22:AE23"/>
    <mergeCell ref="J314:J321"/>
    <mergeCell ref="J209:J210"/>
    <mergeCell ref="J211:J212"/>
    <mergeCell ref="J213:J214"/>
    <mergeCell ref="F209:F214"/>
    <mergeCell ref="J251:J252"/>
    <mergeCell ref="J216:J217"/>
    <mergeCell ref="J218:J219"/>
    <mergeCell ref="J220:J221"/>
    <mergeCell ref="J222:J224"/>
    <mergeCell ref="F243:F244"/>
    <mergeCell ref="G243:G244"/>
    <mergeCell ref="H243:H244"/>
    <mergeCell ref="J239:J240"/>
    <mergeCell ref="J226:J227"/>
    <mergeCell ref="J229:J230"/>
    <mergeCell ref="J231:J232"/>
    <mergeCell ref="J233:J234"/>
    <mergeCell ref="J235:J236"/>
    <mergeCell ref="F252:F254"/>
    <mergeCell ref="G252:G253"/>
    <mergeCell ref="H209:H214"/>
    <mergeCell ref="I209:I214"/>
    <mergeCell ref="H1:H2"/>
    <mergeCell ref="M1:M2"/>
    <mergeCell ref="AM1:AM2"/>
    <mergeCell ref="A1:A419"/>
    <mergeCell ref="J388:J390"/>
    <mergeCell ref="N274:N275"/>
    <mergeCell ref="J274:J277"/>
    <mergeCell ref="J278:J280"/>
    <mergeCell ref="J281:J283"/>
    <mergeCell ref="J284:J285"/>
    <mergeCell ref="J286:J289"/>
    <mergeCell ref="J290:J292"/>
    <mergeCell ref="J310:J312"/>
    <mergeCell ref="F33:F34"/>
    <mergeCell ref="G33:G34"/>
    <mergeCell ref="H33:H34"/>
    <mergeCell ref="J322:J325"/>
    <mergeCell ref="J328:J336"/>
    <mergeCell ref="J339:J342"/>
    <mergeCell ref="F314:F321"/>
    <mergeCell ref="G314:G321"/>
    <mergeCell ref="H314:H321"/>
    <mergeCell ref="I314:I321"/>
    <mergeCell ref="I26:I27"/>
    <mergeCell ref="H8:H9"/>
    <mergeCell ref="H53:H62"/>
    <mergeCell ref="H43:H47"/>
    <mergeCell ref="I10:I17"/>
    <mergeCell ref="J3:J7"/>
    <mergeCell ref="F3:F7"/>
    <mergeCell ref="G3:G7"/>
    <mergeCell ref="F22:F24"/>
    <mergeCell ref="G22:G24"/>
    <mergeCell ref="H22:H24"/>
    <mergeCell ref="I22:I24"/>
    <mergeCell ref="I8:I9"/>
    <mergeCell ref="J10:J14"/>
    <mergeCell ref="F10:F17"/>
    <mergeCell ref="G10:G17"/>
    <mergeCell ref="H10:H17"/>
    <mergeCell ref="B1:B2"/>
    <mergeCell ref="C1:C2"/>
    <mergeCell ref="D1:D2"/>
    <mergeCell ref="E1:E2"/>
    <mergeCell ref="F1:F2"/>
    <mergeCell ref="G1:G2"/>
    <mergeCell ref="AH1:AH2"/>
    <mergeCell ref="I20:I21"/>
    <mergeCell ref="J20:J21"/>
    <mergeCell ref="I3:I7"/>
    <mergeCell ref="K8:K9"/>
    <mergeCell ref="J8:J9"/>
    <mergeCell ref="K1:K2"/>
    <mergeCell ref="K20:K21"/>
    <mergeCell ref="I1:I2"/>
    <mergeCell ref="J1:J2"/>
    <mergeCell ref="F20:F21"/>
    <mergeCell ref="B3:B423"/>
    <mergeCell ref="D407:D421"/>
    <mergeCell ref="J415:J419"/>
    <mergeCell ref="F26:F27"/>
    <mergeCell ref="G26:G27"/>
    <mergeCell ref="H26:H27"/>
    <mergeCell ref="F53:F62"/>
    <mergeCell ref="AU1:AU2"/>
    <mergeCell ref="AE1:AE2"/>
    <mergeCell ref="AF1:AF2"/>
    <mergeCell ref="AS1:AS2"/>
    <mergeCell ref="AT1:AT2"/>
    <mergeCell ref="L20:L21"/>
    <mergeCell ref="AN1:AN2"/>
    <mergeCell ref="AO1:AO2"/>
    <mergeCell ref="AP1:AP2"/>
    <mergeCell ref="L1:L2"/>
    <mergeCell ref="N1:N2"/>
    <mergeCell ref="AI1:AI2"/>
    <mergeCell ref="S1:V1"/>
    <mergeCell ref="W1:Z1"/>
    <mergeCell ref="AA1:AD1"/>
    <mergeCell ref="O1:R1"/>
    <mergeCell ref="AQ1:AQ2"/>
    <mergeCell ref="AR1:AR2"/>
    <mergeCell ref="AG1:AG2"/>
    <mergeCell ref="AJ1:AJ2"/>
    <mergeCell ref="AK1:AK2"/>
    <mergeCell ref="AL1:AL2"/>
    <mergeCell ref="AK3:AK7"/>
    <mergeCell ref="AT3:AT7"/>
    <mergeCell ref="J96:J100"/>
    <mergeCell ref="J63:J68"/>
    <mergeCell ref="J80:J81"/>
    <mergeCell ref="J82:J84"/>
    <mergeCell ref="J70:J73"/>
    <mergeCell ref="J75:J79"/>
    <mergeCell ref="J136:J137"/>
    <mergeCell ref="J93:J95"/>
    <mergeCell ref="F94:F95"/>
    <mergeCell ref="G94:G95"/>
    <mergeCell ref="H94:H95"/>
    <mergeCell ref="I94:I95"/>
    <mergeCell ref="F99:F100"/>
    <mergeCell ref="G99:G100"/>
    <mergeCell ref="F96:F98"/>
    <mergeCell ref="G96:G98"/>
    <mergeCell ref="F75:F84"/>
    <mergeCell ref="G75:G84"/>
    <mergeCell ref="H75:H84"/>
    <mergeCell ref="I75:I84"/>
    <mergeCell ref="F70:F73"/>
    <mergeCell ref="G70:G73"/>
    <mergeCell ref="H70:H73"/>
    <mergeCell ref="I70:I73"/>
    <mergeCell ref="J139:J144"/>
    <mergeCell ref="J134:J135"/>
    <mergeCell ref="F134:F135"/>
    <mergeCell ref="G134:G135"/>
    <mergeCell ref="H134:H135"/>
    <mergeCell ref="I134:I135"/>
    <mergeCell ref="F136:F137"/>
    <mergeCell ref="G136:G137"/>
    <mergeCell ref="H136:H137"/>
    <mergeCell ref="I136:I137"/>
    <mergeCell ref="I139:I142"/>
    <mergeCell ref="F143:F144"/>
    <mergeCell ref="G143:G144"/>
    <mergeCell ref="H143:H144"/>
    <mergeCell ref="I143:I144"/>
    <mergeCell ref="E168:E178"/>
    <mergeCell ref="F173:F177"/>
    <mergeCell ref="G173:G177"/>
    <mergeCell ref="F168:F169"/>
    <mergeCell ref="G168:G169"/>
    <mergeCell ref="H168:H169"/>
    <mergeCell ref="I168:I169"/>
    <mergeCell ref="I149:I152"/>
    <mergeCell ref="H147:H148"/>
    <mergeCell ref="E139:E153"/>
    <mergeCell ref="F149:F152"/>
    <mergeCell ref="G149:G152"/>
    <mergeCell ref="H149:H152"/>
    <mergeCell ref="F139:F142"/>
    <mergeCell ref="G139:G142"/>
    <mergeCell ref="H139:H142"/>
    <mergeCell ref="I173:I177"/>
    <mergeCell ref="J173:J177"/>
    <mergeCell ref="H179:H181"/>
    <mergeCell ref="I179:I181"/>
    <mergeCell ref="J179:J181"/>
    <mergeCell ref="F179:F181"/>
    <mergeCell ref="G179:G181"/>
    <mergeCell ref="F182:F184"/>
    <mergeCell ref="F171:F172"/>
    <mergeCell ref="G171:G172"/>
    <mergeCell ref="H171:H172"/>
    <mergeCell ref="I171:I172"/>
    <mergeCell ref="J168:J172"/>
    <mergeCell ref="G20:G21"/>
    <mergeCell ref="H20:H21"/>
    <mergeCell ref="E26:E62"/>
    <mergeCell ref="E3:E25"/>
    <mergeCell ref="H35:H38"/>
    <mergeCell ref="I35:I38"/>
    <mergeCell ref="F39:F42"/>
    <mergeCell ref="F161:F162"/>
    <mergeCell ref="G161:G162"/>
    <mergeCell ref="H161:H162"/>
    <mergeCell ref="I161:I162"/>
    <mergeCell ref="I53:I62"/>
    <mergeCell ref="F63:F69"/>
    <mergeCell ref="G63:G69"/>
    <mergeCell ref="H63:H69"/>
    <mergeCell ref="I63:I69"/>
    <mergeCell ref="H96:H98"/>
    <mergeCell ref="I96:I98"/>
    <mergeCell ref="H99:H100"/>
    <mergeCell ref="I99:I100"/>
    <mergeCell ref="G53:G62"/>
    <mergeCell ref="H3:H7"/>
    <mergeCell ref="F8:F9"/>
    <mergeCell ref="G8:G9"/>
    <mergeCell ref="G31:G32"/>
    <mergeCell ref="H31:H32"/>
    <mergeCell ref="I31:I32"/>
    <mergeCell ref="J26:J32"/>
    <mergeCell ref="F43:F47"/>
    <mergeCell ref="G43:G47"/>
    <mergeCell ref="J48:J52"/>
    <mergeCell ref="F35:F38"/>
    <mergeCell ref="G35:G38"/>
    <mergeCell ref="J33:J38"/>
    <mergeCell ref="I43:I47"/>
    <mergeCell ref="F48:F52"/>
    <mergeCell ref="G48:G52"/>
    <mergeCell ref="H48:H52"/>
    <mergeCell ref="I48:I52"/>
    <mergeCell ref="I33:I34"/>
    <mergeCell ref="J45:J46"/>
    <mergeCell ref="J39:J42"/>
    <mergeCell ref="J86:J87"/>
    <mergeCell ref="J88:J90"/>
    <mergeCell ref="D3:D92"/>
    <mergeCell ref="E75:E85"/>
    <mergeCell ref="E86:E91"/>
    <mergeCell ref="F86:F91"/>
    <mergeCell ref="G86:G91"/>
    <mergeCell ref="H86:H91"/>
    <mergeCell ref="I86:I91"/>
    <mergeCell ref="E63:E74"/>
    <mergeCell ref="J53:J55"/>
    <mergeCell ref="J56:J57"/>
    <mergeCell ref="J58:J59"/>
    <mergeCell ref="J60:J61"/>
    <mergeCell ref="J15:J19"/>
    <mergeCell ref="F18:F19"/>
    <mergeCell ref="G18:G19"/>
    <mergeCell ref="H18:H19"/>
    <mergeCell ref="I18:I19"/>
    <mergeCell ref="G39:G42"/>
    <mergeCell ref="H39:H42"/>
    <mergeCell ref="I39:I42"/>
    <mergeCell ref="J22:J24"/>
    <mergeCell ref="F31:F32"/>
    <mergeCell ref="H103:H107"/>
    <mergeCell ref="I103:I107"/>
    <mergeCell ref="J103:J106"/>
    <mergeCell ref="I110:I111"/>
    <mergeCell ref="F112:F113"/>
    <mergeCell ref="G112:G113"/>
    <mergeCell ref="H112:H113"/>
    <mergeCell ref="I112:I113"/>
    <mergeCell ref="F101:F102"/>
    <mergeCell ref="G101:G102"/>
    <mergeCell ref="H101:H102"/>
    <mergeCell ref="I101:I102"/>
    <mergeCell ref="E93:E117"/>
    <mergeCell ref="F115:F116"/>
    <mergeCell ref="G115:G116"/>
    <mergeCell ref="H115:H116"/>
    <mergeCell ref="I115:I116"/>
    <mergeCell ref="J114:J116"/>
    <mergeCell ref="G110:G111"/>
    <mergeCell ref="H110:H111"/>
    <mergeCell ref="E118:E130"/>
    <mergeCell ref="F122:F123"/>
    <mergeCell ref="G122:G123"/>
    <mergeCell ref="H122:H123"/>
    <mergeCell ref="I122:I123"/>
    <mergeCell ref="J118:J123"/>
    <mergeCell ref="F108:F109"/>
    <mergeCell ref="G108:G109"/>
    <mergeCell ref="H108:H109"/>
    <mergeCell ref="I108:I109"/>
    <mergeCell ref="F110:F111"/>
    <mergeCell ref="I118:I121"/>
    <mergeCell ref="J112:J113"/>
    <mergeCell ref="J101:J102"/>
    <mergeCell ref="F103:F107"/>
    <mergeCell ref="G103:G107"/>
    <mergeCell ref="F132:F133"/>
    <mergeCell ref="G132:G133"/>
    <mergeCell ref="H132:H133"/>
    <mergeCell ref="I132:I133"/>
    <mergeCell ref="J131:J133"/>
    <mergeCell ref="E131:E138"/>
    <mergeCell ref="F118:F121"/>
    <mergeCell ref="G118:G121"/>
    <mergeCell ref="H118:H121"/>
    <mergeCell ref="F124:F129"/>
    <mergeCell ref="G124:G129"/>
    <mergeCell ref="H124:H129"/>
    <mergeCell ref="I124:I129"/>
    <mergeCell ref="J124:J129"/>
    <mergeCell ref="J146:J152"/>
    <mergeCell ref="J154:J158"/>
    <mergeCell ref="E154:E159"/>
    <mergeCell ref="F156:F158"/>
    <mergeCell ref="G156:G158"/>
    <mergeCell ref="H156:H158"/>
    <mergeCell ref="I156:I158"/>
    <mergeCell ref="I147:I148"/>
    <mergeCell ref="F147:F148"/>
    <mergeCell ref="G147:G148"/>
    <mergeCell ref="F154:F155"/>
    <mergeCell ref="G154:G155"/>
    <mergeCell ref="H154:H155"/>
    <mergeCell ref="I154:I155"/>
    <mergeCell ref="G195:G199"/>
    <mergeCell ref="H195:H199"/>
    <mergeCell ref="I195:I199"/>
    <mergeCell ref="J195:J199"/>
    <mergeCell ref="E160:E167"/>
    <mergeCell ref="F165:F166"/>
    <mergeCell ref="G165:G166"/>
    <mergeCell ref="H165:H166"/>
    <mergeCell ref="I165:I166"/>
    <mergeCell ref="J160:J164"/>
    <mergeCell ref="F163:F164"/>
    <mergeCell ref="G163:G164"/>
    <mergeCell ref="H163:H164"/>
    <mergeCell ref="I163:I164"/>
    <mergeCell ref="G182:G184"/>
    <mergeCell ref="H182:H184"/>
    <mergeCell ref="I182:I184"/>
    <mergeCell ref="J182:J184"/>
    <mergeCell ref="J185:J187"/>
    <mergeCell ref="F186:F187"/>
    <mergeCell ref="G186:G187"/>
    <mergeCell ref="H186:H187"/>
    <mergeCell ref="J165:J166"/>
    <mergeCell ref="H173:H177"/>
    <mergeCell ref="E201:E207"/>
    <mergeCell ref="F188:F189"/>
    <mergeCell ref="G188:G189"/>
    <mergeCell ref="H188:H189"/>
    <mergeCell ref="I188:I189"/>
    <mergeCell ref="J188:J189"/>
    <mergeCell ref="E179:E194"/>
    <mergeCell ref="F190:F193"/>
    <mergeCell ref="G190:G193"/>
    <mergeCell ref="H190:H193"/>
    <mergeCell ref="F204:F206"/>
    <mergeCell ref="G204:G206"/>
    <mergeCell ref="H204:H206"/>
    <mergeCell ref="I204:I206"/>
    <mergeCell ref="J204:J206"/>
    <mergeCell ref="I186:I187"/>
    <mergeCell ref="F201:F203"/>
    <mergeCell ref="G201:G203"/>
    <mergeCell ref="H201:H203"/>
    <mergeCell ref="I201:I203"/>
    <mergeCell ref="J201:J203"/>
    <mergeCell ref="I190:I193"/>
    <mergeCell ref="J190:J193"/>
    <mergeCell ref="F195:F199"/>
    <mergeCell ref="H252:H253"/>
    <mergeCell ref="I252:I253"/>
    <mergeCell ref="H255:H256"/>
    <mergeCell ref="I255:I256"/>
    <mergeCell ref="I258:I259"/>
    <mergeCell ref="E251:E254"/>
    <mergeCell ref="E216:E225"/>
    <mergeCell ref="F216:F224"/>
    <mergeCell ref="G216:G224"/>
    <mergeCell ref="H216:H224"/>
    <mergeCell ref="I216:I224"/>
    <mergeCell ref="E226:E228"/>
    <mergeCell ref="E229:E237"/>
    <mergeCell ref="F229:F237"/>
    <mergeCell ref="G229:G237"/>
    <mergeCell ref="H229:H237"/>
    <mergeCell ref="I229:I237"/>
    <mergeCell ref="D239:D273"/>
    <mergeCell ref="E269:E272"/>
    <mergeCell ref="F269:F272"/>
    <mergeCell ref="G269:G272"/>
    <mergeCell ref="H269:H272"/>
    <mergeCell ref="I269:I272"/>
    <mergeCell ref="G258:G259"/>
    <mergeCell ref="G255:G256"/>
    <mergeCell ref="F255:F256"/>
    <mergeCell ref="H258:H259"/>
    <mergeCell ref="E255:E260"/>
    <mergeCell ref="F258:F259"/>
    <mergeCell ref="E261:E268"/>
    <mergeCell ref="F261:F268"/>
    <mergeCell ref="G261:G268"/>
    <mergeCell ref="E239:E241"/>
    <mergeCell ref="F239:F241"/>
    <mergeCell ref="G239:G241"/>
    <mergeCell ref="H239:H241"/>
    <mergeCell ref="I239:I241"/>
    <mergeCell ref="E246:E250"/>
    <mergeCell ref="F248:F249"/>
    <mergeCell ref="G248:G249"/>
    <mergeCell ref="H248:H249"/>
    <mergeCell ref="E195:E200"/>
    <mergeCell ref="J293:J295"/>
    <mergeCell ref="J296:J299"/>
    <mergeCell ref="J263:J264"/>
    <mergeCell ref="J265:J267"/>
    <mergeCell ref="H261:H267"/>
    <mergeCell ref="I261:I267"/>
    <mergeCell ref="E310:E313"/>
    <mergeCell ref="F311:F313"/>
    <mergeCell ref="H311:H312"/>
    <mergeCell ref="I311:I312"/>
    <mergeCell ref="J300:J304"/>
    <mergeCell ref="J305:J306"/>
    <mergeCell ref="J269:J271"/>
    <mergeCell ref="J261:J262"/>
    <mergeCell ref="J257:J259"/>
    <mergeCell ref="I248:I249"/>
    <mergeCell ref="E242:E245"/>
    <mergeCell ref="J255:J256"/>
    <mergeCell ref="J246:J247"/>
    <mergeCell ref="J242:J244"/>
    <mergeCell ref="J248:J249"/>
    <mergeCell ref="F246:F247"/>
    <mergeCell ref="G246:G247"/>
    <mergeCell ref="D310:D327"/>
    <mergeCell ref="E314:E326"/>
    <mergeCell ref="F322:F325"/>
    <mergeCell ref="G322:G326"/>
    <mergeCell ref="H322:H326"/>
    <mergeCell ref="I322:I326"/>
    <mergeCell ref="C3:C309"/>
    <mergeCell ref="E274:E307"/>
    <mergeCell ref="F274:F307"/>
    <mergeCell ref="G274:G307"/>
    <mergeCell ref="H274:H307"/>
    <mergeCell ref="I274:I307"/>
    <mergeCell ref="D274:D308"/>
    <mergeCell ref="I243:I244"/>
    <mergeCell ref="D209:D238"/>
    <mergeCell ref="G209:G214"/>
    <mergeCell ref="C310:C422"/>
    <mergeCell ref="E415:E420"/>
    <mergeCell ref="F415:F420"/>
    <mergeCell ref="G415:G420"/>
    <mergeCell ref="H415:H420"/>
    <mergeCell ref="I415:I420"/>
    <mergeCell ref="D388:D406"/>
    <mergeCell ref="E209:E215"/>
    <mergeCell ref="E328:E337"/>
    <mergeCell ref="F328:F337"/>
    <mergeCell ref="G328:G337"/>
    <mergeCell ref="H328:H337"/>
    <mergeCell ref="I328:I337"/>
    <mergeCell ref="F339:F342"/>
    <mergeCell ref="G339:G342"/>
    <mergeCell ref="H339:H342"/>
    <mergeCell ref="I339:I342"/>
    <mergeCell ref="E339:E351"/>
    <mergeCell ref="I343:I346"/>
    <mergeCell ref="J343:J346"/>
    <mergeCell ref="J347:J350"/>
    <mergeCell ref="I347:I350"/>
    <mergeCell ref="H347:H350"/>
    <mergeCell ref="G347:G350"/>
    <mergeCell ref="F352:F363"/>
    <mergeCell ref="E352:E364"/>
    <mergeCell ref="D339:D365"/>
    <mergeCell ref="F343:F346"/>
    <mergeCell ref="G343:G346"/>
    <mergeCell ref="H343:H346"/>
    <mergeCell ref="F347:F350"/>
    <mergeCell ref="D328:D338"/>
    <mergeCell ref="J366:J373"/>
    <mergeCell ref="J375:J378"/>
    <mergeCell ref="D366:D387"/>
    <mergeCell ref="J352:J355"/>
    <mergeCell ref="J356:J360"/>
    <mergeCell ref="J361:J363"/>
    <mergeCell ref="I352:I363"/>
    <mergeCell ref="H352:H363"/>
    <mergeCell ref="G352:G363"/>
    <mergeCell ref="I375:I379"/>
    <mergeCell ref="E380:E386"/>
    <mergeCell ref="F380:F386"/>
    <mergeCell ref="G380:G386"/>
    <mergeCell ref="H380:H386"/>
    <mergeCell ref="I380:I386"/>
    <mergeCell ref="J380:J385"/>
    <mergeCell ref="E366:E374"/>
    <mergeCell ref="F366:F374"/>
    <mergeCell ref="G366:G374"/>
    <mergeCell ref="H366:H374"/>
    <mergeCell ref="I366:I374"/>
    <mergeCell ref="E375:E379"/>
    <mergeCell ref="F375:F379"/>
    <mergeCell ref="I393:I402"/>
    <mergeCell ref="J393:J394"/>
    <mergeCell ref="J395:J397"/>
    <mergeCell ref="J398:J399"/>
    <mergeCell ref="E388:E392"/>
    <mergeCell ref="F388:F392"/>
    <mergeCell ref="G388:G392"/>
    <mergeCell ref="H388:H392"/>
    <mergeCell ref="I388:I392"/>
    <mergeCell ref="AU248:AU249"/>
    <mergeCell ref="AT265:AT266"/>
    <mergeCell ref="AU265:AU266"/>
    <mergeCell ref="AK251:AK252"/>
    <mergeCell ref="AT251:AT252"/>
    <mergeCell ref="J407:J413"/>
    <mergeCell ref="E407:E414"/>
    <mergeCell ref="F407:F414"/>
    <mergeCell ref="G407:G414"/>
    <mergeCell ref="H407:H414"/>
    <mergeCell ref="I407:I414"/>
    <mergeCell ref="J403:J404"/>
    <mergeCell ref="E403:E405"/>
    <mergeCell ref="F403:F405"/>
    <mergeCell ref="G403:G405"/>
    <mergeCell ref="H403:H405"/>
    <mergeCell ref="I403:I405"/>
    <mergeCell ref="G375:G379"/>
    <mergeCell ref="H375:H379"/>
    <mergeCell ref="J400:J401"/>
    <mergeCell ref="E393:E402"/>
    <mergeCell ref="F393:F402"/>
    <mergeCell ref="G393:G402"/>
    <mergeCell ref="H393:H402"/>
  </mergeCells>
  <conditionalFormatting sqref="AI3:AI423">
    <cfRule type="cellIs" dxfId="11" priority="1" stopIfTrue="1" operator="between">
      <formula>0.7875</formula>
      <formula>1</formula>
    </cfRule>
    <cfRule type="cellIs" dxfId="10" priority="2" stopIfTrue="1" operator="between">
      <formula>0.7874</formula>
      <formula>0.525</formula>
    </cfRule>
    <cfRule type="cellIs" dxfId="9" priority="3" stopIfTrue="1" operator="between">
      <formula>0</formula>
      <formula>0.524</formula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A1:AT317"/>
  <sheetViews>
    <sheetView zoomScale="80" zoomScaleNormal="80" workbookViewId="0">
      <pane xSplit="9" ySplit="2" topLeftCell="P264" activePane="bottomRight" state="frozen"/>
      <selection pane="topRight" activeCell="J1" sqref="J1"/>
      <selection pane="bottomLeft" activeCell="A3" sqref="A3"/>
      <selection pane="bottomRight" activeCell="AF317" sqref="AF317"/>
    </sheetView>
  </sheetViews>
  <sheetFormatPr baseColWidth="10" defaultRowHeight="11.25" x14ac:dyDescent="0.2"/>
  <cols>
    <col min="1" max="1" width="13.85546875" style="450" hidden="1" customWidth="1"/>
    <col min="2" max="2" width="11.42578125" style="450" hidden="1" customWidth="1"/>
    <col min="3" max="3" width="18.28515625" style="450" hidden="1" customWidth="1"/>
    <col min="4" max="4" width="15.28515625" style="450" customWidth="1"/>
    <col min="5" max="5" width="15.85546875" style="450" hidden="1" customWidth="1"/>
    <col min="6" max="6" width="12.28515625" style="450" hidden="1" customWidth="1"/>
    <col min="7" max="7" width="11.140625" style="450" hidden="1" customWidth="1"/>
    <col min="8" max="8" width="13.42578125" style="450" hidden="1" customWidth="1"/>
    <col min="9" max="9" width="9.85546875" style="450" customWidth="1"/>
    <col min="10" max="10" width="16.7109375" style="450" customWidth="1"/>
    <col min="11" max="11" width="12.5703125" style="450" customWidth="1"/>
    <col min="12" max="12" width="15.42578125" style="450" hidden="1" customWidth="1"/>
    <col min="13" max="13" width="13" style="450" hidden="1" customWidth="1"/>
    <col min="14" max="14" width="15.7109375" style="450" hidden="1" customWidth="1"/>
    <col min="15" max="15" width="15.140625" style="450" hidden="1" customWidth="1"/>
    <col min="16" max="16" width="9.42578125" style="450" customWidth="1"/>
    <col min="17" max="17" width="9.7109375" style="450" customWidth="1"/>
    <col min="18" max="18" width="9.28515625" style="450" customWidth="1"/>
    <col min="19" max="19" width="9.42578125" style="450" customWidth="1"/>
    <col min="20" max="20" width="8.7109375" style="450" customWidth="1"/>
    <col min="21" max="21" width="9" style="450" customWidth="1"/>
    <col min="22" max="22" width="11.140625" style="450" customWidth="1"/>
    <col min="23" max="23" width="8.7109375" style="450" customWidth="1"/>
    <col min="24" max="24" width="10.85546875" style="450" customWidth="1"/>
    <col min="25" max="25" width="9.42578125" style="450" customWidth="1"/>
    <col min="26" max="26" width="8.7109375" style="450" customWidth="1"/>
    <col min="27" max="27" width="9.42578125" style="450" customWidth="1"/>
    <col min="28" max="28" width="8" style="450" hidden="1" customWidth="1"/>
    <col min="29" max="29" width="11.42578125" style="450" hidden="1" customWidth="1"/>
    <col min="30" max="30" width="6.5703125" style="450" hidden="1" customWidth="1"/>
    <col min="31" max="31" width="12.5703125" style="450" customWidth="1"/>
    <col min="32" max="32" width="13" style="450" customWidth="1"/>
    <col min="33" max="33" width="14.85546875" style="450" customWidth="1"/>
    <col min="34" max="34" width="23.42578125" style="450" customWidth="1"/>
    <col min="35" max="35" width="35.5703125" style="450" customWidth="1"/>
    <col min="36" max="36" width="31.85546875" style="450" customWidth="1"/>
    <col min="37" max="37" width="17.5703125" style="450" customWidth="1"/>
    <col min="38" max="38" width="16.28515625" style="450" customWidth="1"/>
    <col min="39" max="39" width="11.42578125" style="450" customWidth="1"/>
    <col min="40" max="40" width="19.140625" style="450" customWidth="1"/>
    <col min="41" max="41" width="24.7109375" style="450" customWidth="1"/>
    <col min="42" max="42" width="11.42578125" style="450" customWidth="1"/>
    <col min="43" max="43" width="15.42578125" style="450" customWidth="1"/>
    <col min="44" max="44" width="11.42578125" style="450" customWidth="1"/>
    <col min="45" max="45" width="18.7109375" style="450" bestFit="1" customWidth="1"/>
    <col min="46" max="46" width="22.5703125" style="450" customWidth="1"/>
    <col min="47" max="16384" width="11.42578125" style="450"/>
  </cols>
  <sheetData>
    <row r="1" spans="1:46" ht="36.75" customHeight="1" x14ac:dyDescent="0.2">
      <c r="A1" s="752" t="s">
        <v>0</v>
      </c>
      <c r="B1" s="752" t="s">
        <v>1</v>
      </c>
      <c r="C1" s="752" t="s">
        <v>2</v>
      </c>
      <c r="D1" s="753" t="s">
        <v>3</v>
      </c>
      <c r="E1" s="753" t="s">
        <v>5</v>
      </c>
      <c r="F1" s="752" t="s">
        <v>20</v>
      </c>
      <c r="G1" s="752" t="s">
        <v>33</v>
      </c>
      <c r="H1" s="752" t="s">
        <v>34</v>
      </c>
      <c r="I1" s="752" t="s">
        <v>4</v>
      </c>
      <c r="J1" s="752" t="s">
        <v>6</v>
      </c>
      <c r="K1" s="751" t="s">
        <v>21</v>
      </c>
      <c r="L1" s="752" t="s">
        <v>35</v>
      </c>
      <c r="M1" s="751" t="s">
        <v>31</v>
      </c>
      <c r="N1" s="745">
        <v>2016</v>
      </c>
      <c r="O1" s="746"/>
      <c r="P1" s="746"/>
      <c r="Q1" s="747"/>
      <c r="R1" s="755">
        <v>2017</v>
      </c>
      <c r="S1" s="755"/>
      <c r="T1" s="755"/>
      <c r="U1" s="755"/>
      <c r="V1" s="755">
        <v>2018</v>
      </c>
      <c r="W1" s="755"/>
      <c r="X1" s="755"/>
      <c r="Y1" s="755"/>
      <c r="Z1" s="755">
        <v>2019</v>
      </c>
      <c r="AA1" s="755"/>
      <c r="AB1" s="755"/>
      <c r="AC1" s="755"/>
      <c r="AD1" s="729" t="s">
        <v>1890</v>
      </c>
      <c r="AE1" s="756" t="s">
        <v>2139</v>
      </c>
      <c r="AF1" s="751" t="s">
        <v>7</v>
      </c>
      <c r="AG1" s="756" t="s">
        <v>23</v>
      </c>
      <c r="AH1" s="751" t="s">
        <v>24</v>
      </c>
      <c r="AI1" s="751" t="s">
        <v>8</v>
      </c>
      <c r="AJ1" s="751" t="s">
        <v>9</v>
      </c>
      <c r="AK1" s="751" t="s">
        <v>10</v>
      </c>
      <c r="AL1" s="751" t="s">
        <v>11</v>
      </c>
      <c r="AM1" s="751" t="s">
        <v>12</v>
      </c>
      <c r="AN1" s="751" t="s">
        <v>13</v>
      </c>
      <c r="AO1" s="751" t="s">
        <v>14</v>
      </c>
      <c r="AP1" s="751" t="s">
        <v>15</v>
      </c>
      <c r="AQ1" s="751" t="s">
        <v>16</v>
      </c>
      <c r="AR1" s="751" t="s">
        <v>17</v>
      </c>
      <c r="AS1" s="751" t="s">
        <v>18</v>
      </c>
      <c r="AT1" s="751" t="s">
        <v>19</v>
      </c>
    </row>
    <row r="2" spans="1:46" ht="55.5" customHeight="1" x14ac:dyDescent="0.2">
      <c r="A2" s="752"/>
      <c r="B2" s="752"/>
      <c r="C2" s="752"/>
      <c r="D2" s="754"/>
      <c r="E2" s="754"/>
      <c r="F2" s="752"/>
      <c r="G2" s="752"/>
      <c r="H2" s="752"/>
      <c r="I2" s="752"/>
      <c r="J2" s="752"/>
      <c r="K2" s="751"/>
      <c r="L2" s="752"/>
      <c r="M2" s="751"/>
      <c r="N2" s="451" t="s">
        <v>2147</v>
      </c>
      <c r="O2" s="451" t="s">
        <v>2147</v>
      </c>
      <c r="P2" s="451" t="s">
        <v>2145</v>
      </c>
      <c r="Q2" s="451" t="s">
        <v>2188</v>
      </c>
      <c r="R2" s="452" t="s">
        <v>2146</v>
      </c>
      <c r="S2" s="452" t="s">
        <v>2147</v>
      </c>
      <c r="T2" s="452" t="s">
        <v>2145</v>
      </c>
      <c r="U2" s="452" t="s">
        <v>2188</v>
      </c>
      <c r="V2" s="452" t="s">
        <v>2146</v>
      </c>
      <c r="W2" s="452" t="s">
        <v>2147</v>
      </c>
      <c r="X2" s="452" t="s">
        <v>2145</v>
      </c>
      <c r="Y2" s="452" t="s">
        <v>2188</v>
      </c>
      <c r="Z2" s="452" t="s">
        <v>2146</v>
      </c>
      <c r="AA2" s="452" t="s">
        <v>2147</v>
      </c>
      <c r="AB2" s="453" t="s">
        <v>2145</v>
      </c>
      <c r="AC2" s="453" t="s">
        <v>2188</v>
      </c>
      <c r="AD2" s="729"/>
      <c r="AE2" s="756"/>
      <c r="AF2" s="751"/>
      <c r="AG2" s="756"/>
      <c r="AH2" s="751"/>
      <c r="AI2" s="751"/>
      <c r="AJ2" s="751"/>
      <c r="AK2" s="751"/>
      <c r="AL2" s="751"/>
      <c r="AM2" s="751"/>
      <c r="AN2" s="751"/>
      <c r="AO2" s="751"/>
      <c r="AP2" s="751"/>
      <c r="AQ2" s="751"/>
      <c r="AR2" s="751"/>
      <c r="AS2" s="751"/>
      <c r="AT2" s="751"/>
    </row>
    <row r="3" spans="1:46" ht="78.75" customHeight="1" x14ac:dyDescent="0.2">
      <c r="A3" s="729" t="s">
        <v>891</v>
      </c>
      <c r="B3" s="730" t="s">
        <v>1892</v>
      </c>
      <c r="C3" s="733" t="s">
        <v>892</v>
      </c>
      <c r="D3" s="713" t="s">
        <v>892</v>
      </c>
      <c r="E3" s="736" t="s">
        <v>894</v>
      </c>
      <c r="F3" s="736" t="s">
        <v>893</v>
      </c>
      <c r="G3" s="736">
        <v>16</v>
      </c>
      <c r="H3" s="736">
        <v>18</v>
      </c>
      <c r="I3" s="718" t="s">
        <v>911</v>
      </c>
      <c r="J3" s="454" t="s">
        <v>895</v>
      </c>
      <c r="K3" s="454" t="s">
        <v>896</v>
      </c>
      <c r="L3" s="455">
        <v>50</v>
      </c>
      <c r="M3" s="455">
        <v>20</v>
      </c>
      <c r="N3" s="455"/>
      <c r="O3" s="456"/>
      <c r="P3" s="457">
        <v>0</v>
      </c>
      <c r="Q3" s="458">
        <v>12</v>
      </c>
      <c r="R3" s="457">
        <v>0</v>
      </c>
      <c r="S3" s="457">
        <v>0</v>
      </c>
      <c r="T3" s="457">
        <v>11</v>
      </c>
      <c r="U3" s="457">
        <v>4</v>
      </c>
      <c r="V3" s="459">
        <v>0</v>
      </c>
      <c r="W3" s="459">
        <v>0</v>
      </c>
      <c r="X3" s="459">
        <v>6</v>
      </c>
      <c r="Y3" s="567">
        <v>6</v>
      </c>
      <c r="Z3" s="456"/>
      <c r="AA3" s="456"/>
      <c r="AB3" s="456"/>
      <c r="AC3" s="456"/>
      <c r="AD3" s="460"/>
      <c r="AE3" s="457">
        <f>+Q3+T3+U3+V3+W3+X3+Y3</f>
        <v>39</v>
      </c>
      <c r="AF3" s="456"/>
      <c r="AG3" s="461">
        <f>+AE3/L3</f>
        <v>0.78</v>
      </c>
      <c r="AH3" s="462">
        <f>+AG3</f>
        <v>0.78</v>
      </c>
      <c r="AI3" s="456"/>
      <c r="AJ3" s="456">
        <v>1168410216</v>
      </c>
      <c r="AK3" s="456"/>
      <c r="AL3" s="456"/>
      <c r="AM3" s="456"/>
      <c r="AN3" s="456"/>
      <c r="AO3" s="456"/>
      <c r="AP3" s="456"/>
      <c r="AQ3" s="456"/>
      <c r="AR3" s="456"/>
      <c r="AS3" s="456">
        <v>901000000</v>
      </c>
      <c r="AT3" s="463">
        <f>+AS3/AJ3</f>
        <v>0.7711332780746587</v>
      </c>
    </row>
    <row r="4" spans="1:46" ht="56.25" x14ac:dyDescent="0.2">
      <c r="A4" s="729"/>
      <c r="B4" s="731"/>
      <c r="C4" s="734"/>
      <c r="D4" s="714"/>
      <c r="E4" s="743"/>
      <c r="F4" s="743"/>
      <c r="G4" s="743"/>
      <c r="H4" s="743"/>
      <c r="I4" s="718"/>
      <c r="J4" s="464" t="s">
        <v>897</v>
      </c>
      <c r="K4" s="454" t="s">
        <v>898</v>
      </c>
      <c r="L4" s="465">
        <v>1</v>
      </c>
      <c r="M4" s="465">
        <v>0</v>
      </c>
      <c r="N4" s="465"/>
      <c r="O4" s="456"/>
      <c r="P4" s="457">
        <v>0</v>
      </c>
      <c r="Q4" s="457">
        <v>0</v>
      </c>
      <c r="R4" s="457">
        <v>0</v>
      </c>
      <c r="S4" s="466">
        <v>0</v>
      </c>
      <c r="T4" s="457">
        <v>0</v>
      </c>
      <c r="U4" s="457">
        <v>0</v>
      </c>
      <c r="V4" s="457">
        <v>0</v>
      </c>
      <c r="W4" s="457">
        <v>0</v>
      </c>
      <c r="X4" s="457">
        <v>0</v>
      </c>
      <c r="Y4" s="567">
        <v>0</v>
      </c>
      <c r="Z4" s="456"/>
      <c r="AA4" s="456"/>
      <c r="AB4" s="456"/>
      <c r="AC4" s="456"/>
      <c r="AD4" s="456"/>
      <c r="AE4" s="457">
        <f t="shared" ref="AE4:AE67" si="0">+SUM(N4:AC4)</f>
        <v>0</v>
      </c>
      <c r="AF4" s="456"/>
      <c r="AG4" s="467">
        <f t="shared" ref="AG4:AG10" si="1">+(AE4/L4)</f>
        <v>0</v>
      </c>
      <c r="AH4" s="462">
        <f t="shared" ref="AH4:AH67" si="2">+AG4</f>
        <v>0</v>
      </c>
      <c r="AI4" s="456"/>
      <c r="AJ4" s="456"/>
      <c r="AK4" s="456"/>
      <c r="AL4" s="456"/>
      <c r="AM4" s="456"/>
      <c r="AN4" s="456"/>
      <c r="AO4" s="456"/>
      <c r="AP4" s="456"/>
      <c r="AQ4" s="456"/>
      <c r="AR4" s="456"/>
      <c r="AS4" s="456"/>
      <c r="AT4" s="456"/>
    </row>
    <row r="5" spans="1:46" ht="67.5" x14ac:dyDescent="0.2">
      <c r="A5" s="729"/>
      <c r="B5" s="731"/>
      <c r="C5" s="734"/>
      <c r="D5" s="714"/>
      <c r="E5" s="743"/>
      <c r="F5" s="743"/>
      <c r="G5" s="743"/>
      <c r="H5" s="743"/>
      <c r="I5" s="718"/>
      <c r="J5" s="464" t="s">
        <v>899</v>
      </c>
      <c r="K5" s="464" t="s">
        <v>900</v>
      </c>
      <c r="L5" s="465">
        <v>1</v>
      </c>
      <c r="M5" s="465">
        <v>0</v>
      </c>
      <c r="N5" s="465"/>
      <c r="O5" s="456"/>
      <c r="P5" s="457">
        <v>0</v>
      </c>
      <c r="Q5" s="457">
        <v>0</v>
      </c>
      <c r="R5" s="457">
        <v>0</v>
      </c>
      <c r="S5" s="457">
        <v>0</v>
      </c>
      <c r="T5" s="457">
        <v>0.45</v>
      </c>
      <c r="U5" s="457">
        <v>0.55000000000000004</v>
      </c>
      <c r="V5" s="468"/>
      <c r="W5" s="468"/>
      <c r="X5" s="468"/>
      <c r="Y5" s="456"/>
      <c r="Z5" s="456"/>
      <c r="AA5" s="456"/>
      <c r="AB5" s="456"/>
      <c r="AC5" s="456"/>
      <c r="AD5" s="456"/>
      <c r="AE5" s="457">
        <f t="shared" si="0"/>
        <v>1</v>
      </c>
      <c r="AF5" s="456"/>
      <c r="AG5" s="467">
        <f>+AE5</f>
        <v>1</v>
      </c>
      <c r="AH5" s="462">
        <f t="shared" si="2"/>
        <v>1</v>
      </c>
      <c r="AI5" s="456"/>
      <c r="AJ5" s="456"/>
      <c r="AK5" s="456"/>
      <c r="AL5" s="456"/>
      <c r="AM5" s="456"/>
      <c r="AN5" s="456"/>
      <c r="AO5" s="456"/>
      <c r="AP5" s="456"/>
      <c r="AQ5" s="456"/>
      <c r="AR5" s="456"/>
      <c r="AS5" s="456"/>
      <c r="AT5" s="456"/>
    </row>
    <row r="6" spans="1:46" ht="67.5" x14ac:dyDescent="0.2">
      <c r="A6" s="729"/>
      <c r="B6" s="731"/>
      <c r="C6" s="734"/>
      <c r="D6" s="714"/>
      <c r="E6" s="743"/>
      <c r="F6" s="743"/>
      <c r="G6" s="743"/>
      <c r="H6" s="743"/>
      <c r="I6" s="718"/>
      <c r="J6" s="464" t="s">
        <v>901</v>
      </c>
      <c r="K6" s="454" t="s">
        <v>902</v>
      </c>
      <c r="L6" s="465">
        <v>1</v>
      </c>
      <c r="M6" s="465">
        <v>0</v>
      </c>
      <c r="N6" s="465"/>
      <c r="O6" s="456"/>
      <c r="P6" s="457">
        <v>0</v>
      </c>
      <c r="Q6" s="457">
        <v>0</v>
      </c>
      <c r="R6" s="457">
        <v>0.06</v>
      </c>
      <c r="S6" s="457">
        <v>0</v>
      </c>
      <c r="T6" s="457">
        <v>0</v>
      </c>
      <c r="U6" s="457">
        <v>0</v>
      </c>
      <c r="V6" s="457">
        <v>0</v>
      </c>
      <c r="W6" s="457">
        <v>0</v>
      </c>
      <c r="X6" s="457">
        <v>0</v>
      </c>
      <c r="Y6" s="567">
        <v>0</v>
      </c>
      <c r="Z6" s="456"/>
      <c r="AA6" s="456"/>
      <c r="AB6" s="456"/>
      <c r="AC6" s="456"/>
      <c r="AD6" s="456"/>
      <c r="AE6" s="457">
        <v>1</v>
      </c>
      <c r="AF6" s="456"/>
      <c r="AG6" s="467">
        <f t="shared" si="1"/>
        <v>1</v>
      </c>
      <c r="AH6" s="462">
        <f t="shared" si="2"/>
        <v>1</v>
      </c>
      <c r="AI6" s="456"/>
      <c r="AJ6" s="456"/>
      <c r="AK6" s="456"/>
      <c r="AL6" s="456"/>
      <c r="AM6" s="456"/>
      <c r="AN6" s="456"/>
      <c r="AO6" s="456"/>
      <c r="AP6" s="456"/>
      <c r="AQ6" s="456"/>
      <c r="AR6" s="456"/>
      <c r="AS6" s="456"/>
      <c r="AT6" s="456"/>
    </row>
    <row r="7" spans="1:46" ht="45" x14ac:dyDescent="0.2">
      <c r="A7" s="729"/>
      <c r="B7" s="731"/>
      <c r="C7" s="734"/>
      <c r="D7" s="714"/>
      <c r="E7" s="743"/>
      <c r="F7" s="743"/>
      <c r="G7" s="743"/>
      <c r="H7" s="743"/>
      <c r="I7" s="718"/>
      <c r="J7" s="469" t="s">
        <v>903</v>
      </c>
      <c r="K7" s="454" t="s">
        <v>904</v>
      </c>
      <c r="L7" s="465">
        <v>1</v>
      </c>
      <c r="M7" s="465">
        <v>0</v>
      </c>
      <c r="N7" s="465"/>
      <c r="O7" s="456"/>
      <c r="P7" s="457">
        <v>0</v>
      </c>
      <c r="Q7" s="470">
        <v>0</v>
      </c>
      <c r="R7" s="457">
        <v>0</v>
      </c>
      <c r="S7" s="457">
        <v>0</v>
      </c>
      <c r="T7" s="457">
        <v>0</v>
      </c>
      <c r="U7" s="457">
        <v>0.06</v>
      </c>
      <c r="V7" s="560"/>
      <c r="W7" s="560"/>
      <c r="X7" s="458">
        <v>0.94</v>
      </c>
      <c r="Y7" s="456"/>
      <c r="Z7" s="456"/>
      <c r="AA7" s="456"/>
      <c r="AB7" s="456"/>
      <c r="AC7" s="456"/>
      <c r="AD7" s="456"/>
      <c r="AE7" s="457">
        <f t="shared" si="0"/>
        <v>1</v>
      </c>
      <c r="AF7" s="456"/>
      <c r="AG7" s="471">
        <f t="shared" si="1"/>
        <v>1</v>
      </c>
      <c r="AH7" s="462">
        <f t="shared" si="2"/>
        <v>1</v>
      </c>
      <c r="AI7" s="456"/>
      <c r="AJ7" s="456"/>
      <c r="AK7" s="456"/>
      <c r="AL7" s="456"/>
      <c r="AM7" s="456"/>
      <c r="AN7" s="456"/>
      <c r="AO7" s="456"/>
      <c r="AP7" s="456"/>
      <c r="AQ7" s="456"/>
      <c r="AR7" s="456"/>
      <c r="AS7" s="456"/>
      <c r="AT7" s="456"/>
    </row>
    <row r="8" spans="1:46" ht="90" x14ac:dyDescent="0.2">
      <c r="A8" s="729"/>
      <c r="B8" s="731"/>
      <c r="C8" s="734"/>
      <c r="D8" s="714"/>
      <c r="E8" s="743"/>
      <c r="F8" s="743"/>
      <c r="G8" s="743"/>
      <c r="H8" s="743"/>
      <c r="I8" s="718"/>
      <c r="J8" s="464" t="s">
        <v>905</v>
      </c>
      <c r="K8" s="454" t="s">
        <v>906</v>
      </c>
      <c r="L8" s="465">
        <v>1</v>
      </c>
      <c r="M8" s="465">
        <v>0</v>
      </c>
      <c r="N8" s="465"/>
      <c r="O8" s="456"/>
      <c r="P8" s="457">
        <v>0</v>
      </c>
      <c r="Q8" s="457">
        <v>0</v>
      </c>
      <c r="R8" s="457">
        <v>0.125</v>
      </c>
      <c r="S8" s="457">
        <v>0</v>
      </c>
      <c r="T8" s="457">
        <v>0.875</v>
      </c>
      <c r="U8" s="457">
        <v>0</v>
      </c>
      <c r="V8" s="468"/>
      <c r="W8" s="468"/>
      <c r="X8" s="468"/>
      <c r="Y8" s="456"/>
      <c r="Z8" s="456"/>
      <c r="AA8" s="456"/>
      <c r="AB8" s="456"/>
      <c r="AC8" s="456"/>
      <c r="AD8" s="456"/>
      <c r="AE8" s="457">
        <f t="shared" si="0"/>
        <v>1</v>
      </c>
      <c r="AF8" s="456"/>
      <c r="AG8" s="467">
        <f t="shared" si="1"/>
        <v>1</v>
      </c>
      <c r="AH8" s="462">
        <f t="shared" si="2"/>
        <v>1</v>
      </c>
      <c r="AI8" s="456"/>
      <c r="AJ8" s="456"/>
      <c r="AK8" s="456"/>
      <c r="AL8" s="456"/>
      <c r="AM8" s="456"/>
      <c r="AN8" s="456"/>
      <c r="AO8" s="456"/>
      <c r="AP8" s="456"/>
      <c r="AQ8" s="456"/>
      <c r="AR8" s="456"/>
      <c r="AS8" s="456"/>
      <c r="AT8" s="456"/>
    </row>
    <row r="9" spans="1:46" ht="56.25" x14ac:dyDescent="0.2">
      <c r="A9" s="729"/>
      <c r="B9" s="731"/>
      <c r="C9" s="734"/>
      <c r="D9" s="714"/>
      <c r="E9" s="743"/>
      <c r="F9" s="743"/>
      <c r="G9" s="743"/>
      <c r="H9" s="743"/>
      <c r="I9" s="718"/>
      <c r="J9" s="464" t="s">
        <v>907</v>
      </c>
      <c r="K9" s="454" t="s">
        <v>908</v>
      </c>
      <c r="L9" s="465">
        <v>1</v>
      </c>
      <c r="M9" s="465">
        <v>0</v>
      </c>
      <c r="N9" s="465"/>
      <c r="O9" s="456"/>
      <c r="P9" s="457">
        <v>0</v>
      </c>
      <c r="Q9" s="457">
        <v>0</v>
      </c>
      <c r="R9" s="457">
        <v>0.33</v>
      </c>
      <c r="S9" s="457">
        <v>0</v>
      </c>
      <c r="T9" s="457">
        <v>0.12</v>
      </c>
      <c r="U9" s="457">
        <v>0.05</v>
      </c>
      <c r="V9" s="457">
        <v>0</v>
      </c>
      <c r="W9" s="457">
        <v>0</v>
      </c>
      <c r="X9" s="457">
        <v>0</v>
      </c>
      <c r="Y9" s="456"/>
      <c r="Z9" s="456"/>
      <c r="AA9" s="456"/>
      <c r="AB9" s="456"/>
      <c r="AC9" s="456"/>
      <c r="AD9" s="456"/>
      <c r="AE9" s="457">
        <f t="shared" si="0"/>
        <v>0.5</v>
      </c>
      <c r="AF9" s="456"/>
      <c r="AG9" s="467">
        <f t="shared" si="1"/>
        <v>0.5</v>
      </c>
      <c r="AH9" s="462">
        <f t="shared" si="2"/>
        <v>0.5</v>
      </c>
      <c r="AI9" s="456"/>
      <c r="AJ9" s="456"/>
      <c r="AK9" s="456"/>
      <c r="AL9" s="456"/>
      <c r="AM9" s="456"/>
      <c r="AN9" s="456"/>
      <c r="AO9" s="456"/>
      <c r="AP9" s="456"/>
      <c r="AQ9" s="456"/>
      <c r="AR9" s="456"/>
      <c r="AS9" s="456"/>
      <c r="AT9" s="456"/>
    </row>
    <row r="10" spans="1:46" ht="67.5" x14ac:dyDescent="0.2">
      <c r="A10" s="729"/>
      <c r="B10" s="731"/>
      <c r="C10" s="734"/>
      <c r="D10" s="714"/>
      <c r="E10" s="743"/>
      <c r="F10" s="743"/>
      <c r="G10" s="743"/>
      <c r="H10" s="743"/>
      <c r="I10" s="718"/>
      <c r="J10" s="464" t="s">
        <v>909</v>
      </c>
      <c r="K10" s="454" t="s">
        <v>910</v>
      </c>
      <c r="L10" s="465">
        <v>2</v>
      </c>
      <c r="M10" s="465">
        <v>0</v>
      </c>
      <c r="N10" s="465"/>
      <c r="O10" s="456"/>
      <c r="P10" s="457">
        <v>0</v>
      </c>
      <c r="Q10" s="457">
        <v>0</v>
      </c>
      <c r="R10" s="457">
        <v>0</v>
      </c>
      <c r="S10" s="457">
        <v>0</v>
      </c>
      <c r="T10" s="470">
        <v>1</v>
      </c>
      <c r="U10" s="457">
        <v>0</v>
      </c>
      <c r="V10" s="457">
        <v>0</v>
      </c>
      <c r="W10" s="457">
        <v>0</v>
      </c>
      <c r="X10" s="457">
        <v>0</v>
      </c>
      <c r="Y10" s="567">
        <v>1</v>
      </c>
      <c r="Z10" s="456"/>
      <c r="AA10" s="456"/>
      <c r="AB10" s="456"/>
      <c r="AC10" s="456"/>
      <c r="AD10" s="456"/>
      <c r="AE10" s="457">
        <f t="shared" si="0"/>
        <v>2</v>
      </c>
      <c r="AF10" s="456"/>
      <c r="AG10" s="471">
        <f t="shared" si="1"/>
        <v>1</v>
      </c>
      <c r="AH10" s="462">
        <f t="shared" si="2"/>
        <v>1</v>
      </c>
      <c r="AI10" s="456"/>
      <c r="AJ10" s="456"/>
      <c r="AK10" s="456"/>
      <c r="AL10" s="456"/>
      <c r="AM10" s="456"/>
      <c r="AN10" s="456"/>
      <c r="AO10" s="456"/>
      <c r="AP10" s="456"/>
      <c r="AQ10" s="456"/>
      <c r="AR10" s="456"/>
      <c r="AS10" s="456"/>
      <c r="AT10" s="456"/>
    </row>
    <row r="11" spans="1:46" ht="48.75" customHeight="1" x14ac:dyDescent="0.2">
      <c r="A11" s="729"/>
      <c r="B11" s="731"/>
      <c r="C11" s="734"/>
      <c r="D11" s="714"/>
      <c r="E11" s="737"/>
      <c r="F11" s="737"/>
      <c r="G11" s="737"/>
      <c r="H11" s="737"/>
      <c r="I11" s="472"/>
      <c r="J11" s="464"/>
      <c r="K11" s="464"/>
      <c r="L11" s="455"/>
      <c r="M11" s="455"/>
      <c r="N11" s="455"/>
      <c r="O11" s="456"/>
      <c r="P11" s="456"/>
      <c r="Q11" s="456"/>
      <c r="R11" s="456"/>
      <c r="S11" s="456"/>
      <c r="T11" s="456"/>
      <c r="U11" s="456"/>
      <c r="V11" s="456"/>
      <c r="W11" s="456"/>
      <c r="X11" s="456"/>
      <c r="Y11" s="456"/>
      <c r="Z11" s="456"/>
      <c r="AA11" s="456"/>
      <c r="AB11" s="456"/>
      <c r="AC11" s="456"/>
      <c r="AD11" s="456"/>
      <c r="AE11" s="457"/>
      <c r="AF11" s="456"/>
      <c r="AG11" s="473">
        <f>AVERAGE(AG3:AG10)</f>
        <v>0.78500000000000003</v>
      </c>
      <c r="AH11" s="462">
        <f t="shared" si="2"/>
        <v>0.78500000000000003</v>
      </c>
      <c r="AI11" s="456"/>
      <c r="AJ11" s="456"/>
      <c r="AK11" s="456"/>
      <c r="AL11" s="456"/>
      <c r="AM11" s="456"/>
      <c r="AN11" s="456"/>
      <c r="AO11" s="456"/>
      <c r="AP11" s="456"/>
      <c r="AQ11" s="456"/>
      <c r="AR11" s="456"/>
      <c r="AS11" s="456"/>
      <c r="AT11" s="456"/>
    </row>
    <row r="12" spans="1:46" ht="67.5" x14ac:dyDescent="0.2">
      <c r="A12" s="729"/>
      <c r="B12" s="731"/>
      <c r="C12" s="734"/>
      <c r="D12" s="714"/>
      <c r="E12" s="736" t="s">
        <v>913</v>
      </c>
      <c r="F12" s="736" t="s">
        <v>912</v>
      </c>
      <c r="G12" s="736">
        <v>10</v>
      </c>
      <c r="H12" s="736">
        <v>12</v>
      </c>
      <c r="I12" s="736" t="s">
        <v>914</v>
      </c>
      <c r="J12" s="464" t="s">
        <v>915</v>
      </c>
      <c r="K12" s="454" t="s">
        <v>916</v>
      </c>
      <c r="L12" s="454">
        <v>3</v>
      </c>
      <c r="M12" s="454">
        <v>0</v>
      </c>
      <c r="N12" s="454"/>
      <c r="O12" s="456"/>
      <c r="P12" s="457">
        <v>0</v>
      </c>
      <c r="Q12" s="457">
        <v>0</v>
      </c>
      <c r="R12" s="457">
        <v>0.1</v>
      </c>
      <c r="S12" s="457">
        <v>0</v>
      </c>
      <c r="T12" s="457">
        <v>0.05</v>
      </c>
      <c r="U12" s="457">
        <v>0</v>
      </c>
      <c r="V12" s="457">
        <v>0</v>
      </c>
      <c r="W12" s="457">
        <v>0</v>
      </c>
      <c r="X12" s="457">
        <v>0</v>
      </c>
      <c r="Y12" s="457">
        <v>0</v>
      </c>
      <c r="Z12" s="457"/>
      <c r="AA12" s="457"/>
      <c r="AB12" s="457"/>
      <c r="AC12" s="457"/>
      <c r="AD12" s="457"/>
      <c r="AE12" s="457">
        <f>+T12+S12+R12</f>
        <v>0.15000000000000002</v>
      </c>
      <c r="AF12" s="456"/>
      <c r="AG12" s="471">
        <f>+AE12</f>
        <v>0.15000000000000002</v>
      </c>
      <c r="AH12" s="462">
        <f t="shared" si="2"/>
        <v>0.15000000000000002</v>
      </c>
      <c r="AI12" s="456"/>
      <c r="AJ12" s="456"/>
      <c r="AK12" s="456"/>
      <c r="AL12" s="456"/>
      <c r="AM12" s="456"/>
      <c r="AN12" s="456"/>
      <c r="AO12" s="456"/>
      <c r="AP12" s="456"/>
      <c r="AQ12" s="456"/>
      <c r="AR12" s="456"/>
      <c r="AS12" s="456"/>
      <c r="AT12" s="456"/>
    </row>
    <row r="13" spans="1:46" ht="45" x14ac:dyDescent="0.2">
      <c r="A13" s="729"/>
      <c r="B13" s="731"/>
      <c r="C13" s="734"/>
      <c r="D13" s="714"/>
      <c r="E13" s="743"/>
      <c r="F13" s="743"/>
      <c r="G13" s="743"/>
      <c r="H13" s="743"/>
      <c r="I13" s="743"/>
      <c r="J13" s="464" t="s">
        <v>917</v>
      </c>
      <c r="K13" s="454" t="s">
        <v>918</v>
      </c>
      <c r="L13" s="454">
        <v>1</v>
      </c>
      <c r="M13" s="454">
        <v>0</v>
      </c>
      <c r="N13" s="454"/>
      <c r="O13" s="456"/>
      <c r="P13" s="457">
        <v>0</v>
      </c>
      <c r="Q13" s="457">
        <v>0</v>
      </c>
      <c r="R13" s="457">
        <v>0</v>
      </c>
      <c r="S13" s="457">
        <v>0</v>
      </c>
      <c r="T13" s="457">
        <v>0.8</v>
      </c>
      <c r="U13" s="457">
        <v>0.2</v>
      </c>
      <c r="V13" s="470">
        <v>0</v>
      </c>
      <c r="W13" s="470">
        <v>0</v>
      </c>
      <c r="X13" s="470">
        <v>0</v>
      </c>
      <c r="Y13" s="457"/>
      <c r="Z13" s="457"/>
      <c r="AA13" s="457"/>
      <c r="AB13" s="457"/>
      <c r="AC13" s="457"/>
      <c r="AD13" s="457"/>
      <c r="AE13" s="457">
        <f t="shared" si="0"/>
        <v>1</v>
      </c>
      <c r="AF13" s="456"/>
      <c r="AG13" s="471">
        <f t="shared" ref="AG13:AG25" si="3">+(AE13/L13)</f>
        <v>1</v>
      </c>
      <c r="AH13" s="462">
        <f t="shared" si="2"/>
        <v>1</v>
      </c>
      <c r="AI13" s="456"/>
      <c r="AJ13" s="456"/>
      <c r="AK13" s="456"/>
      <c r="AL13" s="456"/>
      <c r="AM13" s="456"/>
      <c r="AN13" s="456"/>
      <c r="AO13" s="456"/>
      <c r="AP13" s="456"/>
      <c r="AQ13" s="456"/>
      <c r="AR13" s="456"/>
      <c r="AS13" s="456"/>
      <c r="AT13" s="456"/>
    </row>
    <row r="14" spans="1:46" ht="78.75" x14ac:dyDescent="0.2">
      <c r="A14" s="729"/>
      <c r="B14" s="731"/>
      <c r="C14" s="734"/>
      <c r="D14" s="714"/>
      <c r="E14" s="743"/>
      <c r="F14" s="743"/>
      <c r="G14" s="743"/>
      <c r="H14" s="743"/>
      <c r="I14" s="743"/>
      <c r="J14" s="464" t="s">
        <v>919</v>
      </c>
      <c r="K14" s="454" t="s">
        <v>920</v>
      </c>
      <c r="L14" s="454">
        <v>3</v>
      </c>
      <c r="M14" s="454">
        <v>2</v>
      </c>
      <c r="N14" s="454"/>
      <c r="O14" s="456"/>
      <c r="P14" s="457">
        <v>0</v>
      </c>
      <c r="Q14" s="457">
        <v>0</v>
      </c>
      <c r="R14" s="457">
        <v>0.1</v>
      </c>
      <c r="S14" s="457">
        <v>0</v>
      </c>
      <c r="T14" s="457">
        <v>0</v>
      </c>
      <c r="U14" s="457">
        <v>0</v>
      </c>
      <c r="V14" s="457">
        <v>0</v>
      </c>
      <c r="W14" s="457">
        <v>0</v>
      </c>
      <c r="X14" s="457">
        <v>0</v>
      </c>
      <c r="Y14" s="457">
        <v>0</v>
      </c>
      <c r="Z14" s="457"/>
      <c r="AA14" s="457"/>
      <c r="AB14" s="457"/>
      <c r="AC14" s="457"/>
      <c r="AD14" s="457"/>
      <c r="AE14" s="457">
        <f>+T14</f>
        <v>0</v>
      </c>
      <c r="AF14" s="456"/>
      <c r="AG14" s="471">
        <f>+AE14+R14+S14+T14+U14</f>
        <v>0.1</v>
      </c>
      <c r="AH14" s="462">
        <f t="shared" si="2"/>
        <v>0.1</v>
      </c>
      <c r="AI14" s="456"/>
      <c r="AJ14" s="456"/>
      <c r="AK14" s="456"/>
      <c r="AL14" s="456"/>
      <c r="AM14" s="456"/>
      <c r="AN14" s="456"/>
      <c r="AO14" s="456"/>
      <c r="AP14" s="456"/>
      <c r="AQ14" s="456"/>
      <c r="AR14" s="456"/>
      <c r="AS14" s="456"/>
      <c r="AT14" s="456"/>
    </row>
    <row r="15" spans="1:46" ht="123.75" x14ac:dyDescent="0.2">
      <c r="A15" s="729"/>
      <c r="B15" s="731"/>
      <c r="C15" s="734"/>
      <c r="D15" s="714"/>
      <c r="E15" s="743"/>
      <c r="F15" s="743"/>
      <c r="G15" s="743"/>
      <c r="H15" s="743"/>
      <c r="I15" s="743"/>
      <c r="J15" s="464" t="s">
        <v>921</v>
      </c>
      <c r="K15" s="454" t="s">
        <v>922</v>
      </c>
      <c r="L15" s="454">
        <v>150</v>
      </c>
      <c r="M15" s="454">
        <v>10</v>
      </c>
      <c r="N15" s="454"/>
      <c r="O15" s="456"/>
      <c r="P15" s="457">
        <v>0</v>
      </c>
      <c r="Q15" s="457">
        <v>0</v>
      </c>
      <c r="R15" s="457">
        <v>0.15</v>
      </c>
      <c r="S15" s="457">
        <v>0</v>
      </c>
      <c r="T15" s="457">
        <v>0.15</v>
      </c>
      <c r="U15" s="457">
        <v>0</v>
      </c>
      <c r="V15" s="457">
        <v>0</v>
      </c>
      <c r="W15" s="457">
        <v>0</v>
      </c>
      <c r="X15" s="457">
        <v>0</v>
      </c>
      <c r="Y15" s="457">
        <v>0.7</v>
      </c>
      <c r="Z15" s="457"/>
      <c r="AA15" s="457"/>
      <c r="AB15" s="457"/>
      <c r="AC15" s="457"/>
      <c r="AD15" s="457"/>
      <c r="AE15" s="457">
        <f t="shared" si="0"/>
        <v>1</v>
      </c>
      <c r="AF15" s="456"/>
      <c r="AG15" s="471">
        <f>+AE15</f>
        <v>1</v>
      </c>
      <c r="AH15" s="462">
        <f t="shared" si="2"/>
        <v>1</v>
      </c>
      <c r="AI15" s="456"/>
      <c r="AJ15" s="456"/>
      <c r="AK15" s="456"/>
      <c r="AL15" s="456"/>
      <c r="AM15" s="456"/>
      <c r="AN15" s="456"/>
      <c r="AO15" s="456"/>
      <c r="AP15" s="456"/>
      <c r="AQ15" s="456"/>
      <c r="AR15" s="456"/>
      <c r="AS15" s="456"/>
      <c r="AT15" s="456"/>
    </row>
    <row r="16" spans="1:46" ht="56.25" x14ac:dyDescent="0.2">
      <c r="A16" s="729"/>
      <c r="B16" s="731"/>
      <c r="C16" s="734"/>
      <c r="D16" s="714"/>
      <c r="E16" s="743"/>
      <c r="F16" s="743"/>
      <c r="G16" s="743"/>
      <c r="H16" s="743"/>
      <c r="I16" s="743"/>
      <c r="J16" s="474" t="s">
        <v>923</v>
      </c>
      <c r="K16" s="454" t="s">
        <v>924</v>
      </c>
      <c r="L16" s="454">
        <v>1</v>
      </c>
      <c r="M16" s="454">
        <v>0</v>
      </c>
      <c r="N16" s="454"/>
      <c r="O16" s="456"/>
      <c r="P16" s="457">
        <v>0</v>
      </c>
      <c r="Q16" s="457">
        <v>0</v>
      </c>
      <c r="R16" s="457">
        <v>0</v>
      </c>
      <c r="S16" s="457">
        <v>0</v>
      </c>
      <c r="T16" s="457"/>
      <c r="U16" s="457"/>
      <c r="V16" s="457"/>
      <c r="W16" s="457"/>
      <c r="X16" s="457"/>
      <c r="Y16" s="457"/>
      <c r="Z16" s="457"/>
      <c r="AA16" s="457"/>
      <c r="AB16" s="457"/>
      <c r="AC16" s="457"/>
      <c r="AD16" s="457"/>
      <c r="AE16" s="457">
        <f t="shared" si="0"/>
        <v>0</v>
      </c>
      <c r="AF16" s="456"/>
      <c r="AG16" s="471">
        <f t="shared" si="3"/>
        <v>0</v>
      </c>
      <c r="AH16" s="462">
        <f t="shared" si="2"/>
        <v>0</v>
      </c>
      <c r="AI16" s="456"/>
      <c r="AJ16" s="456"/>
      <c r="AK16" s="456"/>
      <c r="AL16" s="456"/>
      <c r="AM16" s="456"/>
      <c r="AN16" s="456"/>
      <c r="AO16" s="456"/>
      <c r="AP16" s="456"/>
      <c r="AQ16" s="456"/>
      <c r="AR16" s="456"/>
      <c r="AS16" s="456"/>
      <c r="AT16" s="456"/>
    </row>
    <row r="17" spans="1:46" ht="56.25" x14ac:dyDescent="0.2">
      <c r="A17" s="729"/>
      <c r="B17" s="731"/>
      <c r="C17" s="734"/>
      <c r="D17" s="714"/>
      <c r="E17" s="743"/>
      <c r="F17" s="743"/>
      <c r="G17" s="743"/>
      <c r="H17" s="743"/>
      <c r="I17" s="743"/>
      <c r="J17" s="474" t="s">
        <v>925</v>
      </c>
      <c r="K17" s="464" t="s">
        <v>926</v>
      </c>
      <c r="L17" s="454">
        <v>1</v>
      </c>
      <c r="M17" s="454">
        <v>0</v>
      </c>
      <c r="N17" s="454"/>
      <c r="O17" s="456"/>
      <c r="P17" s="457">
        <v>0</v>
      </c>
      <c r="Q17" s="457">
        <v>0</v>
      </c>
      <c r="R17" s="457">
        <v>0</v>
      </c>
      <c r="S17" s="457">
        <v>0</v>
      </c>
      <c r="T17" s="456"/>
      <c r="U17" s="456"/>
      <c r="V17" s="456"/>
      <c r="W17" s="456"/>
      <c r="X17" s="456"/>
      <c r="Y17" s="456"/>
      <c r="Z17" s="456"/>
      <c r="AA17" s="456"/>
      <c r="AB17" s="456"/>
      <c r="AC17" s="456"/>
      <c r="AD17" s="456"/>
      <c r="AE17" s="457">
        <f t="shared" si="0"/>
        <v>0</v>
      </c>
      <c r="AF17" s="456"/>
      <c r="AG17" s="471">
        <f t="shared" si="3"/>
        <v>0</v>
      </c>
      <c r="AH17" s="462">
        <f t="shared" si="2"/>
        <v>0</v>
      </c>
      <c r="AI17" s="456"/>
      <c r="AJ17" s="456"/>
      <c r="AK17" s="456"/>
      <c r="AL17" s="456"/>
      <c r="AM17" s="456"/>
      <c r="AN17" s="456"/>
      <c r="AO17" s="456"/>
      <c r="AP17" s="456"/>
      <c r="AQ17" s="456"/>
      <c r="AR17" s="456"/>
      <c r="AS17" s="456"/>
      <c r="AT17" s="456"/>
    </row>
    <row r="18" spans="1:46" ht="56.25" x14ac:dyDescent="0.2">
      <c r="A18" s="729"/>
      <c r="B18" s="731"/>
      <c r="C18" s="734"/>
      <c r="D18" s="714"/>
      <c r="E18" s="743"/>
      <c r="F18" s="743"/>
      <c r="G18" s="743"/>
      <c r="H18" s="743"/>
      <c r="I18" s="743"/>
      <c r="J18" s="475" t="s">
        <v>927</v>
      </c>
      <c r="K18" s="476" t="s">
        <v>936</v>
      </c>
      <c r="L18" s="457">
        <v>60</v>
      </c>
      <c r="M18" s="457" t="s">
        <v>127</v>
      </c>
      <c r="N18" s="457"/>
      <c r="O18" s="456"/>
      <c r="P18" s="457">
        <v>0</v>
      </c>
      <c r="Q18" s="457">
        <v>0</v>
      </c>
      <c r="R18" s="457">
        <v>0</v>
      </c>
      <c r="S18" s="457">
        <v>0</v>
      </c>
      <c r="T18" s="456"/>
      <c r="U18" s="456"/>
      <c r="V18" s="456"/>
      <c r="W18" s="456"/>
      <c r="X18" s="456"/>
      <c r="Y18" s="456"/>
      <c r="Z18" s="456"/>
      <c r="AA18" s="456"/>
      <c r="AB18" s="456"/>
      <c r="AC18" s="456"/>
      <c r="AD18" s="456"/>
      <c r="AE18" s="457">
        <f t="shared" si="0"/>
        <v>0</v>
      </c>
      <c r="AF18" s="456"/>
      <c r="AG18" s="471">
        <f t="shared" si="3"/>
        <v>0</v>
      </c>
      <c r="AH18" s="462">
        <f t="shared" si="2"/>
        <v>0</v>
      </c>
      <c r="AI18" s="456"/>
      <c r="AJ18" s="456"/>
      <c r="AK18" s="456"/>
      <c r="AL18" s="456"/>
      <c r="AM18" s="456"/>
      <c r="AN18" s="456"/>
      <c r="AO18" s="456"/>
      <c r="AP18" s="456"/>
      <c r="AQ18" s="456"/>
      <c r="AR18" s="456"/>
      <c r="AS18" s="456"/>
      <c r="AT18" s="456"/>
    </row>
    <row r="19" spans="1:46" ht="33.75" x14ac:dyDescent="0.2">
      <c r="A19" s="729"/>
      <c r="B19" s="731"/>
      <c r="C19" s="734"/>
      <c r="D19" s="714"/>
      <c r="E19" s="743"/>
      <c r="F19" s="743"/>
      <c r="G19" s="743"/>
      <c r="H19" s="743"/>
      <c r="I19" s="743"/>
      <c r="J19" s="477" t="s">
        <v>928</v>
      </c>
      <c r="K19" s="476" t="s">
        <v>937</v>
      </c>
      <c r="L19" s="457">
        <v>100</v>
      </c>
      <c r="M19" s="457" t="s">
        <v>127</v>
      </c>
      <c r="N19" s="457"/>
      <c r="O19" s="456"/>
      <c r="P19" s="457">
        <v>0</v>
      </c>
      <c r="Q19" s="457">
        <v>0</v>
      </c>
      <c r="R19" s="457">
        <v>0</v>
      </c>
      <c r="S19" s="457">
        <v>0</v>
      </c>
      <c r="T19" s="456"/>
      <c r="U19" s="456"/>
      <c r="V19" s="456"/>
      <c r="W19" s="457">
        <v>1050</v>
      </c>
      <c r="X19" s="456"/>
      <c r="Y19" s="456"/>
      <c r="Z19" s="456"/>
      <c r="AA19" s="456"/>
      <c r="AB19" s="456"/>
      <c r="AC19" s="456"/>
      <c r="AD19" s="456"/>
      <c r="AE19" s="457">
        <f t="shared" si="0"/>
        <v>1050</v>
      </c>
      <c r="AF19" s="456"/>
      <c r="AG19" s="471">
        <v>1</v>
      </c>
      <c r="AH19" s="462">
        <f t="shared" si="2"/>
        <v>1</v>
      </c>
      <c r="AI19" s="456"/>
      <c r="AJ19" s="456"/>
      <c r="AK19" s="456"/>
      <c r="AL19" s="456"/>
      <c r="AM19" s="456"/>
      <c r="AN19" s="456"/>
      <c r="AO19" s="456"/>
      <c r="AP19" s="456"/>
      <c r="AQ19" s="456"/>
      <c r="AR19" s="456"/>
      <c r="AS19" s="456"/>
      <c r="AT19" s="456"/>
    </row>
    <row r="20" spans="1:46" ht="45" x14ac:dyDescent="0.2">
      <c r="A20" s="729"/>
      <c r="B20" s="731"/>
      <c r="C20" s="734"/>
      <c r="D20" s="714"/>
      <c r="E20" s="743"/>
      <c r="F20" s="743"/>
      <c r="G20" s="743"/>
      <c r="H20" s="743"/>
      <c r="I20" s="743"/>
      <c r="J20" s="475" t="s">
        <v>929</v>
      </c>
      <c r="K20" s="476" t="s">
        <v>938</v>
      </c>
      <c r="L20" s="457">
        <v>10</v>
      </c>
      <c r="M20" s="457" t="s">
        <v>127</v>
      </c>
      <c r="N20" s="457"/>
      <c r="O20" s="456"/>
      <c r="P20" s="457">
        <v>0</v>
      </c>
      <c r="Q20" s="457">
        <v>0</v>
      </c>
      <c r="R20" s="457">
        <v>0</v>
      </c>
      <c r="S20" s="457">
        <v>0</v>
      </c>
      <c r="T20" s="456"/>
      <c r="U20" s="456"/>
      <c r="V20" s="456"/>
      <c r="W20" s="456"/>
      <c r="X20" s="456"/>
      <c r="Y20" s="456"/>
      <c r="Z20" s="456"/>
      <c r="AA20" s="456"/>
      <c r="AB20" s="456"/>
      <c r="AC20" s="456"/>
      <c r="AD20" s="456"/>
      <c r="AE20" s="457">
        <f t="shared" si="0"/>
        <v>0</v>
      </c>
      <c r="AF20" s="456"/>
      <c r="AG20" s="471">
        <f t="shared" si="3"/>
        <v>0</v>
      </c>
      <c r="AH20" s="462">
        <f t="shared" si="2"/>
        <v>0</v>
      </c>
      <c r="AI20" s="456"/>
      <c r="AJ20" s="456"/>
      <c r="AK20" s="456"/>
      <c r="AL20" s="456"/>
      <c r="AM20" s="456"/>
      <c r="AN20" s="456"/>
      <c r="AO20" s="456"/>
      <c r="AP20" s="456"/>
      <c r="AQ20" s="456"/>
      <c r="AR20" s="456"/>
      <c r="AS20" s="456"/>
      <c r="AT20" s="456"/>
    </row>
    <row r="21" spans="1:46" ht="36.75" customHeight="1" x14ac:dyDescent="0.2">
      <c r="A21" s="729"/>
      <c r="B21" s="731"/>
      <c r="C21" s="734"/>
      <c r="D21" s="714"/>
      <c r="E21" s="743"/>
      <c r="F21" s="743"/>
      <c r="G21" s="743"/>
      <c r="H21" s="743"/>
      <c r="I21" s="743"/>
      <c r="J21" s="475" t="s">
        <v>930</v>
      </c>
      <c r="K21" s="476" t="s">
        <v>939</v>
      </c>
      <c r="L21" s="457">
        <v>1</v>
      </c>
      <c r="M21" s="457" t="s">
        <v>127</v>
      </c>
      <c r="N21" s="457"/>
      <c r="O21" s="456"/>
      <c r="P21" s="457">
        <v>0</v>
      </c>
      <c r="Q21" s="457">
        <v>0</v>
      </c>
      <c r="R21" s="457">
        <v>0</v>
      </c>
      <c r="S21" s="457">
        <v>0</v>
      </c>
      <c r="T21" s="456"/>
      <c r="U21" s="456"/>
      <c r="V21" s="456"/>
      <c r="W21" s="456"/>
      <c r="X21" s="456"/>
      <c r="Y21" s="456"/>
      <c r="Z21" s="456"/>
      <c r="AA21" s="456"/>
      <c r="AB21" s="456"/>
      <c r="AC21" s="456"/>
      <c r="AD21" s="456"/>
      <c r="AE21" s="457">
        <f t="shared" si="0"/>
        <v>0</v>
      </c>
      <c r="AF21" s="456"/>
      <c r="AG21" s="471">
        <f t="shared" si="3"/>
        <v>0</v>
      </c>
      <c r="AH21" s="462">
        <f t="shared" si="2"/>
        <v>0</v>
      </c>
      <c r="AI21" s="456"/>
      <c r="AJ21" s="456"/>
      <c r="AK21" s="456"/>
      <c r="AL21" s="456"/>
      <c r="AM21" s="456"/>
      <c r="AN21" s="456"/>
      <c r="AO21" s="456"/>
      <c r="AP21" s="456"/>
      <c r="AQ21" s="456"/>
      <c r="AR21" s="456"/>
      <c r="AS21" s="456"/>
      <c r="AT21" s="456"/>
    </row>
    <row r="22" spans="1:46" ht="78.75" x14ac:dyDescent="0.2">
      <c r="A22" s="729"/>
      <c r="B22" s="731"/>
      <c r="C22" s="734"/>
      <c r="D22" s="714"/>
      <c r="E22" s="743"/>
      <c r="F22" s="743"/>
      <c r="G22" s="743"/>
      <c r="H22" s="743"/>
      <c r="I22" s="743"/>
      <c r="J22" s="475" t="s">
        <v>931</v>
      </c>
      <c r="K22" s="476" t="s">
        <v>940</v>
      </c>
      <c r="L22" s="457">
        <v>1</v>
      </c>
      <c r="M22" s="457" t="s">
        <v>127</v>
      </c>
      <c r="N22" s="457"/>
      <c r="O22" s="456"/>
      <c r="P22" s="457">
        <v>0</v>
      </c>
      <c r="Q22" s="457">
        <v>0</v>
      </c>
      <c r="R22" s="457">
        <v>0</v>
      </c>
      <c r="S22" s="457">
        <v>0</v>
      </c>
      <c r="T22" s="456"/>
      <c r="U22" s="456"/>
      <c r="V22" s="456"/>
      <c r="W22" s="456"/>
      <c r="X22" s="456"/>
      <c r="Y22" s="456"/>
      <c r="Z22" s="456"/>
      <c r="AA22" s="456"/>
      <c r="AB22" s="456"/>
      <c r="AC22" s="456"/>
      <c r="AD22" s="456"/>
      <c r="AE22" s="457">
        <f t="shared" si="0"/>
        <v>0</v>
      </c>
      <c r="AF22" s="456"/>
      <c r="AG22" s="471">
        <f t="shared" si="3"/>
        <v>0</v>
      </c>
      <c r="AH22" s="462">
        <f t="shared" si="2"/>
        <v>0</v>
      </c>
      <c r="AI22" s="456"/>
      <c r="AJ22" s="456"/>
      <c r="AK22" s="456"/>
      <c r="AL22" s="456"/>
      <c r="AM22" s="456"/>
      <c r="AN22" s="456"/>
      <c r="AO22" s="456"/>
      <c r="AP22" s="456"/>
      <c r="AQ22" s="456"/>
      <c r="AR22" s="456"/>
      <c r="AS22" s="456"/>
      <c r="AT22" s="456"/>
    </row>
    <row r="23" spans="1:46" ht="67.5" x14ac:dyDescent="0.2">
      <c r="A23" s="729"/>
      <c r="B23" s="731"/>
      <c r="C23" s="734"/>
      <c r="D23" s="714"/>
      <c r="E23" s="743"/>
      <c r="F23" s="743"/>
      <c r="G23" s="743"/>
      <c r="H23" s="743"/>
      <c r="I23" s="743"/>
      <c r="J23" s="475" t="s">
        <v>932</v>
      </c>
      <c r="K23" s="476" t="s">
        <v>942</v>
      </c>
      <c r="L23" s="457">
        <v>1</v>
      </c>
      <c r="M23" s="457" t="s">
        <v>127</v>
      </c>
      <c r="N23" s="457"/>
      <c r="O23" s="456"/>
      <c r="P23" s="457">
        <v>0</v>
      </c>
      <c r="Q23" s="457">
        <v>0</v>
      </c>
      <c r="R23" s="457">
        <v>0</v>
      </c>
      <c r="S23" s="457">
        <v>0</v>
      </c>
      <c r="T23" s="456"/>
      <c r="U23" s="456"/>
      <c r="V23" s="456"/>
      <c r="W23" s="456"/>
      <c r="X23" s="456"/>
      <c r="Y23" s="456"/>
      <c r="Z23" s="456"/>
      <c r="AA23" s="456"/>
      <c r="AB23" s="456"/>
      <c r="AC23" s="456"/>
      <c r="AD23" s="456"/>
      <c r="AE23" s="457">
        <f t="shared" si="0"/>
        <v>0</v>
      </c>
      <c r="AF23" s="456"/>
      <c r="AG23" s="471">
        <f t="shared" si="3"/>
        <v>0</v>
      </c>
      <c r="AH23" s="462">
        <f t="shared" si="2"/>
        <v>0</v>
      </c>
      <c r="AI23" s="456"/>
      <c r="AJ23" s="456"/>
      <c r="AK23" s="456"/>
      <c r="AL23" s="456"/>
      <c r="AM23" s="456"/>
      <c r="AN23" s="456"/>
      <c r="AO23" s="456"/>
      <c r="AP23" s="456"/>
      <c r="AQ23" s="456"/>
      <c r="AR23" s="456"/>
      <c r="AS23" s="456"/>
      <c r="AT23" s="456"/>
    </row>
    <row r="24" spans="1:46" ht="33.75" x14ac:dyDescent="0.2">
      <c r="A24" s="729"/>
      <c r="B24" s="731"/>
      <c r="C24" s="734"/>
      <c r="D24" s="714"/>
      <c r="E24" s="743"/>
      <c r="F24" s="743"/>
      <c r="G24" s="743"/>
      <c r="H24" s="743"/>
      <c r="I24" s="743"/>
      <c r="J24" s="475" t="s">
        <v>933</v>
      </c>
      <c r="K24" s="476" t="s">
        <v>941</v>
      </c>
      <c r="L24" s="457">
        <v>5000</v>
      </c>
      <c r="M24" s="457" t="s">
        <v>127</v>
      </c>
      <c r="N24" s="457"/>
      <c r="O24" s="456"/>
      <c r="P24" s="457">
        <v>0</v>
      </c>
      <c r="Q24" s="457">
        <v>0</v>
      </c>
      <c r="R24" s="457">
        <v>0</v>
      </c>
      <c r="S24" s="457">
        <v>0</v>
      </c>
      <c r="T24" s="456"/>
      <c r="U24" s="456"/>
      <c r="V24" s="456"/>
      <c r="W24" s="456"/>
      <c r="X24" s="456"/>
      <c r="Y24" s="456"/>
      <c r="Z24" s="456"/>
      <c r="AA24" s="456"/>
      <c r="AB24" s="456"/>
      <c r="AC24" s="456"/>
      <c r="AD24" s="456"/>
      <c r="AE24" s="457">
        <f t="shared" si="0"/>
        <v>0</v>
      </c>
      <c r="AF24" s="456"/>
      <c r="AG24" s="471">
        <f t="shared" si="3"/>
        <v>0</v>
      </c>
      <c r="AH24" s="462">
        <f t="shared" si="2"/>
        <v>0</v>
      </c>
      <c r="AI24" s="456"/>
      <c r="AJ24" s="456"/>
      <c r="AK24" s="456"/>
      <c r="AL24" s="456"/>
      <c r="AM24" s="456"/>
      <c r="AN24" s="456"/>
      <c r="AO24" s="456"/>
      <c r="AP24" s="456"/>
      <c r="AQ24" s="456"/>
      <c r="AR24" s="456"/>
      <c r="AS24" s="456"/>
      <c r="AT24" s="456"/>
    </row>
    <row r="25" spans="1:46" ht="45" x14ac:dyDescent="0.2">
      <c r="A25" s="729"/>
      <c r="B25" s="731"/>
      <c r="C25" s="734"/>
      <c r="D25" s="714"/>
      <c r="E25" s="743"/>
      <c r="F25" s="743"/>
      <c r="G25" s="743"/>
      <c r="H25" s="743"/>
      <c r="I25" s="743"/>
      <c r="J25" s="477" t="s">
        <v>934</v>
      </c>
      <c r="K25" s="476" t="s">
        <v>943</v>
      </c>
      <c r="L25" s="457">
        <v>3000</v>
      </c>
      <c r="M25" s="457" t="s">
        <v>127</v>
      </c>
      <c r="N25" s="457"/>
      <c r="O25" s="456"/>
      <c r="P25" s="457">
        <v>0</v>
      </c>
      <c r="Q25" s="457">
        <v>0</v>
      </c>
      <c r="R25" s="457">
        <v>0</v>
      </c>
      <c r="S25" s="457">
        <v>0</v>
      </c>
      <c r="T25" s="456"/>
      <c r="U25" s="456"/>
      <c r="V25" s="456"/>
      <c r="W25" s="456"/>
      <c r="X25" s="457">
        <v>300</v>
      </c>
      <c r="Y25" s="456"/>
      <c r="Z25" s="456"/>
      <c r="AA25" s="456"/>
      <c r="AB25" s="456"/>
      <c r="AC25" s="456"/>
      <c r="AD25" s="456"/>
      <c r="AE25" s="457">
        <f t="shared" si="0"/>
        <v>300</v>
      </c>
      <c r="AF25" s="456"/>
      <c r="AG25" s="471">
        <f t="shared" si="3"/>
        <v>0.1</v>
      </c>
      <c r="AH25" s="462">
        <f t="shared" si="2"/>
        <v>0.1</v>
      </c>
      <c r="AI25" s="456"/>
      <c r="AJ25" s="456"/>
      <c r="AK25" s="456"/>
      <c r="AL25" s="456"/>
      <c r="AM25" s="456"/>
      <c r="AN25" s="456"/>
      <c r="AO25" s="456"/>
      <c r="AP25" s="456"/>
      <c r="AQ25" s="456"/>
      <c r="AR25" s="456"/>
      <c r="AS25" s="456"/>
      <c r="AT25" s="456"/>
    </row>
    <row r="26" spans="1:46" ht="78.75" x14ac:dyDescent="0.2">
      <c r="A26" s="729"/>
      <c r="B26" s="731"/>
      <c r="C26" s="734"/>
      <c r="D26" s="714"/>
      <c r="E26" s="743"/>
      <c r="F26" s="743"/>
      <c r="G26" s="743"/>
      <c r="H26" s="743"/>
      <c r="I26" s="743"/>
      <c r="J26" s="475" t="s">
        <v>935</v>
      </c>
      <c r="K26" s="476" t="s">
        <v>944</v>
      </c>
      <c r="L26" s="457">
        <v>1000</v>
      </c>
      <c r="M26" s="457" t="s">
        <v>127</v>
      </c>
      <c r="N26" s="457"/>
      <c r="O26" s="456"/>
      <c r="P26" s="457">
        <v>0</v>
      </c>
      <c r="Q26" s="457">
        <v>0</v>
      </c>
      <c r="R26" s="457">
        <v>0</v>
      </c>
      <c r="S26" s="457">
        <v>0</v>
      </c>
      <c r="T26" s="456"/>
      <c r="U26" s="456"/>
      <c r="V26" s="457">
        <v>95359</v>
      </c>
      <c r="W26" s="456"/>
      <c r="X26" s="456"/>
      <c r="Y26" s="456"/>
      <c r="Z26" s="456"/>
      <c r="AA26" s="456"/>
      <c r="AB26" s="456"/>
      <c r="AC26" s="456"/>
      <c r="AD26" s="456"/>
      <c r="AE26" s="457">
        <f t="shared" si="0"/>
        <v>95359</v>
      </c>
      <c r="AF26" s="456"/>
      <c r="AG26" s="471">
        <v>1</v>
      </c>
      <c r="AH26" s="462">
        <f t="shared" si="2"/>
        <v>1</v>
      </c>
      <c r="AI26" s="456"/>
      <c r="AJ26" s="456"/>
      <c r="AK26" s="456"/>
      <c r="AL26" s="456"/>
      <c r="AM26" s="456"/>
      <c r="AN26" s="456"/>
      <c r="AO26" s="456"/>
      <c r="AP26" s="456"/>
      <c r="AQ26" s="456"/>
      <c r="AR26" s="456"/>
      <c r="AS26" s="456"/>
      <c r="AT26" s="456"/>
    </row>
    <row r="27" spans="1:46" ht="62.25" customHeight="1" x14ac:dyDescent="0.2">
      <c r="A27" s="729"/>
      <c r="B27" s="731"/>
      <c r="C27" s="734"/>
      <c r="D27" s="714"/>
      <c r="E27" s="743"/>
      <c r="F27" s="743"/>
      <c r="G27" s="743"/>
      <c r="H27" s="743"/>
      <c r="I27" s="737"/>
      <c r="J27" s="476"/>
      <c r="K27" s="476"/>
      <c r="L27" s="457"/>
      <c r="M27" s="457"/>
      <c r="N27" s="457"/>
      <c r="O27" s="456"/>
      <c r="P27" s="456"/>
      <c r="Q27" s="456"/>
      <c r="R27" s="456"/>
      <c r="S27" s="456"/>
      <c r="T27" s="456"/>
      <c r="U27" s="456"/>
      <c r="V27" s="456"/>
      <c r="W27" s="456"/>
      <c r="X27" s="456"/>
      <c r="Y27" s="456"/>
      <c r="Z27" s="456"/>
      <c r="AA27" s="456"/>
      <c r="AB27" s="456"/>
      <c r="AC27" s="456"/>
      <c r="AD27" s="456"/>
      <c r="AE27" s="457"/>
      <c r="AF27" s="456"/>
      <c r="AG27" s="473">
        <f>AVERAGE(AG12:AG26)</f>
        <v>0.28999999999999998</v>
      </c>
      <c r="AH27" s="462">
        <f t="shared" si="2"/>
        <v>0.28999999999999998</v>
      </c>
      <c r="AI27" s="456"/>
      <c r="AJ27" s="456"/>
      <c r="AK27" s="456"/>
      <c r="AL27" s="456"/>
      <c r="AM27" s="456"/>
      <c r="AN27" s="456"/>
      <c r="AO27" s="456"/>
      <c r="AP27" s="456"/>
      <c r="AQ27" s="456"/>
      <c r="AR27" s="456"/>
      <c r="AS27" s="456"/>
      <c r="AT27" s="456"/>
    </row>
    <row r="28" spans="1:46" ht="62.25" customHeight="1" x14ac:dyDescent="0.2">
      <c r="A28" s="729"/>
      <c r="B28" s="731"/>
      <c r="C28" s="734"/>
      <c r="D28" s="715"/>
      <c r="E28" s="737"/>
      <c r="F28" s="737"/>
      <c r="G28" s="737"/>
      <c r="H28" s="737"/>
      <c r="I28" s="478"/>
      <c r="J28" s="476"/>
      <c r="K28" s="476"/>
      <c r="L28" s="457"/>
      <c r="M28" s="457"/>
      <c r="N28" s="457"/>
      <c r="O28" s="456"/>
      <c r="P28" s="456"/>
      <c r="Q28" s="456"/>
      <c r="R28" s="456"/>
      <c r="S28" s="456"/>
      <c r="T28" s="456"/>
      <c r="U28" s="456"/>
      <c r="V28" s="456"/>
      <c r="W28" s="456"/>
      <c r="X28" s="456"/>
      <c r="Y28" s="456"/>
      <c r="Z28" s="456"/>
      <c r="AA28" s="456"/>
      <c r="AB28" s="456"/>
      <c r="AC28" s="456"/>
      <c r="AD28" s="456"/>
      <c r="AE28" s="457"/>
      <c r="AF28" s="456"/>
      <c r="AG28" s="479">
        <f>+(AG11+AG27)/2</f>
        <v>0.53749999999999998</v>
      </c>
      <c r="AH28" s="462">
        <f t="shared" si="2"/>
        <v>0.53749999999999998</v>
      </c>
      <c r="AI28" s="456"/>
      <c r="AJ28" s="456"/>
      <c r="AK28" s="456"/>
      <c r="AL28" s="456"/>
      <c r="AM28" s="456"/>
      <c r="AN28" s="456"/>
      <c r="AO28" s="456"/>
      <c r="AP28" s="456"/>
      <c r="AQ28" s="456"/>
      <c r="AR28" s="456"/>
      <c r="AS28" s="456"/>
      <c r="AT28" s="456"/>
    </row>
    <row r="29" spans="1:46" ht="92.25" customHeight="1" x14ac:dyDescent="0.2">
      <c r="A29" s="729"/>
      <c r="B29" s="731"/>
      <c r="C29" s="734"/>
      <c r="D29" s="707" t="s">
        <v>945</v>
      </c>
      <c r="E29" s="480" t="s">
        <v>947</v>
      </c>
      <c r="F29" s="480" t="s">
        <v>946</v>
      </c>
      <c r="G29" s="481">
        <v>0.1</v>
      </c>
      <c r="H29" s="481">
        <v>0.54300000000000004</v>
      </c>
      <c r="I29" s="707" t="s">
        <v>951</v>
      </c>
      <c r="J29" s="482" t="s">
        <v>948</v>
      </c>
      <c r="K29" s="475" t="s">
        <v>949</v>
      </c>
      <c r="L29" s="483">
        <v>200</v>
      </c>
      <c r="M29" s="483">
        <v>1252</v>
      </c>
      <c r="N29" s="483"/>
      <c r="O29" s="456"/>
      <c r="P29" s="457">
        <v>4</v>
      </c>
      <c r="Q29" s="457">
        <v>63</v>
      </c>
      <c r="R29" s="457"/>
      <c r="S29" s="457"/>
      <c r="T29" s="457"/>
      <c r="U29" s="457"/>
      <c r="V29" s="457"/>
      <c r="W29" s="457"/>
      <c r="X29" s="457"/>
      <c r="Y29" s="457">
        <v>7</v>
      </c>
      <c r="Z29" s="457"/>
      <c r="AA29" s="457"/>
      <c r="AB29" s="457"/>
      <c r="AC29" s="457"/>
      <c r="AD29" s="457"/>
      <c r="AE29" s="457">
        <f t="shared" si="0"/>
        <v>74</v>
      </c>
      <c r="AF29" s="456"/>
      <c r="AG29" s="471">
        <f>+(AE29/L29)</f>
        <v>0.37</v>
      </c>
      <c r="AH29" s="462">
        <f t="shared" si="2"/>
        <v>0.37</v>
      </c>
      <c r="AI29" s="456"/>
      <c r="AJ29" s="456"/>
      <c r="AK29" s="456"/>
      <c r="AL29" s="456"/>
      <c r="AM29" s="456"/>
      <c r="AN29" s="456"/>
      <c r="AO29" s="456"/>
      <c r="AP29" s="456"/>
      <c r="AQ29" s="456"/>
      <c r="AR29" s="456"/>
      <c r="AS29" s="484">
        <v>490310000</v>
      </c>
      <c r="AT29" s="484">
        <v>473080000</v>
      </c>
    </row>
    <row r="30" spans="1:46" ht="90" x14ac:dyDescent="0.2">
      <c r="A30" s="729"/>
      <c r="B30" s="731"/>
      <c r="C30" s="734"/>
      <c r="D30" s="708"/>
      <c r="E30" s="736" t="s">
        <v>950</v>
      </c>
      <c r="F30" s="736" t="s">
        <v>946</v>
      </c>
      <c r="G30" s="757">
        <v>0.1</v>
      </c>
      <c r="H30" s="757">
        <v>0.54300000000000004</v>
      </c>
      <c r="I30" s="708"/>
      <c r="J30" s="485" t="s">
        <v>952</v>
      </c>
      <c r="K30" s="485" t="s">
        <v>953</v>
      </c>
      <c r="L30" s="486">
        <v>10000</v>
      </c>
      <c r="M30" s="486">
        <v>23783</v>
      </c>
      <c r="N30" s="486"/>
      <c r="O30" s="456"/>
      <c r="P30" s="457">
        <v>1948</v>
      </c>
      <c r="Q30" s="457">
        <v>102</v>
      </c>
      <c r="R30" s="457">
        <v>86</v>
      </c>
      <c r="S30" s="457">
        <v>528</v>
      </c>
      <c r="T30" s="457">
        <v>669</v>
      </c>
      <c r="U30" s="457">
        <f>300+235+45</f>
        <v>580</v>
      </c>
      <c r="V30" s="487"/>
      <c r="W30" s="487">
        <v>344</v>
      </c>
      <c r="X30" s="487">
        <v>165</v>
      </c>
      <c r="Y30" s="457">
        <v>325</v>
      </c>
      <c r="Z30" s="457">
        <v>300</v>
      </c>
      <c r="AA30" s="457">
        <v>1020</v>
      </c>
      <c r="AB30" s="457"/>
      <c r="AC30" s="457"/>
      <c r="AD30" s="457"/>
      <c r="AE30" s="457">
        <f>+SUM(N30:AC30)</f>
        <v>6067</v>
      </c>
      <c r="AF30" s="457">
        <v>669</v>
      </c>
      <c r="AG30" s="488">
        <f>+AE30/L30</f>
        <v>0.60670000000000002</v>
      </c>
      <c r="AH30" s="462">
        <f t="shared" si="2"/>
        <v>0.60670000000000002</v>
      </c>
      <c r="AI30" s="456"/>
      <c r="AJ30" s="456"/>
      <c r="AK30" s="456"/>
      <c r="AL30" s="456"/>
      <c r="AM30" s="456"/>
      <c r="AN30" s="456"/>
      <c r="AO30" s="456"/>
      <c r="AP30" s="456"/>
      <c r="AQ30" s="456"/>
      <c r="AR30" s="456"/>
      <c r="AS30" s="456"/>
      <c r="AT30" s="456"/>
    </row>
    <row r="31" spans="1:46" ht="78.75" x14ac:dyDescent="0.2">
      <c r="A31" s="729"/>
      <c r="B31" s="731"/>
      <c r="C31" s="734"/>
      <c r="D31" s="708"/>
      <c r="E31" s="743"/>
      <c r="F31" s="743"/>
      <c r="G31" s="758"/>
      <c r="H31" s="758"/>
      <c r="I31" s="708"/>
      <c r="J31" s="485" t="s">
        <v>954</v>
      </c>
      <c r="K31" s="485" t="s">
        <v>955</v>
      </c>
      <c r="L31" s="486">
        <v>10</v>
      </c>
      <c r="M31" s="486" t="s">
        <v>956</v>
      </c>
      <c r="N31" s="486"/>
      <c r="O31" s="456"/>
      <c r="P31" s="457">
        <v>1</v>
      </c>
      <c r="Q31" s="457">
        <v>0</v>
      </c>
      <c r="R31" s="457">
        <v>0</v>
      </c>
      <c r="S31" s="457">
        <v>4</v>
      </c>
      <c r="T31" s="457">
        <v>0</v>
      </c>
      <c r="U31" s="457">
        <v>0</v>
      </c>
      <c r="V31" s="457">
        <v>0</v>
      </c>
      <c r="W31" s="487">
        <v>1</v>
      </c>
      <c r="X31" s="487">
        <v>0</v>
      </c>
      <c r="Y31" s="457">
        <v>0</v>
      </c>
      <c r="Z31" s="457">
        <v>0</v>
      </c>
      <c r="AA31" s="457">
        <v>2</v>
      </c>
      <c r="AB31" s="457"/>
      <c r="AC31" s="457"/>
      <c r="AD31" s="457"/>
      <c r="AE31" s="457">
        <f t="shared" si="0"/>
        <v>8</v>
      </c>
      <c r="AF31" s="457">
        <v>0</v>
      </c>
      <c r="AG31" s="471">
        <f>+(AE31/L31)</f>
        <v>0.8</v>
      </c>
      <c r="AH31" s="462">
        <f t="shared" si="2"/>
        <v>0.8</v>
      </c>
      <c r="AI31" s="456"/>
      <c r="AJ31" s="456"/>
      <c r="AK31" s="456"/>
      <c r="AL31" s="456"/>
      <c r="AM31" s="456"/>
      <c r="AN31" s="456"/>
      <c r="AO31" s="456"/>
      <c r="AP31" s="456"/>
      <c r="AQ31" s="456"/>
      <c r="AR31" s="456"/>
      <c r="AS31" s="456"/>
      <c r="AT31" s="456"/>
    </row>
    <row r="32" spans="1:46" ht="78.75" x14ac:dyDescent="0.2">
      <c r="A32" s="729"/>
      <c r="B32" s="731"/>
      <c r="C32" s="734"/>
      <c r="D32" s="708"/>
      <c r="E32" s="743"/>
      <c r="F32" s="743"/>
      <c r="G32" s="758"/>
      <c r="H32" s="758"/>
      <c r="I32" s="708"/>
      <c r="J32" s="485" t="s">
        <v>957</v>
      </c>
      <c r="K32" s="485" t="s">
        <v>958</v>
      </c>
      <c r="L32" s="486">
        <v>2000</v>
      </c>
      <c r="M32" s="486">
        <v>14327</v>
      </c>
      <c r="N32" s="486"/>
      <c r="O32" s="456"/>
      <c r="P32" s="457">
        <v>200</v>
      </c>
      <c r="Q32" s="457">
        <v>0</v>
      </c>
      <c r="R32" s="457">
        <v>30</v>
      </c>
      <c r="S32" s="457">
        <v>34</v>
      </c>
      <c r="T32" s="457">
        <v>507</v>
      </c>
      <c r="U32" s="457">
        <v>45</v>
      </c>
      <c r="V32" s="487"/>
      <c r="W32" s="487">
        <v>102</v>
      </c>
      <c r="X32" s="487">
        <v>165</v>
      </c>
      <c r="Y32" s="457">
        <v>90</v>
      </c>
      <c r="Z32" s="457">
        <v>210</v>
      </c>
      <c r="AA32" s="457">
        <v>260</v>
      </c>
      <c r="AB32" s="457"/>
      <c r="AC32" s="457"/>
      <c r="AD32" s="457"/>
      <c r="AE32" s="457">
        <f t="shared" si="0"/>
        <v>1643</v>
      </c>
      <c r="AF32" s="457">
        <v>507</v>
      </c>
      <c r="AG32" s="471">
        <f>+AE32/L32</f>
        <v>0.82150000000000001</v>
      </c>
      <c r="AH32" s="462">
        <f t="shared" si="2"/>
        <v>0.82150000000000001</v>
      </c>
      <c r="AI32" s="456"/>
      <c r="AJ32" s="456"/>
      <c r="AK32" s="456"/>
      <c r="AL32" s="456"/>
      <c r="AM32" s="456"/>
      <c r="AN32" s="456"/>
      <c r="AO32" s="456"/>
      <c r="AP32" s="456"/>
      <c r="AQ32" s="456"/>
      <c r="AR32" s="456"/>
      <c r="AS32" s="456"/>
      <c r="AT32" s="456"/>
    </row>
    <row r="33" spans="1:46" ht="45" x14ac:dyDescent="0.2">
      <c r="A33" s="729"/>
      <c r="B33" s="731"/>
      <c r="C33" s="734"/>
      <c r="D33" s="708"/>
      <c r="E33" s="743"/>
      <c r="F33" s="743"/>
      <c r="G33" s="758"/>
      <c r="H33" s="758"/>
      <c r="I33" s="708"/>
      <c r="J33" s="489" t="s">
        <v>959</v>
      </c>
      <c r="K33" s="485" t="s">
        <v>960</v>
      </c>
      <c r="L33" s="486">
        <v>1</v>
      </c>
      <c r="M33" s="486">
        <v>0</v>
      </c>
      <c r="N33" s="486"/>
      <c r="O33" s="456"/>
      <c r="P33" s="457">
        <v>0</v>
      </c>
      <c r="Q33" s="457">
        <v>0</v>
      </c>
      <c r="R33" s="457">
        <v>0</v>
      </c>
      <c r="S33" s="457">
        <v>0</v>
      </c>
      <c r="T33" s="457">
        <v>0</v>
      </c>
      <c r="U33" s="457"/>
      <c r="V33" s="457"/>
      <c r="W33" s="457"/>
      <c r="X33" s="457"/>
      <c r="Y33" s="457"/>
      <c r="Z33" s="457"/>
      <c r="AA33" s="457"/>
      <c r="AB33" s="457"/>
      <c r="AC33" s="457"/>
      <c r="AD33" s="457"/>
      <c r="AE33" s="457">
        <f t="shared" si="0"/>
        <v>0</v>
      </c>
      <c r="AF33" s="457">
        <v>0</v>
      </c>
      <c r="AG33" s="471">
        <f>+(AE33/L33)</f>
        <v>0</v>
      </c>
      <c r="AH33" s="462">
        <f t="shared" si="2"/>
        <v>0</v>
      </c>
      <c r="AI33" s="456"/>
      <c r="AJ33" s="456"/>
      <c r="AK33" s="456"/>
      <c r="AL33" s="456"/>
      <c r="AM33" s="456"/>
      <c r="AN33" s="456"/>
      <c r="AO33" s="456"/>
      <c r="AP33" s="456"/>
      <c r="AQ33" s="456"/>
      <c r="AR33" s="456"/>
      <c r="AS33" s="456"/>
      <c r="AT33" s="456"/>
    </row>
    <row r="34" spans="1:46" ht="63.75" customHeight="1" x14ac:dyDescent="0.2">
      <c r="A34" s="729"/>
      <c r="B34" s="731"/>
      <c r="C34" s="734"/>
      <c r="D34" s="708"/>
      <c r="E34" s="743"/>
      <c r="F34" s="743"/>
      <c r="G34" s="758"/>
      <c r="H34" s="758"/>
      <c r="I34" s="709"/>
      <c r="J34" s="490"/>
      <c r="K34" s="490"/>
      <c r="L34" s="491"/>
      <c r="M34" s="491"/>
      <c r="N34" s="491"/>
      <c r="O34" s="456"/>
      <c r="P34" s="456"/>
      <c r="Q34" s="456"/>
      <c r="R34" s="456"/>
      <c r="S34" s="456"/>
      <c r="T34" s="456"/>
      <c r="U34" s="456"/>
      <c r="V34" s="456"/>
      <c r="W34" s="456"/>
      <c r="X34" s="456"/>
      <c r="Y34" s="456"/>
      <c r="Z34" s="456"/>
      <c r="AA34" s="456"/>
      <c r="AB34" s="456"/>
      <c r="AC34" s="456"/>
      <c r="AD34" s="456"/>
      <c r="AE34" s="457"/>
      <c r="AF34" s="456"/>
      <c r="AG34" s="492">
        <f>AVERAGE(AG29:AG33)</f>
        <v>0.51963999999999999</v>
      </c>
      <c r="AH34" s="462">
        <f t="shared" si="2"/>
        <v>0.51963999999999999</v>
      </c>
      <c r="AI34" s="456"/>
      <c r="AJ34" s="456"/>
      <c r="AK34" s="456"/>
      <c r="AL34" s="456"/>
      <c r="AM34" s="456"/>
      <c r="AN34" s="456"/>
      <c r="AO34" s="456"/>
      <c r="AP34" s="456"/>
      <c r="AQ34" s="456"/>
      <c r="AR34" s="456"/>
      <c r="AS34" s="456"/>
      <c r="AT34" s="456"/>
    </row>
    <row r="35" spans="1:46" ht="45" customHeight="1" x14ac:dyDescent="0.2">
      <c r="A35" s="729"/>
      <c r="B35" s="731"/>
      <c r="C35" s="734"/>
      <c r="D35" s="708"/>
      <c r="E35" s="743"/>
      <c r="F35" s="743"/>
      <c r="G35" s="758"/>
      <c r="H35" s="758"/>
      <c r="I35" s="748" t="s">
        <v>961</v>
      </c>
      <c r="J35" s="490" t="s">
        <v>962</v>
      </c>
      <c r="K35" s="490" t="s">
        <v>963</v>
      </c>
      <c r="L35" s="493">
        <v>500</v>
      </c>
      <c r="M35" s="493">
        <v>340</v>
      </c>
      <c r="N35" s="493"/>
      <c r="O35" s="494"/>
      <c r="P35" s="457">
        <v>0</v>
      </c>
      <c r="Q35" s="457">
        <v>69</v>
      </c>
      <c r="R35" s="457">
        <v>75</v>
      </c>
      <c r="S35" s="457">
        <v>0</v>
      </c>
      <c r="T35" s="457">
        <v>0</v>
      </c>
      <c r="U35" s="457">
        <v>0</v>
      </c>
      <c r="V35" s="487">
        <v>95</v>
      </c>
      <c r="W35" s="487">
        <v>0</v>
      </c>
      <c r="X35" s="487">
        <v>0</v>
      </c>
      <c r="Y35" s="457">
        <v>250</v>
      </c>
      <c r="Z35" s="457">
        <v>0</v>
      </c>
      <c r="AA35" s="457">
        <v>0</v>
      </c>
      <c r="AB35" s="457"/>
      <c r="AC35" s="457"/>
      <c r="AD35" s="457"/>
      <c r="AE35" s="457">
        <f t="shared" si="0"/>
        <v>489</v>
      </c>
      <c r="AF35" s="456"/>
      <c r="AG35" s="471">
        <f>+(AE35/L35)</f>
        <v>0.97799999999999998</v>
      </c>
      <c r="AH35" s="462">
        <f t="shared" si="2"/>
        <v>0.97799999999999998</v>
      </c>
      <c r="AI35" s="456"/>
      <c r="AJ35" s="456"/>
      <c r="AK35" s="456"/>
      <c r="AL35" s="456"/>
      <c r="AM35" s="456"/>
      <c r="AN35" s="456"/>
      <c r="AO35" s="456"/>
      <c r="AP35" s="456"/>
      <c r="AQ35" s="456"/>
      <c r="AR35" s="456"/>
      <c r="AS35" s="456"/>
      <c r="AT35" s="456"/>
    </row>
    <row r="36" spans="1:46" ht="45" x14ac:dyDescent="0.2">
      <c r="A36" s="729"/>
      <c r="B36" s="731"/>
      <c r="C36" s="734"/>
      <c r="D36" s="708"/>
      <c r="E36" s="743"/>
      <c r="F36" s="743"/>
      <c r="G36" s="758"/>
      <c r="H36" s="758"/>
      <c r="I36" s="749"/>
      <c r="J36" s="490" t="s">
        <v>964</v>
      </c>
      <c r="K36" s="490" t="s">
        <v>965</v>
      </c>
      <c r="L36" s="490">
        <v>200</v>
      </c>
      <c r="M36" s="490" t="s">
        <v>956</v>
      </c>
      <c r="N36" s="490"/>
      <c r="O36" s="456"/>
      <c r="P36" s="457">
        <v>0</v>
      </c>
      <c r="Q36" s="457">
        <v>6</v>
      </c>
      <c r="R36" s="457">
        <v>0</v>
      </c>
      <c r="S36" s="457">
        <v>0</v>
      </c>
      <c r="T36" s="457">
        <v>12</v>
      </c>
      <c r="U36" s="457">
        <v>0</v>
      </c>
      <c r="V36" s="487">
        <v>50</v>
      </c>
      <c r="W36" s="487">
        <v>0</v>
      </c>
      <c r="X36" s="487">
        <v>0</v>
      </c>
      <c r="Y36" s="457">
        <v>0</v>
      </c>
      <c r="Z36" s="457">
        <v>0</v>
      </c>
      <c r="AA36" s="457">
        <v>0</v>
      </c>
      <c r="AB36" s="457"/>
      <c r="AC36" s="457"/>
      <c r="AD36" s="457"/>
      <c r="AE36" s="457">
        <f t="shared" si="0"/>
        <v>68</v>
      </c>
      <c r="AF36" s="456"/>
      <c r="AG36" s="471">
        <f>+(AE36/L36)</f>
        <v>0.34</v>
      </c>
      <c r="AH36" s="462">
        <f t="shared" si="2"/>
        <v>0.34</v>
      </c>
      <c r="AI36" s="456"/>
      <c r="AJ36" s="456"/>
      <c r="AK36" s="456"/>
      <c r="AL36" s="456"/>
      <c r="AM36" s="456"/>
      <c r="AN36" s="456"/>
      <c r="AO36" s="456"/>
      <c r="AP36" s="456"/>
      <c r="AQ36" s="456"/>
      <c r="AR36" s="456"/>
      <c r="AS36" s="456"/>
      <c r="AT36" s="456"/>
    </row>
    <row r="37" spans="1:46" ht="67.5" x14ac:dyDescent="0.2">
      <c r="A37" s="729"/>
      <c r="B37" s="731"/>
      <c r="C37" s="734"/>
      <c r="D37" s="708"/>
      <c r="E37" s="743"/>
      <c r="F37" s="743"/>
      <c r="G37" s="758"/>
      <c r="H37" s="758"/>
      <c r="I37" s="749"/>
      <c r="J37" s="490" t="s">
        <v>966</v>
      </c>
      <c r="K37" s="490" t="s">
        <v>967</v>
      </c>
      <c r="L37" s="490">
        <v>200</v>
      </c>
      <c r="M37" s="490">
        <v>86</v>
      </c>
      <c r="N37" s="490"/>
      <c r="O37" s="456"/>
      <c r="P37" s="457">
        <v>0</v>
      </c>
      <c r="Q37" s="457">
        <v>0</v>
      </c>
      <c r="R37" s="457">
        <v>0</v>
      </c>
      <c r="S37" s="457">
        <v>0</v>
      </c>
      <c r="T37" s="457">
        <v>85</v>
      </c>
      <c r="U37" s="457">
        <v>0</v>
      </c>
      <c r="V37" s="487">
        <v>0</v>
      </c>
      <c r="W37" s="487">
        <v>0</v>
      </c>
      <c r="X37" s="487">
        <v>0</v>
      </c>
      <c r="Y37" s="457">
        <v>30</v>
      </c>
      <c r="Z37" s="457">
        <v>0</v>
      </c>
      <c r="AA37" s="457">
        <v>20</v>
      </c>
      <c r="AB37" s="457"/>
      <c r="AC37" s="457"/>
      <c r="AD37" s="457"/>
      <c r="AE37" s="457">
        <f t="shared" si="0"/>
        <v>135</v>
      </c>
      <c r="AF37" s="456"/>
      <c r="AG37" s="471">
        <f>+(AE37/L37)</f>
        <v>0.67500000000000004</v>
      </c>
      <c r="AH37" s="462">
        <f t="shared" si="2"/>
        <v>0.67500000000000004</v>
      </c>
      <c r="AI37" s="456"/>
      <c r="AJ37" s="456"/>
      <c r="AK37" s="456"/>
      <c r="AL37" s="456"/>
      <c r="AM37" s="456"/>
      <c r="AN37" s="456"/>
      <c r="AO37" s="456"/>
      <c r="AP37" s="456"/>
      <c r="AQ37" s="456"/>
      <c r="AR37" s="456"/>
      <c r="AS37" s="456"/>
      <c r="AT37" s="456"/>
    </row>
    <row r="38" spans="1:46" ht="90" x14ac:dyDescent="0.2">
      <c r="A38" s="729"/>
      <c r="B38" s="731"/>
      <c r="C38" s="734"/>
      <c r="D38" s="708"/>
      <c r="E38" s="743"/>
      <c r="F38" s="743"/>
      <c r="G38" s="758"/>
      <c r="H38" s="758"/>
      <c r="I38" s="749"/>
      <c r="J38" s="490" t="s">
        <v>968</v>
      </c>
      <c r="K38" s="490" t="s">
        <v>969</v>
      </c>
      <c r="L38" s="485">
        <v>500</v>
      </c>
      <c r="M38" s="490">
        <v>340</v>
      </c>
      <c r="N38" s="490"/>
      <c r="O38" s="456"/>
      <c r="P38" s="457">
        <v>0</v>
      </c>
      <c r="Q38" s="457">
        <v>0</v>
      </c>
      <c r="R38" s="457">
        <v>0</v>
      </c>
      <c r="S38" s="457">
        <v>0</v>
      </c>
      <c r="T38" s="457">
        <v>243</v>
      </c>
      <c r="U38" s="457">
        <v>0</v>
      </c>
      <c r="V38" s="487">
        <v>95</v>
      </c>
      <c r="W38" s="487">
        <v>0</v>
      </c>
      <c r="X38" s="487">
        <v>0</v>
      </c>
      <c r="Y38" s="457">
        <v>0</v>
      </c>
      <c r="Z38" s="457">
        <v>0</v>
      </c>
      <c r="AA38" s="457">
        <v>0</v>
      </c>
      <c r="AB38" s="457"/>
      <c r="AC38" s="457"/>
      <c r="AD38" s="457"/>
      <c r="AE38" s="457">
        <f t="shared" si="0"/>
        <v>338</v>
      </c>
      <c r="AF38" s="456"/>
      <c r="AG38" s="471">
        <f>+(AE38/L38)</f>
        <v>0.67600000000000005</v>
      </c>
      <c r="AH38" s="462">
        <f t="shared" si="2"/>
        <v>0.67600000000000005</v>
      </c>
      <c r="AI38" s="456"/>
      <c r="AJ38" s="456"/>
      <c r="AK38" s="456"/>
      <c r="AL38" s="456"/>
      <c r="AM38" s="456"/>
      <c r="AN38" s="456"/>
      <c r="AO38" s="456"/>
      <c r="AP38" s="456"/>
      <c r="AQ38" s="456"/>
      <c r="AR38" s="456"/>
      <c r="AS38" s="456"/>
      <c r="AT38" s="456"/>
    </row>
    <row r="39" spans="1:46" ht="60" customHeight="1" x14ac:dyDescent="0.2">
      <c r="A39" s="729"/>
      <c r="B39" s="731"/>
      <c r="C39" s="734"/>
      <c r="D39" s="708"/>
      <c r="E39" s="737"/>
      <c r="F39" s="737"/>
      <c r="G39" s="759"/>
      <c r="H39" s="759"/>
      <c r="I39" s="750"/>
      <c r="J39" s="490"/>
      <c r="K39" s="490"/>
      <c r="L39" s="490"/>
      <c r="M39" s="490"/>
      <c r="N39" s="490"/>
      <c r="O39" s="456"/>
      <c r="P39" s="456"/>
      <c r="Q39" s="456"/>
      <c r="R39" s="456"/>
      <c r="S39" s="456"/>
      <c r="T39" s="456"/>
      <c r="U39" s="456"/>
      <c r="V39" s="456"/>
      <c r="W39" s="456"/>
      <c r="X39" s="456"/>
      <c r="Y39" s="456"/>
      <c r="Z39" s="456"/>
      <c r="AA39" s="456"/>
      <c r="AB39" s="456"/>
      <c r="AC39" s="456"/>
      <c r="AD39" s="456"/>
      <c r="AE39" s="457"/>
      <c r="AF39" s="456"/>
      <c r="AG39" s="492">
        <f>AVERAGE(AG35:AG38)</f>
        <v>0.66725000000000001</v>
      </c>
      <c r="AH39" s="462">
        <f t="shared" si="2"/>
        <v>0.66725000000000001</v>
      </c>
      <c r="AI39" s="456"/>
      <c r="AJ39" s="456"/>
      <c r="AK39" s="456"/>
      <c r="AL39" s="456"/>
      <c r="AM39" s="456"/>
      <c r="AN39" s="456"/>
      <c r="AO39" s="456"/>
      <c r="AP39" s="456"/>
      <c r="AQ39" s="456"/>
      <c r="AR39" s="456"/>
      <c r="AS39" s="456"/>
      <c r="AT39" s="456"/>
    </row>
    <row r="40" spans="1:46" ht="45" customHeight="1" x14ac:dyDescent="0.2">
      <c r="A40" s="729"/>
      <c r="B40" s="731"/>
      <c r="C40" s="734"/>
      <c r="D40" s="708"/>
      <c r="E40" s="736" t="s">
        <v>971</v>
      </c>
      <c r="F40" s="736" t="s">
        <v>970</v>
      </c>
      <c r="G40" s="757">
        <v>0.14000000000000001</v>
      </c>
      <c r="H40" s="757">
        <v>0.16</v>
      </c>
      <c r="I40" s="748" t="s">
        <v>972</v>
      </c>
      <c r="J40" s="490" t="s">
        <v>973</v>
      </c>
      <c r="K40" s="490" t="s">
        <v>974</v>
      </c>
      <c r="L40" s="493">
        <v>1309</v>
      </c>
      <c r="M40" s="493">
        <v>224</v>
      </c>
      <c r="N40" s="490"/>
      <c r="O40" s="456"/>
      <c r="P40" s="457">
        <v>73</v>
      </c>
      <c r="Q40" s="457">
        <v>0</v>
      </c>
      <c r="R40" s="457">
        <v>140</v>
      </c>
      <c r="S40" s="457">
        <v>1047</v>
      </c>
      <c r="T40" s="457">
        <v>0</v>
      </c>
      <c r="U40" s="457">
        <v>0</v>
      </c>
      <c r="V40" s="487">
        <v>0</v>
      </c>
      <c r="W40" s="487">
        <v>265</v>
      </c>
      <c r="X40" s="487">
        <v>0</v>
      </c>
      <c r="Y40" s="457">
        <v>29</v>
      </c>
      <c r="Z40" s="457">
        <v>0</v>
      </c>
      <c r="AA40" s="457">
        <v>1242</v>
      </c>
      <c r="AB40" s="457"/>
      <c r="AC40" s="457"/>
      <c r="AD40" s="457"/>
      <c r="AE40" s="457">
        <f>+SUM(N40:AC40)</f>
        <v>2796</v>
      </c>
      <c r="AF40" s="456"/>
      <c r="AG40" s="471">
        <v>1</v>
      </c>
      <c r="AH40" s="462">
        <f t="shared" si="2"/>
        <v>1</v>
      </c>
      <c r="AI40" s="456"/>
      <c r="AJ40" s="456"/>
      <c r="AK40" s="456"/>
      <c r="AL40" s="456"/>
      <c r="AM40" s="456"/>
      <c r="AN40" s="456"/>
      <c r="AO40" s="456"/>
      <c r="AP40" s="456"/>
      <c r="AQ40" s="456"/>
      <c r="AR40" s="456"/>
      <c r="AS40" s="456"/>
      <c r="AT40" s="456"/>
    </row>
    <row r="41" spans="1:46" ht="56.25" x14ac:dyDescent="0.2">
      <c r="A41" s="729"/>
      <c r="B41" s="731"/>
      <c r="C41" s="734"/>
      <c r="D41" s="708"/>
      <c r="E41" s="743"/>
      <c r="F41" s="743"/>
      <c r="G41" s="758"/>
      <c r="H41" s="758"/>
      <c r="I41" s="749"/>
      <c r="J41" s="490" t="s">
        <v>975</v>
      </c>
      <c r="K41" s="490" t="s">
        <v>976</v>
      </c>
      <c r="L41" s="493">
        <v>40</v>
      </c>
      <c r="M41" s="493">
        <v>20</v>
      </c>
      <c r="N41" s="490"/>
      <c r="O41" s="456"/>
      <c r="P41" s="457">
        <v>0</v>
      </c>
      <c r="Q41" s="457">
        <v>0</v>
      </c>
      <c r="R41" s="457">
        <v>0</v>
      </c>
      <c r="S41" s="457">
        <v>0</v>
      </c>
      <c r="T41" s="457">
        <v>0</v>
      </c>
      <c r="U41" s="457">
        <v>15</v>
      </c>
      <c r="V41" s="487">
        <v>0</v>
      </c>
      <c r="W41" s="487">
        <v>2</v>
      </c>
      <c r="X41" s="487">
        <v>0</v>
      </c>
      <c r="Y41" s="457">
        <v>0</v>
      </c>
      <c r="Z41" s="457">
        <v>6</v>
      </c>
      <c r="AA41" s="457">
        <v>0</v>
      </c>
      <c r="AB41" s="457"/>
      <c r="AC41" s="457"/>
      <c r="AD41" s="457"/>
      <c r="AE41" s="457">
        <f t="shared" si="0"/>
        <v>23</v>
      </c>
      <c r="AF41" s="456"/>
      <c r="AG41" s="471">
        <f>+AE41/40</f>
        <v>0.57499999999999996</v>
      </c>
      <c r="AH41" s="462">
        <f t="shared" si="2"/>
        <v>0.57499999999999996</v>
      </c>
      <c r="AI41" s="456"/>
      <c r="AJ41" s="456"/>
      <c r="AK41" s="456"/>
      <c r="AL41" s="456"/>
      <c r="AM41" s="456"/>
      <c r="AN41" s="456"/>
      <c r="AO41" s="456"/>
      <c r="AP41" s="456"/>
      <c r="AQ41" s="456"/>
      <c r="AR41" s="456"/>
      <c r="AS41" s="456"/>
      <c r="AT41" s="456"/>
    </row>
    <row r="42" spans="1:46" ht="56.25" x14ac:dyDescent="0.2">
      <c r="A42" s="729"/>
      <c r="B42" s="731"/>
      <c r="C42" s="734"/>
      <c r="D42" s="708"/>
      <c r="E42" s="743"/>
      <c r="F42" s="743"/>
      <c r="G42" s="758"/>
      <c r="H42" s="758"/>
      <c r="I42" s="749"/>
      <c r="J42" s="490" t="s">
        <v>977</v>
      </c>
      <c r="K42" s="490" t="s">
        <v>978</v>
      </c>
      <c r="L42" s="493">
        <v>1000</v>
      </c>
      <c r="M42" s="493">
        <v>868</v>
      </c>
      <c r="N42" s="490"/>
      <c r="O42" s="456"/>
      <c r="P42" s="457">
        <v>221</v>
      </c>
      <c r="Q42" s="457">
        <v>0</v>
      </c>
      <c r="R42" s="457">
        <v>0</v>
      </c>
      <c r="S42" s="457">
        <v>0</v>
      </c>
      <c r="T42" s="457">
        <v>0</v>
      </c>
      <c r="U42" s="457">
        <v>221</v>
      </c>
      <c r="V42" s="487">
        <v>0</v>
      </c>
      <c r="W42" s="487">
        <v>22</v>
      </c>
      <c r="X42" s="487">
        <v>0</v>
      </c>
      <c r="Y42" s="457">
        <v>0</v>
      </c>
      <c r="Z42" s="457">
        <v>0</v>
      </c>
      <c r="AA42" s="457">
        <v>0</v>
      </c>
      <c r="AB42" s="457"/>
      <c r="AC42" s="457"/>
      <c r="AD42" s="457"/>
      <c r="AE42" s="457">
        <f t="shared" si="0"/>
        <v>464</v>
      </c>
      <c r="AF42" s="456"/>
      <c r="AG42" s="471">
        <f>+(AE42/L42)</f>
        <v>0.46400000000000002</v>
      </c>
      <c r="AH42" s="462">
        <f t="shared" si="2"/>
        <v>0.46400000000000002</v>
      </c>
      <c r="AI42" s="456"/>
      <c r="AJ42" s="456"/>
      <c r="AK42" s="456"/>
      <c r="AL42" s="456"/>
      <c r="AM42" s="456"/>
      <c r="AN42" s="456"/>
      <c r="AO42" s="456"/>
      <c r="AP42" s="456"/>
      <c r="AQ42" s="456"/>
      <c r="AR42" s="456"/>
      <c r="AS42" s="456"/>
      <c r="AT42" s="456"/>
    </row>
    <row r="43" spans="1:46" ht="45" customHeight="1" x14ac:dyDescent="0.2">
      <c r="A43" s="729"/>
      <c r="B43" s="731"/>
      <c r="C43" s="734"/>
      <c r="D43" s="708"/>
      <c r="E43" s="743"/>
      <c r="F43" s="743"/>
      <c r="G43" s="758"/>
      <c r="H43" s="758"/>
      <c r="I43" s="749"/>
      <c r="J43" s="490" t="s">
        <v>979</v>
      </c>
      <c r="K43" s="490" t="s">
        <v>980</v>
      </c>
      <c r="L43" s="493">
        <v>600</v>
      </c>
      <c r="M43" s="493">
        <v>583</v>
      </c>
      <c r="N43" s="490"/>
      <c r="O43" s="456"/>
      <c r="P43" s="457">
        <v>122</v>
      </c>
      <c r="Q43" s="457">
        <v>28</v>
      </c>
      <c r="R43" s="457">
        <v>23</v>
      </c>
      <c r="S43" s="457">
        <v>194</v>
      </c>
      <c r="T43" s="457">
        <v>34</v>
      </c>
      <c r="U43" s="457">
        <v>153</v>
      </c>
      <c r="V43" s="487">
        <v>115</v>
      </c>
      <c r="W43" s="487">
        <v>139</v>
      </c>
      <c r="X43" s="487">
        <v>0</v>
      </c>
      <c r="Y43" s="457">
        <v>22</v>
      </c>
      <c r="Z43" s="457">
        <v>0</v>
      </c>
      <c r="AA43" s="457">
        <v>295</v>
      </c>
      <c r="AB43" s="457"/>
      <c r="AC43" s="457"/>
      <c r="AD43" s="457"/>
      <c r="AE43" s="457">
        <f>+SUM(N43:AC43)</f>
        <v>1125</v>
      </c>
      <c r="AF43" s="456"/>
      <c r="AG43" s="471">
        <v>1</v>
      </c>
      <c r="AH43" s="462">
        <f t="shared" si="2"/>
        <v>1</v>
      </c>
      <c r="AI43" s="456"/>
      <c r="AJ43" s="456"/>
      <c r="AK43" s="456"/>
      <c r="AL43" s="456"/>
      <c r="AM43" s="456"/>
      <c r="AN43" s="456"/>
      <c r="AO43" s="456"/>
      <c r="AP43" s="456"/>
      <c r="AQ43" s="456"/>
      <c r="AR43" s="456"/>
      <c r="AS43" s="456"/>
      <c r="AT43" s="456"/>
    </row>
    <row r="44" spans="1:46" ht="45" customHeight="1" x14ac:dyDescent="0.2">
      <c r="A44" s="729"/>
      <c r="B44" s="731"/>
      <c r="C44" s="734"/>
      <c r="D44" s="708"/>
      <c r="E44" s="737"/>
      <c r="F44" s="737"/>
      <c r="G44" s="759"/>
      <c r="H44" s="759"/>
      <c r="I44" s="750"/>
      <c r="J44" s="490"/>
      <c r="K44" s="490"/>
      <c r="L44" s="490"/>
      <c r="M44" s="490"/>
      <c r="N44" s="490"/>
      <c r="O44" s="456"/>
      <c r="P44" s="456"/>
      <c r="Q44" s="456"/>
      <c r="R44" s="456"/>
      <c r="S44" s="456"/>
      <c r="T44" s="456"/>
      <c r="U44" s="456"/>
      <c r="V44" s="456"/>
      <c r="W44" s="456"/>
      <c r="X44" s="456"/>
      <c r="Y44" s="456"/>
      <c r="Z44" s="456"/>
      <c r="AA44" s="456"/>
      <c r="AB44" s="456"/>
      <c r="AC44" s="456"/>
      <c r="AD44" s="456"/>
      <c r="AE44" s="457"/>
      <c r="AF44" s="456"/>
      <c r="AG44" s="492">
        <f>AVERAGE(AG40:AG43)</f>
        <v>0.75975000000000004</v>
      </c>
      <c r="AH44" s="462">
        <f t="shared" si="2"/>
        <v>0.75975000000000004</v>
      </c>
      <c r="AI44" s="456"/>
      <c r="AJ44" s="456"/>
      <c r="AK44" s="456"/>
      <c r="AL44" s="456"/>
      <c r="AM44" s="456"/>
      <c r="AN44" s="456"/>
      <c r="AO44" s="456"/>
      <c r="AP44" s="456"/>
      <c r="AQ44" s="456"/>
      <c r="AR44" s="456"/>
      <c r="AS44" s="456"/>
      <c r="AT44" s="456"/>
    </row>
    <row r="45" spans="1:46" ht="61.5" customHeight="1" x14ac:dyDescent="0.2">
      <c r="A45" s="729"/>
      <c r="B45" s="731"/>
      <c r="C45" s="734"/>
      <c r="D45" s="708"/>
      <c r="E45" s="707" t="s">
        <v>983</v>
      </c>
      <c r="F45" s="707" t="s">
        <v>982</v>
      </c>
      <c r="G45" s="707">
        <v>1</v>
      </c>
      <c r="H45" s="707">
        <v>0</v>
      </c>
      <c r="I45" s="748" t="s">
        <v>981</v>
      </c>
      <c r="J45" s="490" t="s">
        <v>984</v>
      </c>
      <c r="K45" s="490" t="s">
        <v>985</v>
      </c>
      <c r="L45" s="465">
        <v>50</v>
      </c>
      <c r="M45" s="465">
        <v>2</v>
      </c>
      <c r="N45" s="465"/>
      <c r="O45" s="456"/>
      <c r="P45" s="457">
        <v>0</v>
      </c>
      <c r="Q45" s="457">
        <v>0</v>
      </c>
      <c r="R45" s="457">
        <v>0</v>
      </c>
      <c r="S45" s="457">
        <v>0</v>
      </c>
      <c r="T45" s="457">
        <v>0</v>
      </c>
      <c r="U45" s="457">
        <v>2</v>
      </c>
      <c r="V45" s="487">
        <v>0</v>
      </c>
      <c r="W45" s="487">
        <v>0</v>
      </c>
      <c r="X45" s="487">
        <v>5</v>
      </c>
      <c r="Y45" s="457">
        <v>0</v>
      </c>
      <c r="Z45" s="457">
        <v>13</v>
      </c>
      <c r="AA45" s="457">
        <v>0</v>
      </c>
      <c r="AB45" s="457"/>
      <c r="AC45" s="457"/>
      <c r="AD45" s="457"/>
      <c r="AE45" s="457">
        <f>+SUM(N45:AC45)</f>
        <v>20</v>
      </c>
      <c r="AF45" s="456"/>
      <c r="AG45" s="471">
        <f>+(AE45/L45)</f>
        <v>0.4</v>
      </c>
      <c r="AH45" s="462">
        <f t="shared" si="2"/>
        <v>0.4</v>
      </c>
      <c r="AI45" s="456"/>
      <c r="AJ45" s="456"/>
      <c r="AK45" s="456"/>
      <c r="AL45" s="456"/>
      <c r="AM45" s="456"/>
      <c r="AN45" s="456"/>
      <c r="AO45" s="456"/>
      <c r="AP45" s="456"/>
      <c r="AQ45" s="456"/>
      <c r="AR45" s="456"/>
      <c r="AS45" s="456"/>
      <c r="AT45" s="456"/>
    </row>
    <row r="46" spans="1:46" ht="56.25" x14ac:dyDescent="0.2">
      <c r="A46" s="729"/>
      <c r="B46" s="731"/>
      <c r="C46" s="734"/>
      <c r="D46" s="708"/>
      <c r="E46" s="708"/>
      <c r="F46" s="708"/>
      <c r="G46" s="708"/>
      <c r="H46" s="708"/>
      <c r="I46" s="749"/>
      <c r="J46" s="490" t="s">
        <v>986</v>
      </c>
      <c r="K46" s="490" t="s">
        <v>987</v>
      </c>
      <c r="L46" s="465">
        <v>50</v>
      </c>
      <c r="M46" s="465">
        <v>4</v>
      </c>
      <c r="N46" s="465"/>
      <c r="O46" s="456"/>
      <c r="P46" s="457">
        <v>5</v>
      </c>
      <c r="Q46" s="457">
        <v>0</v>
      </c>
      <c r="R46" s="457">
        <v>0</v>
      </c>
      <c r="S46" s="457">
        <v>0</v>
      </c>
      <c r="T46" s="457">
        <v>0</v>
      </c>
      <c r="U46" s="457">
        <v>23</v>
      </c>
      <c r="V46" s="487">
        <v>0</v>
      </c>
      <c r="W46" s="487">
        <v>0</v>
      </c>
      <c r="X46" s="487">
        <v>5</v>
      </c>
      <c r="Y46" s="457">
        <v>0</v>
      </c>
      <c r="Z46" s="457">
        <v>0</v>
      </c>
      <c r="AA46" s="457">
        <v>0</v>
      </c>
      <c r="AB46" s="457"/>
      <c r="AC46" s="457"/>
      <c r="AD46" s="457"/>
      <c r="AE46" s="457">
        <f t="shared" si="0"/>
        <v>33</v>
      </c>
      <c r="AF46" s="456"/>
      <c r="AG46" s="471">
        <f>+(AE46/L46)</f>
        <v>0.66</v>
      </c>
      <c r="AH46" s="462">
        <f t="shared" si="2"/>
        <v>0.66</v>
      </c>
      <c r="AI46" s="456"/>
      <c r="AJ46" s="456"/>
      <c r="AK46" s="456"/>
      <c r="AL46" s="456"/>
      <c r="AM46" s="456"/>
      <c r="AN46" s="456"/>
      <c r="AO46" s="456"/>
      <c r="AP46" s="456"/>
      <c r="AQ46" s="456"/>
      <c r="AR46" s="456"/>
      <c r="AS46" s="456"/>
      <c r="AT46" s="456"/>
    </row>
    <row r="47" spans="1:46" ht="78.75" x14ac:dyDescent="0.2">
      <c r="A47" s="729"/>
      <c r="B47" s="731"/>
      <c r="C47" s="734"/>
      <c r="D47" s="708"/>
      <c r="E47" s="708"/>
      <c r="F47" s="708"/>
      <c r="G47" s="708"/>
      <c r="H47" s="708"/>
      <c r="I47" s="749"/>
      <c r="J47" s="490" t="s">
        <v>988</v>
      </c>
      <c r="K47" s="490" t="s">
        <v>989</v>
      </c>
      <c r="L47" s="465">
        <v>1000</v>
      </c>
      <c r="M47" s="465">
        <v>0</v>
      </c>
      <c r="N47" s="465"/>
      <c r="O47" s="456"/>
      <c r="P47" s="457">
        <v>0</v>
      </c>
      <c r="Q47" s="457">
        <v>0</v>
      </c>
      <c r="R47" s="457">
        <v>0</v>
      </c>
      <c r="S47" s="457">
        <v>0</v>
      </c>
      <c r="T47" s="457">
        <v>0</v>
      </c>
      <c r="U47" s="457">
        <v>0</v>
      </c>
      <c r="V47" s="487">
        <v>0</v>
      </c>
      <c r="W47" s="487">
        <v>208</v>
      </c>
      <c r="X47" s="487">
        <v>368</v>
      </c>
      <c r="Y47" s="457">
        <v>0</v>
      </c>
      <c r="Z47" s="457">
        <v>10</v>
      </c>
      <c r="AA47" s="457">
        <v>21</v>
      </c>
      <c r="AB47" s="457"/>
      <c r="AC47" s="457"/>
      <c r="AD47" s="457"/>
      <c r="AE47" s="457">
        <f t="shared" si="0"/>
        <v>607</v>
      </c>
      <c r="AF47" s="456"/>
      <c r="AG47" s="579">
        <f>+AE47/1000</f>
        <v>0.60699999999999998</v>
      </c>
      <c r="AH47" s="462">
        <f t="shared" si="2"/>
        <v>0.60699999999999998</v>
      </c>
      <c r="AI47" s="456"/>
      <c r="AJ47" s="456"/>
      <c r="AK47" s="456"/>
      <c r="AL47" s="456"/>
      <c r="AM47" s="456"/>
      <c r="AN47" s="456"/>
      <c r="AO47" s="456"/>
      <c r="AP47" s="456"/>
      <c r="AQ47" s="456"/>
      <c r="AR47" s="456"/>
      <c r="AS47" s="456"/>
      <c r="AT47" s="456"/>
    </row>
    <row r="48" spans="1:46" ht="50.25" customHeight="1" x14ac:dyDescent="0.2">
      <c r="A48" s="729"/>
      <c r="B48" s="731"/>
      <c r="C48" s="734"/>
      <c r="D48" s="708"/>
      <c r="E48" s="709"/>
      <c r="F48" s="709"/>
      <c r="G48" s="709"/>
      <c r="H48" s="709"/>
      <c r="I48" s="750"/>
      <c r="J48" s="490"/>
      <c r="K48" s="490"/>
      <c r="L48" s="465"/>
      <c r="M48" s="465"/>
      <c r="N48" s="465"/>
      <c r="O48" s="456"/>
      <c r="P48" s="456"/>
      <c r="Q48" s="456"/>
      <c r="R48" s="456"/>
      <c r="S48" s="456"/>
      <c r="T48" s="456"/>
      <c r="U48" s="456"/>
      <c r="V48" s="456"/>
      <c r="W48" s="456"/>
      <c r="X48" s="456"/>
      <c r="Y48" s="456"/>
      <c r="Z48" s="456"/>
      <c r="AA48" s="456"/>
      <c r="AB48" s="456"/>
      <c r="AC48" s="456"/>
      <c r="AD48" s="456"/>
      <c r="AE48" s="457"/>
      <c r="AF48" s="456"/>
      <c r="AG48" s="495">
        <f>AVERAGE(AG45:AG47)</f>
        <v>0.55566666666666664</v>
      </c>
      <c r="AH48" s="462">
        <f t="shared" si="2"/>
        <v>0.55566666666666664</v>
      </c>
      <c r="AI48" s="456"/>
      <c r="AJ48" s="456"/>
      <c r="AK48" s="456"/>
      <c r="AL48" s="456"/>
      <c r="AM48" s="456"/>
      <c r="AN48" s="456"/>
      <c r="AO48" s="456"/>
      <c r="AP48" s="456"/>
      <c r="AQ48" s="456"/>
      <c r="AR48" s="456"/>
      <c r="AS48" s="456"/>
      <c r="AT48" s="456"/>
    </row>
    <row r="49" spans="1:46" ht="69.75" customHeight="1" x14ac:dyDescent="0.2">
      <c r="A49" s="729"/>
      <c r="B49" s="731"/>
      <c r="C49" s="734"/>
      <c r="D49" s="709"/>
      <c r="E49" s="496"/>
      <c r="F49" s="496"/>
      <c r="G49" s="496"/>
      <c r="H49" s="496"/>
      <c r="I49" s="496"/>
      <c r="J49" s="490"/>
      <c r="K49" s="490"/>
      <c r="L49" s="465"/>
      <c r="M49" s="465"/>
      <c r="N49" s="465"/>
      <c r="O49" s="456"/>
      <c r="P49" s="456"/>
      <c r="Q49" s="456"/>
      <c r="R49" s="456"/>
      <c r="S49" s="456"/>
      <c r="T49" s="456"/>
      <c r="U49" s="456"/>
      <c r="V49" s="456"/>
      <c r="W49" s="456"/>
      <c r="X49" s="456"/>
      <c r="Y49" s="456"/>
      <c r="Z49" s="456"/>
      <c r="AA49" s="456"/>
      <c r="AB49" s="456"/>
      <c r="AC49" s="456"/>
      <c r="AD49" s="456"/>
      <c r="AE49" s="457"/>
      <c r="AF49" s="456"/>
      <c r="AG49" s="479">
        <f>+(AG34+AG39+AG48+AG44)/4</f>
        <v>0.62557666666666667</v>
      </c>
      <c r="AH49" s="462">
        <f t="shared" si="2"/>
        <v>0.62557666666666667</v>
      </c>
      <c r="AI49" s="456"/>
      <c r="AJ49" s="456"/>
      <c r="AK49" s="456"/>
      <c r="AL49" s="456"/>
      <c r="AM49" s="456"/>
      <c r="AN49" s="456"/>
      <c r="AO49" s="456"/>
      <c r="AP49" s="456"/>
      <c r="AQ49" s="456"/>
      <c r="AR49" s="456"/>
      <c r="AS49" s="456"/>
      <c r="AT49" s="456"/>
    </row>
    <row r="50" spans="1:46" ht="60" customHeight="1" x14ac:dyDescent="0.2">
      <c r="A50" s="729"/>
      <c r="B50" s="731"/>
      <c r="C50" s="734"/>
      <c r="D50" s="713" t="s">
        <v>990</v>
      </c>
      <c r="E50" s="707" t="s">
        <v>992</v>
      </c>
      <c r="F50" s="707" t="s">
        <v>991</v>
      </c>
      <c r="G50" s="719">
        <v>0.4</v>
      </c>
      <c r="H50" s="707">
        <v>7982259</v>
      </c>
      <c r="I50" s="707" t="s">
        <v>993</v>
      </c>
      <c r="J50" s="480" t="s">
        <v>994</v>
      </c>
      <c r="K50" s="480" t="s">
        <v>995</v>
      </c>
      <c r="L50" s="465">
        <v>11</v>
      </c>
      <c r="M50" s="465">
        <v>8</v>
      </c>
      <c r="N50" s="465"/>
      <c r="O50" s="497"/>
      <c r="P50" s="457">
        <v>0</v>
      </c>
      <c r="Q50" s="457"/>
      <c r="R50" s="457">
        <v>0</v>
      </c>
      <c r="S50" s="457">
        <v>0</v>
      </c>
      <c r="T50" s="457">
        <v>0</v>
      </c>
      <c r="U50" s="457">
        <v>1</v>
      </c>
      <c r="V50" s="457">
        <v>8</v>
      </c>
      <c r="W50" s="457"/>
      <c r="X50" s="457"/>
      <c r="Y50" s="457">
        <v>1</v>
      </c>
      <c r="Z50" s="457"/>
      <c r="AA50" s="457">
        <v>1</v>
      </c>
      <c r="AB50" s="457"/>
      <c r="AC50" s="457"/>
      <c r="AD50" s="457"/>
      <c r="AE50" s="457">
        <f t="shared" si="0"/>
        <v>11</v>
      </c>
      <c r="AF50" s="456"/>
      <c r="AG50" s="471">
        <f>+(AE50/L50)</f>
        <v>1</v>
      </c>
      <c r="AH50" s="462">
        <f t="shared" si="2"/>
        <v>1</v>
      </c>
      <c r="AI50" s="456"/>
      <c r="AJ50" s="456"/>
      <c r="AK50" s="456"/>
      <c r="AL50" s="456"/>
      <c r="AM50" s="456"/>
      <c r="AN50" s="456"/>
      <c r="AO50" s="456"/>
      <c r="AP50" s="456"/>
      <c r="AQ50" s="456"/>
      <c r="AR50" s="456"/>
      <c r="AS50" s="456"/>
      <c r="AT50" s="456"/>
    </row>
    <row r="51" spans="1:46" ht="60" customHeight="1" x14ac:dyDescent="0.2">
      <c r="A51" s="729"/>
      <c r="B51" s="731"/>
      <c r="C51" s="734"/>
      <c r="D51" s="714"/>
      <c r="E51" s="708"/>
      <c r="F51" s="708"/>
      <c r="G51" s="720"/>
      <c r="H51" s="708"/>
      <c r="I51" s="709"/>
      <c r="J51" s="480"/>
      <c r="K51" s="480"/>
      <c r="L51" s="465"/>
      <c r="M51" s="465"/>
      <c r="N51" s="465"/>
      <c r="O51" s="497"/>
      <c r="P51" s="457"/>
      <c r="Q51" s="457"/>
      <c r="R51" s="457"/>
      <c r="S51" s="457"/>
      <c r="T51" s="457"/>
      <c r="U51" s="457"/>
      <c r="V51" s="457"/>
      <c r="W51" s="457"/>
      <c r="X51" s="457"/>
      <c r="Y51" s="457"/>
      <c r="Z51" s="457"/>
      <c r="AA51" s="457"/>
      <c r="AB51" s="457"/>
      <c r="AC51" s="457"/>
      <c r="AD51" s="457"/>
      <c r="AE51" s="457"/>
      <c r="AF51" s="456"/>
      <c r="AG51" s="498">
        <f>AVERAGE(AG50)</f>
        <v>1</v>
      </c>
      <c r="AH51" s="462">
        <f t="shared" si="2"/>
        <v>1</v>
      </c>
      <c r="AI51" s="456"/>
      <c r="AJ51" s="456"/>
      <c r="AK51" s="456"/>
      <c r="AL51" s="456"/>
      <c r="AM51" s="456"/>
      <c r="AN51" s="456"/>
      <c r="AO51" s="456"/>
      <c r="AP51" s="456"/>
      <c r="AQ51" s="456"/>
      <c r="AR51" s="456"/>
      <c r="AS51" s="456"/>
      <c r="AT51" s="456"/>
    </row>
    <row r="52" spans="1:46" ht="81" customHeight="1" x14ac:dyDescent="0.2">
      <c r="A52" s="729"/>
      <c r="B52" s="731"/>
      <c r="C52" s="734"/>
      <c r="D52" s="714"/>
      <c r="E52" s="708"/>
      <c r="F52" s="708"/>
      <c r="G52" s="720"/>
      <c r="H52" s="708"/>
      <c r="I52" s="707" t="s">
        <v>996</v>
      </c>
      <c r="J52" s="480" t="s">
        <v>997</v>
      </c>
      <c r="K52" s="480" t="s">
        <v>997</v>
      </c>
      <c r="L52" s="457">
        <v>1</v>
      </c>
      <c r="M52" s="457">
        <v>1</v>
      </c>
      <c r="N52" s="457"/>
      <c r="O52" s="456"/>
      <c r="P52" s="457">
        <v>1</v>
      </c>
      <c r="Q52" s="457"/>
      <c r="R52" s="457">
        <v>0</v>
      </c>
      <c r="S52" s="457"/>
      <c r="T52" s="457">
        <v>0</v>
      </c>
      <c r="U52" s="457">
        <v>1</v>
      </c>
      <c r="V52" s="457">
        <v>0</v>
      </c>
      <c r="W52" s="457">
        <v>0</v>
      </c>
      <c r="X52" s="457">
        <v>0</v>
      </c>
      <c r="Y52" s="457">
        <v>1</v>
      </c>
      <c r="Z52" s="457"/>
      <c r="AA52" s="457"/>
      <c r="AB52" s="457"/>
      <c r="AC52" s="457"/>
      <c r="AD52" s="457"/>
      <c r="AE52" s="457">
        <f>+U52</f>
        <v>1</v>
      </c>
      <c r="AF52" s="456"/>
      <c r="AG52" s="471">
        <f>+(AE52/L52)</f>
        <v>1</v>
      </c>
      <c r="AH52" s="462">
        <f t="shared" si="2"/>
        <v>1</v>
      </c>
      <c r="AI52" s="456"/>
      <c r="AJ52" s="456"/>
      <c r="AK52" s="456"/>
      <c r="AL52" s="456"/>
      <c r="AM52" s="456"/>
      <c r="AN52" s="456"/>
      <c r="AO52" s="456"/>
      <c r="AP52" s="456"/>
      <c r="AQ52" s="456"/>
      <c r="AR52" s="456"/>
      <c r="AS52" s="456"/>
      <c r="AT52" s="456"/>
    </row>
    <row r="53" spans="1:46" ht="81" customHeight="1" x14ac:dyDescent="0.2">
      <c r="A53" s="729"/>
      <c r="B53" s="731"/>
      <c r="C53" s="734"/>
      <c r="D53" s="714"/>
      <c r="E53" s="708"/>
      <c r="F53" s="708"/>
      <c r="G53" s="720"/>
      <c r="H53" s="708"/>
      <c r="I53" s="709"/>
      <c r="J53" s="480"/>
      <c r="K53" s="480"/>
      <c r="L53" s="457"/>
      <c r="M53" s="457"/>
      <c r="N53" s="457"/>
      <c r="O53" s="456"/>
      <c r="P53" s="457"/>
      <c r="Q53" s="457"/>
      <c r="R53" s="457"/>
      <c r="S53" s="457"/>
      <c r="T53" s="457"/>
      <c r="U53" s="457"/>
      <c r="V53" s="457"/>
      <c r="W53" s="457"/>
      <c r="X53" s="457"/>
      <c r="Y53" s="457"/>
      <c r="Z53" s="457"/>
      <c r="AA53" s="457"/>
      <c r="AB53" s="457"/>
      <c r="AC53" s="457"/>
      <c r="AD53" s="457"/>
      <c r="AE53" s="457"/>
      <c r="AF53" s="456"/>
      <c r="AG53" s="498">
        <f>AVERAGE(AG52)</f>
        <v>1</v>
      </c>
      <c r="AH53" s="462">
        <f t="shared" si="2"/>
        <v>1</v>
      </c>
      <c r="AI53" s="456"/>
      <c r="AJ53" s="456"/>
      <c r="AK53" s="456"/>
      <c r="AL53" s="456"/>
      <c r="AM53" s="456"/>
      <c r="AN53" s="456"/>
      <c r="AO53" s="456"/>
      <c r="AP53" s="456"/>
      <c r="AQ53" s="456"/>
      <c r="AR53" s="456"/>
      <c r="AS53" s="456"/>
      <c r="AT53" s="456"/>
    </row>
    <row r="54" spans="1:46" ht="46.5" customHeight="1" x14ac:dyDescent="0.2">
      <c r="A54" s="729"/>
      <c r="B54" s="731"/>
      <c r="C54" s="734"/>
      <c r="D54" s="714"/>
      <c r="E54" s="708"/>
      <c r="F54" s="708"/>
      <c r="G54" s="720"/>
      <c r="H54" s="708"/>
      <c r="I54" s="707" t="s">
        <v>1004</v>
      </c>
      <c r="J54" s="480" t="s">
        <v>998</v>
      </c>
      <c r="K54" s="480" t="s">
        <v>999</v>
      </c>
      <c r="L54" s="499">
        <v>355071</v>
      </c>
      <c r="M54" s="499">
        <v>263908</v>
      </c>
      <c r="N54" s="499"/>
      <c r="O54" s="456"/>
      <c r="P54" s="500">
        <v>180615</v>
      </c>
      <c r="Q54" s="500"/>
      <c r="R54" s="501">
        <v>129974</v>
      </c>
      <c r="S54" s="457">
        <v>58792</v>
      </c>
      <c r="T54" s="457">
        <v>13316</v>
      </c>
      <c r="U54" s="457">
        <v>140171</v>
      </c>
      <c r="V54" s="457"/>
      <c r="W54" s="457"/>
      <c r="X54" s="457">
        <v>239869</v>
      </c>
      <c r="Y54" s="457">
        <v>375387</v>
      </c>
      <c r="Z54" s="457">
        <v>151247</v>
      </c>
      <c r="AA54" s="457">
        <v>48974</v>
      </c>
      <c r="AB54" s="457"/>
      <c r="AC54" s="457"/>
      <c r="AD54" s="457"/>
      <c r="AE54" s="502">
        <f>+Y54+Z54</f>
        <v>526634</v>
      </c>
      <c r="AF54" s="456"/>
      <c r="AG54" s="471">
        <v>1</v>
      </c>
      <c r="AH54" s="462">
        <f t="shared" si="2"/>
        <v>1</v>
      </c>
      <c r="AI54" s="456"/>
      <c r="AJ54" s="456"/>
      <c r="AK54" s="456"/>
      <c r="AL54" s="456"/>
      <c r="AM54" s="456"/>
      <c r="AN54" s="456"/>
      <c r="AO54" s="456"/>
      <c r="AP54" s="456"/>
      <c r="AQ54" s="456"/>
      <c r="AR54" s="456"/>
      <c r="AS54" s="456"/>
      <c r="AT54" s="456"/>
    </row>
    <row r="55" spans="1:46" ht="45" x14ac:dyDescent="0.2">
      <c r="A55" s="729"/>
      <c r="B55" s="731"/>
      <c r="C55" s="734"/>
      <c r="D55" s="714"/>
      <c r="E55" s="708"/>
      <c r="F55" s="708"/>
      <c r="G55" s="720"/>
      <c r="H55" s="708"/>
      <c r="I55" s="708"/>
      <c r="J55" s="480" t="s">
        <v>1000</v>
      </c>
      <c r="K55" s="480" t="s">
        <v>1001</v>
      </c>
      <c r="L55" s="499">
        <v>2520663</v>
      </c>
      <c r="M55" s="499">
        <v>1746469</v>
      </c>
      <c r="N55" s="499"/>
      <c r="O55" s="456"/>
      <c r="P55" s="500">
        <v>87956</v>
      </c>
      <c r="Q55" s="500"/>
      <c r="R55" s="501">
        <v>82279</v>
      </c>
      <c r="S55" s="503">
        <v>505422</v>
      </c>
      <c r="T55" s="500">
        <v>555883</v>
      </c>
      <c r="U55" s="457">
        <v>529015</v>
      </c>
      <c r="V55" s="500"/>
      <c r="W55" s="500"/>
      <c r="X55" s="502">
        <f>+AE55</f>
        <v>2843271</v>
      </c>
      <c r="Y55" s="500">
        <v>634462</v>
      </c>
      <c r="Z55" s="596">
        <v>597625</v>
      </c>
      <c r="AA55" s="597">
        <v>536116</v>
      </c>
      <c r="AB55" s="500"/>
      <c r="AC55" s="500"/>
      <c r="AD55" s="500"/>
      <c r="AE55" s="502">
        <f>1611184+Y55+Z55</f>
        <v>2843271</v>
      </c>
      <c r="AF55" s="456"/>
      <c r="AG55" s="471">
        <v>1</v>
      </c>
      <c r="AH55" s="462">
        <f t="shared" si="2"/>
        <v>1</v>
      </c>
      <c r="AI55" s="456"/>
      <c r="AJ55" s="456"/>
      <c r="AK55" s="456"/>
      <c r="AL55" s="456"/>
      <c r="AM55" s="456"/>
      <c r="AN55" s="456"/>
      <c r="AO55" s="456"/>
      <c r="AP55" s="456"/>
      <c r="AQ55" s="456"/>
      <c r="AR55" s="456"/>
      <c r="AS55" s="456"/>
      <c r="AT55" s="456"/>
    </row>
    <row r="56" spans="1:46" ht="45" x14ac:dyDescent="0.2">
      <c r="A56" s="729"/>
      <c r="B56" s="731"/>
      <c r="C56" s="734"/>
      <c r="D56" s="714"/>
      <c r="E56" s="708"/>
      <c r="F56" s="708"/>
      <c r="G56" s="720"/>
      <c r="H56" s="708"/>
      <c r="I56" s="708"/>
      <c r="J56" s="480" t="s">
        <v>1002</v>
      </c>
      <c r="K56" s="480" t="s">
        <v>1003</v>
      </c>
      <c r="L56" s="499">
        <f>+(287753)*4</f>
        <v>1151012</v>
      </c>
      <c r="M56" s="499">
        <v>232015</v>
      </c>
      <c r="N56" s="499"/>
      <c r="O56" s="456"/>
      <c r="P56" s="500">
        <v>468981</v>
      </c>
      <c r="Q56" s="500"/>
      <c r="R56" s="501">
        <v>513225</v>
      </c>
      <c r="S56" s="457">
        <v>77577</v>
      </c>
      <c r="T56" s="500">
        <v>80340</v>
      </c>
      <c r="U56" s="457">
        <v>79580</v>
      </c>
      <c r="V56" s="500"/>
      <c r="W56" s="500"/>
      <c r="X56" s="500">
        <v>336067</v>
      </c>
      <c r="Y56" s="500">
        <v>456000</v>
      </c>
      <c r="Z56" s="500">
        <v>135129</v>
      </c>
      <c r="AA56" s="500">
        <v>109766</v>
      </c>
      <c r="AB56" s="500"/>
      <c r="AC56" s="500"/>
      <c r="AD56" s="500"/>
      <c r="AE56" s="502">
        <f>+Y56+Z56</f>
        <v>591129</v>
      </c>
      <c r="AF56" s="456"/>
      <c r="AG56" s="471">
        <v>1</v>
      </c>
      <c r="AH56" s="462">
        <f t="shared" si="2"/>
        <v>1</v>
      </c>
      <c r="AI56" s="456"/>
      <c r="AJ56" s="456"/>
      <c r="AK56" s="456"/>
      <c r="AL56" s="456"/>
      <c r="AM56" s="456"/>
      <c r="AN56" s="456"/>
      <c r="AO56" s="456"/>
      <c r="AP56" s="456"/>
      <c r="AQ56" s="456"/>
      <c r="AR56" s="456"/>
      <c r="AS56" s="456"/>
      <c r="AT56" s="456"/>
    </row>
    <row r="57" spans="1:46" ht="50.25" customHeight="1" x14ac:dyDescent="0.2">
      <c r="A57" s="729"/>
      <c r="B57" s="731"/>
      <c r="C57" s="734"/>
      <c r="D57" s="714"/>
      <c r="E57" s="708"/>
      <c r="F57" s="708"/>
      <c r="G57" s="720"/>
      <c r="H57" s="708"/>
      <c r="I57" s="709"/>
      <c r="J57" s="480"/>
      <c r="K57" s="480"/>
      <c r="L57" s="499"/>
      <c r="M57" s="499"/>
      <c r="N57" s="499"/>
      <c r="O57" s="456"/>
      <c r="R57" s="456"/>
      <c r="S57" s="456"/>
      <c r="T57" s="456"/>
      <c r="U57" s="456"/>
      <c r="V57" s="456"/>
      <c r="W57" s="456"/>
      <c r="X57" s="456"/>
      <c r="Y57" s="456"/>
      <c r="Z57" s="456"/>
      <c r="AA57" s="456"/>
      <c r="AB57" s="456"/>
      <c r="AC57" s="456"/>
      <c r="AD57" s="456"/>
      <c r="AE57" s="457"/>
      <c r="AF57" s="456"/>
      <c r="AG57" s="492">
        <f>AVERAGE(AG54:AG56)</f>
        <v>1</v>
      </c>
      <c r="AH57" s="462">
        <f t="shared" si="2"/>
        <v>1</v>
      </c>
      <c r="AI57" s="456"/>
      <c r="AJ57" s="456"/>
      <c r="AK57" s="456"/>
      <c r="AL57" s="456"/>
      <c r="AM57" s="456"/>
      <c r="AN57" s="456"/>
      <c r="AO57" s="456"/>
      <c r="AP57" s="456"/>
      <c r="AQ57" s="456"/>
      <c r="AR57" s="456"/>
      <c r="AS57" s="456"/>
      <c r="AT57" s="456"/>
    </row>
    <row r="58" spans="1:46" ht="57.75" customHeight="1" x14ac:dyDescent="0.2">
      <c r="A58" s="729"/>
      <c r="B58" s="731"/>
      <c r="C58" s="734"/>
      <c r="D58" s="714"/>
      <c r="E58" s="708"/>
      <c r="F58" s="708"/>
      <c r="G58" s="720"/>
      <c r="H58" s="708"/>
      <c r="I58" s="707" t="s">
        <v>1005</v>
      </c>
      <c r="J58" s="480" t="s">
        <v>1006</v>
      </c>
      <c r="K58" s="480" t="s">
        <v>1007</v>
      </c>
      <c r="L58" s="457">
        <v>1</v>
      </c>
      <c r="M58" s="457">
        <v>1</v>
      </c>
      <c r="N58" s="457"/>
      <c r="O58" s="456"/>
      <c r="P58" s="457">
        <v>1</v>
      </c>
      <c r="Q58" s="457"/>
      <c r="R58" s="457"/>
      <c r="S58" s="457">
        <v>0</v>
      </c>
      <c r="T58" s="457">
        <v>0</v>
      </c>
      <c r="U58" s="457">
        <v>0</v>
      </c>
      <c r="V58" s="457">
        <v>0</v>
      </c>
      <c r="W58" s="457">
        <v>0</v>
      </c>
      <c r="X58" s="457">
        <v>0</v>
      </c>
      <c r="Y58" s="457">
        <v>0</v>
      </c>
      <c r="Z58" s="457"/>
      <c r="AA58" s="457"/>
      <c r="AB58" s="457"/>
      <c r="AC58" s="457"/>
      <c r="AD58" s="457"/>
      <c r="AE58" s="457">
        <f t="shared" si="0"/>
        <v>1</v>
      </c>
      <c r="AF58" s="456"/>
      <c r="AG58" s="471">
        <f>+(AE58/L58)</f>
        <v>1</v>
      </c>
      <c r="AH58" s="462">
        <f t="shared" si="2"/>
        <v>1</v>
      </c>
      <c r="AI58" s="456"/>
      <c r="AJ58" s="456"/>
      <c r="AK58" s="456"/>
      <c r="AL58" s="456"/>
      <c r="AM58" s="456"/>
      <c r="AN58" s="456"/>
      <c r="AO58" s="456"/>
      <c r="AP58" s="456"/>
      <c r="AQ58" s="456"/>
      <c r="AR58" s="456"/>
      <c r="AS58" s="456"/>
      <c r="AT58" s="456"/>
    </row>
    <row r="59" spans="1:46" ht="57.75" customHeight="1" x14ac:dyDescent="0.2">
      <c r="A59" s="729"/>
      <c r="B59" s="731"/>
      <c r="C59" s="734"/>
      <c r="D59" s="714"/>
      <c r="E59" s="708"/>
      <c r="F59" s="708"/>
      <c r="G59" s="720"/>
      <c r="H59" s="708"/>
      <c r="I59" s="709"/>
      <c r="J59" s="480"/>
      <c r="K59" s="480"/>
      <c r="L59" s="457"/>
      <c r="M59" s="457"/>
      <c r="N59" s="457"/>
      <c r="O59" s="456"/>
      <c r="P59" s="456"/>
      <c r="Q59" s="456"/>
      <c r="R59" s="456"/>
      <c r="S59" s="456"/>
      <c r="T59" s="456"/>
      <c r="U59" s="456"/>
      <c r="V59" s="456"/>
      <c r="W59" s="456"/>
      <c r="X59" s="456"/>
      <c r="Y59" s="456"/>
      <c r="Z59" s="456"/>
      <c r="AA59" s="456"/>
      <c r="AB59" s="456"/>
      <c r="AC59" s="456"/>
      <c r="AD59" s="456"/>
      <c r="AE59" s="457"/>
      <c r="AF59" s="456"/>
      <c r="AG59" s="498">
        <f>AVERAGE(AG58)</f>
        <v>1</v>
      </c>
      <c r="AH59" s="462">
        <f t="shared" si="2"/>
        <v>1</v>
      </c>
      <c r="AI59" s="456"/>
      <c r="AJ59" s="456"/>
      <c r="AK59" s="456"/>
      <c r="AL59" s="456"/>
      <c r="AM59" s="456"/>
      <c r="AN59" s="456"/>
      <c r="AO59" s="456"/>
      <c r="AP59" s="456"/>
      <c r="AQ59" s="456"/>
      <c r="AR59" s="456"/>
      <c r="AS59" s="456"/>
      <c r="AT59" s="456"/>
    </row>
    <row r="60" spans="1:46" ht="67.5" x14ac:dyDescent="0.2">
      <c r="A60" s="729"/>
      <c r="B60" s="731"/>
      <c r="C60" s="734"/>
      <c r="D60" s="714"/>
      <c r="E60" s="708"/>
      <c r="F60" s="708"/>
      <c r="G60" s="720"/>
      <c r="H60" s="708"/>
      <c r="I60" s="707" t="s">
        <v>1008</v>
      </c>
      <c r="J60" s="480" t="s">
        <v>1009</v>
      </c>
      <c r="K60" s="480" t="s">
        <v>1010</v>
      </c>
      <c r="L60" s="465">
        <v>7</v>
      </c>
      <c r="M60" s="465">
        <v>6</v>
      </c>
      <c r="N60" s="465"/>
      <c r="O60" s="456"/>
      <c r="P60" s="457">
        <v>0</v>
      </c>
      <c r="Q60" s="457"/>
      <c r="R60" s="457">
        <v>0</v>
      </c>
      <c r="S60" s="457">
        <v>1</v>
      </c>
      <c r="T60" s="457"/>
      <c r="U60" s="457">
        <v>0</v>
      </c>
      <c r="V60" s="457">
        <v>6</v>
      </c>
      <c r="W60" s="457">
        <v>0</v>
      </c>
      <c r="X60" s="457">
        <v>0</v>
      </c>
      <c r="Y60" s="457">
        <v>0</v>
      </c>
      <c r="Z60" s="457"/>
      <c r="AA60" s="457"/>
      <c r="AB60" s="457"/>
      <c r="AC60" s="457"/>
      <c r="AD60" s="457"/>
      <c r="AE60" s="457">
        <v>6</v>
      </c>
      <c r="AF60" s="456"/>
      <c r="AG60" s="471">
        <v>1</v>
      </c>
      <c r="AH60" s="462">
        <f t="shared" si="2"/>
        <v>1</v>
      </c>
      <c r="AI60" s="456"/>
      <c r="AJ60" s="456"/>
      <c r="AK60" s="456"/>
      <c r="AL60" s="456"/>
      <c r="AM60" s="456"/>
      <c r="AN60" s="456"/>
      <c r="AO60" s="456"/>
      <c r="AP60" s="456"/>
      <c r="AQ60" s="456"/>
      <c r="AR60" s="456"/>
      <c r="AS60" s="456"/>
      <c r="AT60" s="456"/>
    </row>
    <row r="61" spans="1:46" ht="92.25" customHeight="1" x14ac:dyDescent="0.2">
      <c r="A61" s="729"/>
      <c r="B61" s="731"/>
      <c r="C61" s="734"/>
      <c r="D61" s="714"/>
      <c r="E61" s="708"/>
      <c r="F61" s="708"/>
      <c r="G61" s="720"/>
      <c r="H61" s="708"/>
      <c r="I61" s="709"/>
      <c r="J61" s="480"/>
      <c r="K61" s="480"/>
      <c r="L61" s="465"/>
      <c r="M61" s="465"/>
      <c r="N61" s="465"/>
      <c r="O61" s="456"/>
      <c r="P61" s="456"/>
      <c r="Q61" s="456"/>
      <c r="R61" s="456"/>
      <c r="S61" s="456"/>
      <c r="T61" s="456"/>
      <c r="U61" s="456"/>
      <c r="V61" s="456"/>
      <c r="W61" s="456"/>
      <c r="X61" s="456"/>
      <c r="Y61" s="456"/>
      <c r="Z61" s="456"/>
      <c r="AA61" s="456"/>
      <c r="AB61" s="456"/>
      <c r="AC61" s="456"/>
      <c r="AD61" s="456"/>
      <c r="AE61" s="457"/>
      <c r="AF61" s="456"/>
      <c r="AG61" s="498">
        <f>AVERAGE(AG60)</f>
        <v>1</v>
      </c>
      <c r="AH61" s="462">
        <f t="shared" si="2"/>
        <v>1</v>
      </c>
      <c r="AI61" s="456"/>
      <c r="AJ61" s="456"/>
      <c r="AK61" s="456"/>
      <c r="AL61" s="456"/>
      <c r="AM61" s="456"/>
      <c r="AN61" s="456"/>
      <c r="AO61" s="456"/>
      <c r="AP61" s="456"/>
      <c r="AQ61" s="456"/>
      <c r="AR61" s="456"/>
      <c r="AS61" s="456"/>
      <c r="AT61" s="456"/>
    </row>
    <row r="62" spans="1:46" ht="62.25" customHeight="1" x14ac:dyDescent="0.2">
      <c r="A62" s="729"/>
      <c r="B62" s="731"/>
      <c r="C62" s="734"/>
      <c r="D62" s="715"/>
      <c r="E62" s="709"/>
      <c r="F62" s="709"/>
      <c r="G62" s="721"/>
      <c r="H62" s="709"/>
      <c r="I62" s="504"/>
      <c r="J62" s="480"/>
      <c r="K62" s="480"/>
      <c r="L62" s="465"/>
      <c r="M62" s="465"/>
      <c r="N62" s="465"/>
      <c r="O62" s="456"/>
      <c r="P62" s="456"/>
      <c r="Q62" s="456"/>
      <c r="R62" s="456"/>
      <c r="S62" s="456"/>
      <c r="T62" s="456"/>
      <c r="U62" s="456"/>
      <c r="V62" s="456"/>
      <c r="W62" s="456"/>
      <c r="X62" s="456"/>
      <c r="Y62" s="456"/>
      <c r="Z62" s="456"/>
      <c r="AA62" s="456"/>
      <c r="AB62" s="456"/>
      <c r="AC62" s="456"/>
      <c r="AD62" s="456"/>
      <c r="AE62" s="457"/>
      <c r="AF62" s="456"/>
      <c r="AG62" s="479">
        <f>+(AG51+AG53+AG59+AG57+AG61)/5</f>
        <v>1</v>
      </c>
      <c r="AH62" s="462">
        <f t="shared" si="2"/>
        <v>1</v>
      </c>
      <c r="AI62" s="456"/>
      <c r="AJ62" s="456"/>
      <c r="AK62" s="456"/>
      <c r="AL62" s="456"/>
      <c r="AM62" s="456"/>
      <c r="AN62" s="456"/>
      <c r="AO62" s="456"/>
      <c r="AP62" s="456"/>
      <c r="AQ62" s="456"/>
      <c r="AR62" s="456"/>
      <c r="AS62" s="456"/>
      <c r="AT62" s="456"/>
    </row>
    <row r="63" spans="1:46" ht="107.25" customHeight="1" x14ac:dyDescent="0.2">
      <c r="A63" s="729"/>
      <c r="B63" s="731"/>
      <c r="C63" s="734"/>
      <c r="D63" s="713" t="s">
        <v>1012</v>
      </c>
      <c r="E63" s="736" t="s">
        <v>1013</v>
      </c>
      <c r="F63" s="736" t="s">
        <v>1011</v>
      </c>
      <c r="G63" s="736">
        <v>1</v>
      </c>
      <c r="H63" s="736">
        <v>0</v>
      </c>
      <c r="I63" s="707" t="s">
        <v>1014</v>
      </c>
      <c r="J63" s="480" t="s">
        <v>1015</v>
      </c>
      <c r="K63" s="480" t="s">
        <v>1016</v>
      </c>
      <c r="L63" s="480">
        <v>2</v>
      </c>
      <c r="M63" s="480">
        <v>0</v>
      </c>
      <c r="N63" s="480"/>
      <c r="O63" s="456"/>
      <c r="P63" s="457">
        <v>0</v>
      </c>
      <c r="Q63" s="457">
        <v>0</v>
      </c>
      <c r="R63" s="457"/>
      <c r="S63" s="457">
        <v>0</v>
      </c>
      <c r="T63" s="457">
        <v>0</v>
      </c>
      <c r="U63" s="457">
        <v>0</v>
      </c>
      <c r="V63" s="457">
        <v>0</v>
      </c>
      <c r="W63" s="457">
        <v>0</v>
      </c>
      <c r="X63" s="457">
        <v>0</v>
      </c>
      <c r="Y63" s="457">
        <v>0</v>
      </c>
      <c r="Z63" s="457"/>
      <c r="AA63" s="457"/>
      <c r="AB63" s="457"/>
      <c r="AC63" s="457"/>
      <c r="AD63" s="457"/>
      <c r="AE63" s="457">
        <f t="shared" si="0"/>
        <v>0</v>
      </c>
      <c r="AF63" s="456"/>
      <c r="AG63" s="471">
        <f>+(AE63/L63)</f>
        <v>0</v>
      </c>
      <c r="AH63" s="462">
        <f t="shared" si="2"/>
        <v>0</v>
      </c>
      <c r="AI63" s="456"/>
      <c r="AJ63" s="790">
        <v>1187946850</v>
      </c>
      <c r="AK63" s="505"/>
      <c r="AL63" s="505"/>
      <c r="AM63" s="505"/>
      <c r="AN63" s="505"/>
      <c r="AO63" s="505"/>
      <c r="AP63" s="505"/>
      <c r="AQ63" s="505"/>
      <c r="AR63" s="505"/>
      <c r="AS63" s="790">
        <v>1130000000</v>
      </c>
      <c r="AT63" s="723">
        <f>+AS63/AJ63</f>
        <v>0.95122100790957109</v>
      </c>
    </row>
    <row r="64" spans="1:46" ht="45" x14ac:dyDescent="0.2">
      <c r="A64" s="729"/>
      <c r="B64" s="731"/>
      <c r="C64" s="734"/>
      <c r="D64" s="714"/>
      <c r="E64" s="743"/>
      <c r="F64" s="743"/>
      <c r="G64" s="743"/>
      <c r="H64" s="743"/>
      <c r="I64" s="708"/>
      <c r="J64" s="480" t="s">
        <v>1017</v>
      </c>
      <c r="K64" s="480" t="s">
        <v>1018</v>
      </c>
      <c r="L64" s="480">
        <v>1</v>
      </c>
      <c r="M64" s="480">
        <v>0</v>
      </c>
      <c r="N64" s="480"/>
      <c r="O64" s="456"/>
      <c r="P64" s="457">
        <v>0</v>
      </c>
      <c r="Q64" s="457">
        <v>1</v>
      </c>
      <c r="R64" s="457"/>
      <c r="S64" s="457">
        <v>0.5</v>
      </c>
      <c r="T64" s="457">
        <v>0</v>
      </c>
      <c r="U64" s="457">
        <v>0</v>
      </c>
      <c r="V64" s="457">
        <v>0</v>
      </c>
      <c r="W64" s="457">
        <v>0</v>
      </c>
      <c r="X64" s="457">
        <v>0</v>
      </c>
      <c r="Y64" s="457">
        <v>0</v>
      </c>
      <c r="Z64" s="457"/>
      <c r="AA64" s="457"/>
      <c r="AB64" s="457"/>
      <c r="AC64" s="457"/>
      <c r="AD64" s="457"/>
      <c r="AE64" s="457">
        <v>1</v>
      </c>
      <c r="AF64" s="456"/>
      <c r="AG64" s="471">
        <f>+S64</f>
        <v>0.5</v>
      </c>
      <c r="AH64" s="462">
        <f t="shared" si="2"/>
        <v>0.5</v>
      </c>
      <c r="AI64" s="456"/>
      <c r="AJ64" s="792"/>
      <c r="AK64" s="505"/>
      <c r="AL64" s="505"/>
      <c r="AM64" s="505"/>
      <c r="AN64" s="505"/>
      <c r="AO64" s="505"/>
      <c r="AP64" s="505"/>
      <c r="AQ64" s="505"/>
      <c r="AR64" s="505"/>
      <c r="AS64" s="792"/>
      <c r="AT64" s="724"/>
    </row>
    <row r="65" spans="1:46" ht="33.75" x14ac:dyDescent="0.2">
      <c r="A65" s="729"/>
      <c r="B65" s="731"/>
      <c r="C65" s="734"/>
      <c r="D65" s="714"/>
      <c r="E65" s="743"/>
      <c r="F65" s="743"/>
      <c r="G65" s="743"/>
      <c r="H65" s="743"/>
      <c r="I65" s="708"/>
      <c r="J65" s="480" t="s">
        <v>1019</v>
      </c>
      <c r="K65" s="480" t="s">
        <v>1020</v>
      </c>
      <c r="L65" s="480">
        <v>1</v>
      </c>
      <c r="M65" s="480">
        <v>0</v>
      </c>
      <c r="N65" s="480"/>
      <c r="O65" s="456"/>
      <c r="P65" s="457">
        <v>1</v>
      </c>
      <c r="Q65" s="457">
        <v>1</v>
      </c>
      <c r="R65" s="457"/>
      <c r="S65" s="457">
        <v>0.8</v>
      </c>
      <c r="T65" s="457">
        <v>0</v>
      </c>
      <c r="U65" s="457">
        <v>0</v>
      </c>
      <c r="V65" s="457">
        <v>0</v>
      </c>
      <c r="W65" s="457">
        <v>0</v>
      </c>
      <c r="X65" s="457">
        <v>0</v>
      </c>
      <c r="Y65" s="457">
        <v>0</v>
      </c>
      <c r="Z65" s="457"/>
      <c r="AA65" s="457"/>
      <c r="AB65" s="457"/>
      <c r="AC65" s="457"/>
      <c r="AD65" s="457"/>
      <c r="AE65" s="457">
        <f>+Q65</f>
        <v>1</v>
      </c>
      <c r="AF65" s="456"/>
      <c r="AG65" s="471">
        <f>+S65</f>
        <v>0.8</v>
      </c>
      <c r="AH65" s="462">
        <f t="shared" si="2"/>
        <v>0.8</v>
      </c>
      <c r="AI65" s="456"/>
      <c r="AJ65" s="792"/>
      <c r="AK65" s="505"/>
      <c r="AL65" s="505"/>
      <c r="AM65" s="505"/>
      <c r="AN65" s="505"/>
      <c r="AO65" s="505"/>
      <c r="AP65" s="505"/>
      <c r="AQ65" s="505"/>
      <c r="AR65" s="505"/>
      <c r="AS65" s="792"/>
      <c r="AT65" s="724"/>
    </row>
    <row r="66" spans="1:46" ht="69.75" customHeight="1" x14ac:dyDescent="0.2">
      <c r="A66" s="729"/>
      <c r="B66" s="731"/>
      <c r="C66" s="734"/>
      <c r="D66" s="714"/>
      <c r="E66" s="743"/>
      <c r="F66" s="743"/>
      <c r="G66" s="743"/>
      <c r="H66" s="743"/>
      <c r="I66" s="709"/>
      <c r="J66" s="480"/>
      <c r="K66" s="480"/>
      <c r="L66" s="480"/>
      <c r="M66" s="480"/>
      <c r="N66" s="480"/>
      <c r="O66" s="456"/>
      <c r="P66" s="456"/>
      <c r="Q66" s="456"/>
      <c r="R66" s="456"/>
      <c r="S66" s="456"/>
      <c r="T66" s="456"/>
      <c r="U66" s="456"/>
      <c r="V66" s="456"/>
      <c r="W66" s="456"/>
      <c r="X66" s="456"/>
      <c r="Y66" s="456"/>
      <c r="Z66" s="456"/>
      <c r="AA66" s="456"/>
      <c r="AB66" s="456"/>
      <c r="AC66" s="456"/>
      <c r="AD66" s="456"/>
      <c r="AE66" s="457"/>
      <c r="AF66" s="456"/>
      <c r="AG66" s="492">
        <f>AVERAGE(AG63:AG65)</f>
        <v>0.43333333333333335</v>
      </c>
      <c r="AH66" s="462">
        <f t="shared" si="2"/>
        <v>0.43333333333333335</v>
      </c>
      <c r="AI66" s="456"/>
      <c r="AJ66" s="792"/>
      <c r="AK66" s="456"/>
      <c r="AL66" s="456"/>
      <c r="AM66" s="456"/>
      <c r="AN66" s="456"/>
      <c r="AO66" s="456"/>
      <c r="AP66" s="456"/>
      <c r="AQ66" s="456"/>
      <c r="AR66" s="456"/>
      <c r="AS66" s="792"/>
      <c r="AT66" s="724"/>
    </row>
    <row r="67" spans="1:46" ht="45" x14ac:dyDescent="0.2">
      <c r="A67" s="729"/>
      <c r="B67" s="731"/>
      <c r="C67" s="734"/>
      <c r="D67" s="714"/>
      <c r="E67" s="743"/>
      <c r="F67" s="743"/>
      <c r="G67" s="743"/>
      <c r="H67" s="743"/>
      <c r="I67" s="707" t="s">
        <v>2062</v>
      </c>
      <c r="J67" s="480" t="s">
        <v>1021</v>
      </c>
      <c r="K67" s="480" t="s">
        <v>1022</v>
      </c>
      <c r="L67" s="480">
        <v>3</v>
      </c>
      <c r="M67" s="480">
        <v>0</v>
      </c>
      <c r="N67" s="480"/>
      <c r="O67" s="456"/>
      <c r="P67" s="457">
        <v>0</v>
      </c>
      <c r="Q67" s="457">
        <v>0</v>
      </c>
      <c r="R67" s="457"/>
      <c r="S67" s="457">
        <v>0</v>
      </c>
      <c r="T67" s="457">
        <v>0</v>
      </c>
      <c r="U67" s="457">
        <v>0</v>
      </c>
      <c r="V67" s="457">
        <v>0</v>
      </c>
      <c r="W67" s="457">
        <v>0</v>
      </c>
      <c r="X67" s="457">
        <v>0</v>
      </c>
      <c r="Y67" s="457">
        <v>0</v>
      </c>
      <c r="Z67" s="457"/>
      <c r="AA67" s="457"/>
      <c r="AB67" s="457"/>
      <c r="AC67" s="457"/>
      <c r="AD67" s="457"/>
      <c r="AE67" s="457">
        <f t="shared" si="0"/>
        <v>0</v>
      </c>
      <c r="AF67" s="456"/>
      <c r="AG67" s="471">
        <f>+(AE67/L67)</f>
        <v>0</v>
      </c>
      <c r="AH67" s="462">
        <f t="shared" si="2"/>
        <v>0</v>
      </c>
      <c r="AI67" s="456"/>
      <c r="AJ67" s="792"/>
      <c r="AK67" s="456"/>
      <c r="AL67" s="456"/>
      <c r="AM67" s="456"/>
      <c r="AN67" s="456"/>
      <c r="AO67" s="456"/>
      <c r="AP67" s="456"/>
      <c r="AQ67" s="456"/>
      <c r="AR67" s="456"/>
      <c r="AS67" s="792"/>
      <c r="AT67" s="724"/>
    </row>
    <row r="68" spans="1:46" ht="45" x14ac:dyDescent="0.2">
      <c r="A68" s="729"/>
      <c r="B68" s="731"/>
      <c r="C68" s="734"/>
      <c r="D68" s="714"/>
      <c r="E68" s="743"/>
      <c r="F68" s="743"/>
      <c r="G68" s="743"/>
      <c r="H68" s="743"/>
      <c r="I68" s="708"/>
      <c r="J68" s="480" t="s">
        <v>1023</v>
      </c>
      <c r="K68" s="480" t="s">
        <v>1024</v>
      </c>
      <c r="L68" s="480">
        <v>2</v>
      </c>
      <c r="M68" s="480">
        <v>0</v>
      </c>
      <c r="N68" s="480"/>
      <c r="O68" s="456"/>
      <c r="P68" s="457">
        <v>0</v>
      </c>
      <c r="Q68" s="457">
        <v>0.2</v>
      </c>
      <c r="R68" s="457"/>
      <c r="S68" s="457">
        <v>0.2</v>
      </c>
      <c r="T68" s="457">
        <v>0</v>
      </c>
      <c r="U68" s="457">
        <v>0</v>
      </c>
      <c r="V68" s="457">
        <v>0.4</v>
      </c>
      <c r="W68" s="457">
        <v>0</v>
      </c>
      <c r="X68" s="457">
        <v>0</v>
      </c>
      <c r="Y68" s="457">
        <v>0</v>
      </c>
      <c r="Z68" s="457"/>
      <c r="AA68" s="457"/>
      <c r="AB68" s="457"/>
      <c r="AC68" s="457"/>
      <c r="AD68" s="457"/>
      <c r="AE68" s="457">
        <f t="shared" ref="AE68:AE93" si="4">+SUM(N68:AC68)</f>
        <v>0.8</v>
      </c>
      <c r="AF68" s="456"/>
      <c r="AG68" s="471">
        <f>+(AE68/L68)</f>
        <v>0.4</v>
      </c>
      <c r="AH68" s="462">
        <f t="shared" ref="AH68:AH131" si="5">+AG68</f>
        <v>0.4</v>
      </c>
      <c r="AI68" s="456"/>
      <c r="AJ68" s="792"/>
      <c r="AK68" s="456"/>
      <c r="AL68" s="456"/>
      <c r="AM68" s="456"/>
      <c r="AN68" s="456"/>
      <c r="AO68" s="456"/>
      <c r="AP68" s="456"/>
      <c r="AQ68" s="456"/>
      <c r="AR68" s="456"/>
      <c r="AS68" s="792"/>
      <c r="AT68" s="724"/>
    </row>
    <row r="69" spans="1:46" ht="22.5" x14ac:dyDescent="0.2">
      <c r="A69" s="729"/>
      <c r="B69" s="731"/>
      <c r="C69" s="734"/>
      <c r="D69" s="714"/>
      <c r="E69" s="743"/>
      <c r="F69" s="743"/>
      <c r="G69" s="743"/>
      <c r="H69" s="743"/>
      <c r="I69" s="708"/>
      <c r="J69" s="480" t="s">
        <v>1025</v>
      </c>
      <c r="K69" s="480" t="s">
        <v>1026</v>
      </c>
      <c r="L69" s="480">
        <v>2</v>
      </c>
      <c r="M69" s="480">
        <v>0</v>
      </c>
      <c r="N69" s="480"/>
      <c r="O69" s="456"/>
      <c r="P69" s="457">
        <v>0</v>
      </c>
      <c r="Q69" s="457">
        <v>0</v>
      </c>
      <c r="R69" s="457"/>
      <c r="S69" s="457">
        <v>0</v>
      </c>
      <c r="T69" s="457">
        <v>0</v>
      </c>
      <c r="U69" s="457">
        <v>0</v>
      </c>
      <c r="V69" s="457">
        <v>0</v>
      </c>
      <c r="W69" s="457">
        <v>0</v>
      </c>
      <c r="X69" s="457">
        <v>0</v>
      </c>
      <c r="Y69" s="457">
        <v>0</v>
      </c>
      <c r="Z69" s="457"/>
      <c r="AA69" s="457"/>
      <c r="AB69" s="457"/>
      <c r="AC69" s="457"/>
      <c r="AD69" s="457"/>
      <c r="AE69" s="457">
        <f t="shared" si="4"/>
        <v>0</v>
      </c>
      <c r="AF69" s="456"/>
      <c r="AG69" s="471">
        <f>+(AE69/L69)</f>
        <v>0</v>
      </c>
      <c r="AH69" s="462">
        <f t="shared" si="5"/>
        <v>0</v>
      </c>
      <c r="AI69" s="456"/>
      <c r="AJ69" s="792"/>
      <c r="AK69" s="456"/>
      <c r="AL69" s="456"/>
      <c r="AM69" s="456"/>
      <c r="AN69" s="456"/>
      <c r="AO69" s="456"/>
      <c r="AP69" s="456"/>
      <c r="AQ69" s="456"/>
      <c r="AR69" s="456"/>
      <c r="AS69" s="792"/>
      <c r="AT69" s="724"/>
    </row>
    <row r="70" spans="1:46" ht="54.75" customHeight="1" x14ac:dyDescent="0.2">
      <c r="A70" s="729"/>
      <c r="B70" s="731"/>
      <c r="C70" s="734"/>
      <c r="D70" s="714"/>
      <c r="E70" s="743"/>
      <c r="F70" s="743"/>
      <c r="G70" s="743"/>
      <c r="H70" s="743"/>
      <c r="I70" s="709"/>
      <c r="J70" s="480"/>
      <c r="K70" s="480"/>
      <c r="L70" s="480"/>
      <c r="M70" s="480"/>
      <c r="N70" s="480"/>
      <c r="O70" s="456"/>
      <c r="P70" s="456"/>
      <c r="Q70" s="456"/>
      <c r="R70" s="456"/>
      <c r="S70" s="456"/>
      <c r="T70" s="456"/>
      <c r="U70" s="456"/>
      <c r="V70" s="456"/>
      <c r="W70" s="456"/>
      <c r="X70" s="456"/>
      <c r="Y70" s="456"/>
      <c r="Z70" s="456"/>
      <c r="AA70" s="456"/>
      <c r="AB70" s="456"/>
      <c r="AC70" s="456"/>
      <c r="AD70" s="456"/>
      <c r="AE70" s="457"/>
      <c r="AF70" s="456"/>
      <c r="AG70" s="492">
        <f>AVERAGE(AG67:AG69)</f>
        <v>0.13333333333333333</v>
      </c>
      <c r="AH70" s="462">
        <f t="shared" si="5"/>
        <v>0.13333333333333333</v>
      </c>
      <c r="AI70" s="456"/>
      <c r="AJ70" s="791"/>
      <c r="AK70" s="456"/>
      <c r="AL70" s="456"/>
      <c r="AM70" s="456"/>
      <c r="AN70" s="456"/>
      <c r="AO70" s="456"/>
      <c r="AP70" s="456"/>
      <c r="AQ70" s="456"/>
      <c r="AR70" s="456"/>
      <c r="AS70" s="791"/>
      <c r="AT70" s="725"/>
    </row>
    <row r="71" spans="1:46" ht="54.75" customHeight="1" x14ac:dyDescent="0.2">
      <c r="A71" s="729"/>
      <c r="B71" s="731"/>
      <c r="C71" s="734"/>
      <c r="D71" s="715"/>
      <c r="E71" s="737"/>
      <c r="F71" s="737"/>
      <c r="G71" s="737"/>
      <c r="H71" s="737"/>
      <c r="I71" s="506"/>
      <c r="J71" s="480"/>
      <c r="K71" s="480"/>
      <c r="L71" s="480"/>
      <c r="M71" s="480"/>
      <c r="N71" s="480"/>
      <c r="O71" s="456"/>
      <c r="P71" s="456"/>
      <c r="Q71" s="456"/>
      <c r="R71" s="456"/>
      <c r="S71" s="456"/>
      <c r="T71" s="456"/>
      <c r="U71" s="456"/>
      <c r="V71" s="456"/>
      <c r="W71" s="456"/>
      <c r="X71" s="456"/>
      <c r="Y71" s="456"/>
      <c r="Z71" s="456"/>
      <c r="AA71" s="456"/>
      <c r="AB71" s="456"/>
      <c r="AC71" s="456"/>
      <c r="AD71" s="456"/>
      <c r="AE71" s="457"/>
      <c r="AF71" s="456"/>
      <c r="AG71" s="479">
        <f>+(AG66+AG70)/2</f>
        <v>0.28333333333333333</v>
      </c>
      <c r="AH71" s="462">
        <f t="shared" si="5"/>
        <v>0.28333333333333333</v>
      </c>
      <c r="AI71" s="456"/>
      <c r="AJ71" s="456"/>
      <c r="AK71" s="456"/>
      <c r="AL71" s="456"/>
      <c r="AM71" s="456"/>
      <c r="AN71" s="456"/>
      <c r="AO71" s="456"/>
      <c r="AP71" s="456"/>
      <c r="AQ71" s="456"/>
      <c r="AR71" s="456"/>
      <c r="AS71" s="456"/>
      <c r="AT71" s="456"/>
    </row>
    <row r="72" spans="1:46" ht="45" customHeight="1" x14ac:dyDescent="0.2">
      <c r="A72" s="729"/>
      <c r="B72" s="731"/>
      <c r="C72" s="734"/>
      <c r="D72" s="713" t="s">
        <v>1027</v>
      </c>
      <c r="E72" s="707" t="s">
        <v>1028</v>
      </c>
      <c r="F72" s="707" t="s">
        <v>1029</v>
      </c>
      <c r="G72" s="719">
        <v>0.6</v>
      </c>
      <c r="H72" s="719">
        <v>0.3</v>
      </c>
      <c r="I72" s="707" t="s">
        <v>2180</v>
      </c>
      <c r="J72" s="483" t="s">
        <v>1030</v>
      </c>
      <c r="K72" s="483" t="s">
        <v>1031</v>
      </c>
      <c r="L72" s="457">
        <v>1</v>
      </c>
      <c r="M72" s="457">
        <v>0</v>
      </c>
      <c r="N72" s="457"/>
      <c r="O72" s="456"/>
      <c r="P72" s="457">
        <v>0</v>
      </c>
      <c r="Q72" s="456"/>
      <c r="R72" s="457">
        <v>0</v>
      </c>
      <c r="S72" s="457">
        <v>0</v>
      </c>
      <c r="T72" s="457">
        <v>0</v>
      </c>
      <c r="U72" s="457">
        <v>0</v>
      </c>
      <c r="V72" s="456"/>
      <c r="W72" s="456"/>
      <c r="X72" s="457">
        <v>0.9</v>
      </c>
      <c r="Y72" s="567">
        <v>0</v>
      </c>
      <c r="Z72" s="581">
        <v>0</v>
      </c>
      <c r="AA72" s="581">
        <v>0.1</v>
      </c>
      <c r="AB72" s="456"/>
      <c r="AC72" s="456"/>
      <c r="AD72" s="456"/>
      <c r="AE72" s="457">
        <f t="shared" si="4"/>
        <v>1</v>
      </c>
      <c r="AF72" s="456"/>
      <c r="AG72" s="471">
        <f>+(AE72/L72)</f>
        <v>1</v>
      </c>
      <c r="AH72" s="462">
        <f t="shared" si="5"/>
        <v>1</v>
      </c>
      <c r="AI72" s="456"/>
      <c r="AJ72" s="456"/>
      <c r="AK72" s="456"/>
      <c r="AL72" s="456"/>
      <c r="AM72" s="456"/>
      <c r="AN72" s="456"/>
      <c r="AO72" s="456"/>
      <c r="AP72" s="456"/>
      <c r="AQ72" s="456"/>
      <c r="AR72" s="456"/>
      <c r="AS72" s="456"/>
      <c r="AT72" s="456"/>
    </row>
    <row r="73" spans="1:46" ht="33.75" x14ac:dyDescent="0.2">
      <c r="A73" s="729"/>
      <c r="B73" s="731"/>
      <c r="C73" s="734"/>
      <c r="D73" s="714"/>
      <c r="E73" s="708"/>
      <c r="F73" s="708"/>
      <c r="G73" s="720"/>
      <c r="H73" s="720"/>
      <c r="I73" s="708"/>
      <c r="J73" s="483" t="s">
        <v>1032</v>
      </c>
      <c r="K73" s="483" t="s">
        <v>1033</v>
      </c>
      <c r="L73" s="457">
        <v>1</v>
      </c>
      <c r="M73" s="457">
        <v>0</v>
      </c>
      <c r="N73" s="457"/>
      <c r="O73" s="456"/>
      <c r="P73" s="457">
        <v>0</v>
      </c>
      <c r="Q73" s="456"/>
      <c r="R73" s="457">
        <v>0</v>
      </c>
      <c r="S73" s="457">
        <v>0</v>
      </c>
      <c r="T73" s="457">
        <v>0</v>
      </c>
      <c r="U73" s="457">
        <v>0</v>
      </c>
      <c r="V73" s="456"/>
      <c r="W73" s="456"/>
      <c r="X73" s="457">
        <v>0.4</v>
      </c>
      <c r="Y73" s="567">
        <v>0</v>
      </c>
      <c r="Z73" s="581">
        <v>0</v>
      </c>
      <c r="AA73" s="581">
        <v>0</v>
      </c>
      <c r="AB73" s="456"/>
      <c r="AC73" s="456"/>
      <c r="AD73" s="456"/>
      <c r="AE73" s="457">
        <f t="shared" si="4"/>
        <v>0.4</v>
      </c>
      <c r="AF73" s="456"/>
      <c r="AG73" s="471">
        <f>+(AE73/L73)</f>
        <v>0.4</v>
      </c>
      <c r="AH73" s="462">
        <f t="shared" si="5"/>
        <v>0.4</v>
      </c>
      <c r="AI73" s="456"/>
      <c r="AJ73" s="456"/>
      <c r="AK73" s="456"/>
      <c r="AL73" s="456"/>
      <c r="AM73" s="456"/>
      <c r="AN73" s="456"/>
      <c r="AO73" s="456"/>
      <c r="AP73" s="456"/>
      <c r="AQ73" s="456"/>
      <c r="AR73" s="456"/>
      <c r="AS73" s="456"/>
      <c r="AT73" s="456"/>
    </row>
    <row r="74" spans="1:46" ht="80.25" customHeight="1" x14ac:dyDescent="0.2">
      <c r="A74" s="729"/>
      <c r="B74" s="731"/>
      <c r="C74" s="734"/>
      <c r="D74" s="714"/>
      <c r="E74" s="708"/>
      <c r="F74" s="708"/>
      <c r="G74" s="720"/>
      <c r="H74" s="720"/>
      <c r="I74" s="709"/>
      <c r="J74" s="483"/>
      <c r="K74" s="483"/>
      <c r="L74" s="457"/>
      <c r="M74" s="457"/>
      <c r="N74" s="457"/>
      <c r="O74" s="456"/>
      <c r="P74" s="456"/>
      <c r="Q74" s="456"/>
      <c r="R74" s="456"/>
      <c r="S74" s="456"/>
      <c r="T74" s="456"/>
      <c r="U74" s="456"/>
      <c r="V74" s="456"/>
      <c r="W74" s="456"/>
      <c r="X74" s="456"/>
      <c r="Y74" s="456"/>
      <c r="Z74" s="456"/>
      <c r="AA74" s="456"/>
      <c r="AB74" s="456"/>
      <c r="AC74" s="456"/>
      <c r="AD74" s="456"/>
      <c r="AE74" s="457"/>
      <c r="AF74" s="456"/>
      <c r="AG74" s="492">
        <f>AVERAGE(AG72:AG73)</f>
        <v>0.7</v>
      </c>
      <c r="AH74" s="462">
        <f t="shared" si="5"/>
        <v>0.7</v>
      </c>
      <c r="AI74" s="456"/>
      <c r="AJ74" s="456"/>
      <c r="AK74" s="456"/>
      <c r="AL74" s="456"/>
      <c r="AM74" s="456"/>
      <c r="AN74" s="456"/>
      <c r="AO74" s="456"/>
      <c r="AP74" s="456"/>
      <c r="AQ74" s="456"/>
      <c r="AR74" s="456"/>
      <c r="AS74" s="456"/>
      <c r="AT74" s="456"/>
    </row>
    <row r="75" spans="1:46" ht="78.75" x14ac:dyDescent="0.2">
      <c r="A75" s="729"/>
      <c r="B75" s="731"/>
      <c r="C75" s="734"/>
      <c r="D75" s="714"/>
      <c r="E75" s="708"/>
      <c r="F75" s="708"/>
      <c r="G75" s="720"/>
      <c r="H75" s="720"/>
      <c r="I75" s="707" t="s">
        <v>1035</v>
      </c>
      <c r="J75" s="507" t="s">
        <v>2181</v>
      </c>
      <c r="K75" s="476" t="s">
        <v>1034</v>
      </c>
      <c r="L75" s="457">
        <v>1600</v>
      </c>
      <c r="M75" s="457">
        <v>0</v>
      </c>
      <c r="N75" s="457"/>
      <c r="O75" s="456"/>
      <c r="P75" s="456"/>
      <c r="Q75" s="456"/>
      <c r="R75" s="457">
        <v>0</v>
      </c>
      <c r="S75" s="457">
        <v>0</v>
      </c>
      <c r="T75" s="457">
        <v>100</v>
      </c>
      <c r="U75" s="457">
        <v>0</v>
      </c>
      <c r="V75" s="456"/>
      <c r="W75" s="456"/>
      <c r="X75" s="457">
        <v>400</v>
      </c>
      <c r="Y75" s="567">
        <v>600</v>
      </c>
      <c r="Z75" s="581">
        <v>0</v>
      </c>
      <c r="AA75" s="581">
        <v>0</v>
      </c>
      <c r="AB75" s="456"/>
      <c r="AC75" s="456"/>
      <c r="AD75" s="456"/>
      <c r="AE75" s="457">
        <f t="shared" si="4"/>
        <v>1100</v>
      </c>
      <c r="AF75" s="456"/>
      <c r="AG75" s="471">
        <f>+(AE75/L75)</f>
        <v>0.6875</v>
      </c>
      <c r="AH75" s="462">
        <f t="shared" si="5"/>
        <v>0.6875</v>
      </c>
      <c r="AI75" s="456"/>
      <c r="AJ75" s="456"/>
      <c r="AK75" s="456"/>
      <c r="AL75" s="456"/>
      <c r="AM75" s="456"/>
      <c r="AN75" s="456"/>
      <c r="AO75" s="456"/>
      <c r="AP75" s="456"/>
      <c r="AQ75" s="456"/>
      <c r="AR75" s="456"/>
      <c r="AS75" s="456"/>
      <c r="AT75" s="456"/>
    </row>
    <row r="76" spans="1:46" ht="33.75" x14ac:dyDescent="0.2">
      <c r="A76" s="729"/>
      <c r="B76" s="731"/>
      <c r="C76" s="734"/>
      <c r="D76" s="714"/>
      <c r="E76" s="708"/>
      <c r="F76" s="708"/>
      <c r="G76" s="720"/>
      <c r="H76" s="720"/>
      <c r="I76" s="708"/>
      <c r="J76" s="507" t="s">
        <v>1036</v>
      </c>
      <c r="K76" s="483" t="s">
        <v>1037</v>
      </c>
      <c r="L76" s="457">
        <v>300</v>
      </c>
      <c r="M76" s="457">
        <v>0</v>
      </c>
      <c r="N76" s="457"/>
      <c r="O76" s="456"/>
      <c r="P76" s="456"/>
      <c r="Q76" s="456"/>
      <c r="R76" s="457">
        <v>0</v>
      </c>
      <c r="S76" s="457">
        <v>0</v>
      </c>
      <c r="T76" s="457">
        <v>0</v>
      </c>
      <c r="U76" s="457">
        <v>246</v>
      </c>
      <c r="V76" s="456"/>
      <c r="W76" s="456"/>
      <c r="X76" s="456"/>
      <c r="Y76" s="567">
        <v>0</v>
      </c>
      <c r="Z76" s="581">
        <v>0</v>
      </c>
      <c r="AA76" s="581">
        <v>0</v>
      </c>
      <c r="AB76" s="456"/>
      <c r="AC76" s="456"/>
      <c r="AD76" s="456"/>
      <c r="AE76" s="457">
        <f t="shared" si="4"/>
        <v>246</v>
      </c>
      <c r="AF76" s="456"/>
      <c r="AG76" s="471">
        <f>+(AE76/L76)</f>
        <v>0.82</v>
      </c>
      <c r="AH76" s="462">
        <f t="shared" si="5"/>
        <v>0.82</v>
      </c>
      <c r="AI76" s="456"/>
      <c r="AJ76" s="456"/>
      <c r="AK76" s="456"/>
      <c r="AL76" s="456"/>
      <c r="AM76" s="456"/>
      <c r="AN76" s="456"/>
      <c r="AO76" s="456"/>
      <c r="AP76" s="456"/>
      <c r="AQ76" s="456"/>
      <c r="AR76" s="456"/>
      <c r="AS76" s="456"/>
      <c r="AT76" s="456"/>
    </row>
    <row r="77" spans="1:46" ht="60" customHeight="1" x14ac:dyDescent="0.2">
      <c r="A77" s="729"/>
      <c r="B77" s="731"/>
      <c r="C77" s="734"/>
      <c r="D77" s="714"/>
      <c r="E77" s="708"/>
      <c r="F77" s="708"/>
      <c r="G77" s="720"/>
      <c r="H77" s="720"/>
      <c r="I77" s="708"/>
      <c r="J77" s="507"/>
      <c r="K77" s="483"/>
      <c r="L77" s="457"/>
      <c r="M77" s="457"/>
      <c r="N77" s="457"/>
      <c r="O77" s="456"/>
      <c r="P77" s="456"/>
      <c r="Q77" s="456"/>
      <c r="R77" s="456"/>
      <c r="S77" s="456"/>
      <c r="T77" s="456"/>
      <c r="U77" s="456"/>
      <c r="V77" s="456"/>
      <c r="W77" s="456"/>
      <c r="X77" s="456"/>
      <c r="Y77" s="456"/>
      <c r="Z77" s="456"/>
      <c r="AA77" s="456"/>
      <c r="AB77" s="456"/>
      <c r="AC77" s="456"/>
      <c r="AD77" s="456"/>
      <c r="AE77" s="457"/>
      <c r="AF77" s="456"/>
      <c r="AG77" s="492">
        <f>AVERAGE(AG75:AG76)</f>
        <v>0.75374999999999992</v>
      </c>
      <c r="AH77" s="462">
        <f t="shared" si="5"/>
        <v>0.75374999999999992</v>
      </c>
      <c r="AI77" s="456"/>
      <c r="AJ77" s="456"/>
      <c r="AK77" s="456"/>
      <c r="AL77" s="456"/>
      <c r="AM77" s="456"/>
      <c r="AN77" s="456"/>
      <c r="AO77" s="456"/>
      <c r="AP77" s="456"/>
      <c r="AQ77" s="456"/>
      <c r="AR77" s="456"/>
      <c r="AS77" s="456"/>
      <c r="AT77" s="456"/>
    </row>
    <row r="78" spans="1:46" ht="39.75" customHeight="1" x14ac:dyDescent="0.2">
      <c r="A78" s="729"/>
      <c r="B78" s="731"/>
      <c r="C78" s="734"/>
      <c r="D78" s="715"/>
      <c r="E78" s="709"/>
      <c r="F78" s="709"/>
      <c r="G78" s="721"/>
      <c r="H78" s="721"/>
      <c r="I78" s="506"/>
      <c r="J78" s="507"/>
      <c r="K78" s="483"/>
      <c r="L78" s="457"/>
      <c r="M78" s="457"/>
      <c r="N78" s="457"/>
      <c r="O78" s="456"/>
      <c r="P78" s="456"/>
      <c r="Q78" s="456"/>
      <c r="R78" s="456"/>
      <c r="S78" s="456"/>
      <c r="T78" s="456"/>
      <c r="U78" s="456"/>
      <c r="V78" s="456"/>
      <c r="W78" s="456"/>
      <c r="X78" s="456"/>
      <c r="Y78" s="456"/>
      <c r="Z78" s="456"/>
      <c r="AA78" s="456"/>
      <c r="AB78" s="456"/>
      <c r="AC78" s="456"/>
      <c r="AD78" s="456"/>
      <c r="AE78" s="457"/>
      <c r="AF78" s="456"/>
      <c r="AG78" s="479">
        <f>+(AG74+AG77)/2</f>
        <v>0.72687499999999994</v>
      </c>
      <c r="AH78" s="462">
        <f t="shared" si="5"/>
        <v>0.72687499999999994</v>
      </c>
      <c r="AI78" s="456"/>
      <c r="AJ78" s="456"/>
      <c r="AK78" s="456"/>
      <c r="AL78" s="456"/>
      <c r="AM78" s="456"/>
      <c r="AN78" s="456"/>
      <c r="AO78" s="456"/>
      <c r="AP78" s="456"/>
      <c r="AQ78" s="456"/>
      <c r="AR78" s="456"/>
      <c r="AS78" s="456"/>
      <c r="AT78" s="456"/>
    </row>
    <row r="79" spans="1:46" ht="135" customHeight="1" x14ac:dyDescent="0.2">
      <c r="A79" s="729"/>
      <c r="B79" s="731"/>
      <c r="C79" s="734"/>
      <c r="D79" s="707" t="s">
        <v>1038</v>
      </c>
      <c r="E79" s="718" t="s">
        <v>1049</v>
      </c>
      <c r="F79" s="718" t="s">
        <v>1048</v>
      </c>
      <c r="G79" s="718">
        <v>2808</v>
      </c>
      <c r="H79" s="718">
        <v>2035</v>
      </c>
      <c r="I79" s="748" t="s">
        <v>1045</v>
      </c>
      <c r="J79" s="507" t="s">
        <v>1039</v>
      </c>
      <c r="K79" s="507" t="s">
        <v>1040</v>
      </c>
      <c r="L79" s="483">
        <v>1656</v>
      </c>
      <c r="M79" s="483">
        <v>1200</v>
      </c>
      <c r="N79" s="483"/>
      <c r="O79" s="494"/>
      <c r="P79" s="457">
        <v>385</v>
      </c>
      <c r="Q79" s="457"/>
      <c r="R79" s="457">
        <v>0</v>
      </c>
      <c r="S79" s="457">
        <v>137</v>
      </c>
      <c r="T79" s="457">
        <v>257</v>
      </c>
      <c r="U79" s="457">
        <v>258</v>
      </c>
      <c r="V79" s="487"/>
      <c r="W79" s="487">
        <v>283</v>
      </c>
      <c r="X79" s="487">
        <v>0</v>
      </c>
      <c r="Y79" s="457">
        <v>266</v>
      </c>
      <c r="Z79" s="457">
        <v>265</v>
      </c>
      <c r="AA79" s="457">
        <v>122</v>
      </c>
      <c r="AB79" s="457"/>
      <c r="AC79" s="457"/>
      <c r="AD79" s="457"/>
      <c r="AE79" s="457">
        <f>+SUM(N79:AC79)</f>
        <v>1973</v>
      </c>
      <c r="AF79" s="456"/>
      <c r="AG79" s="471">
        <v>1</v>
      </c>
      <c r="AH79" s="462">
        <f t="shared" si="5"/>
        <v>1</v>
      </c>
      <c r="AI79" s="456"/>
      <c r="AJ79" s="456"/>
      <c r="AK79" s="456"/>
      <c r="AL79" s="456"/>
      <c r="AM79" s="456"/>
      <c r="AN79" s="456"/>
      <c r="AO79" s="456"/>
      <c r="AP79" s="456"/>
      <c r="AQ79" s="456"/>
      <c r="AR79" s="456"/>
      <c r="AS79" s="484">
        <v>1329714812</v>
      </c>
      <c r="AT79" s="484">
        <v>1062160700</v>
      </c>
    </row>
    <row r="80" spans="1:46" ht="33.75" x14ac:dyDescent="0.2">
      <c r="A80" s="729"/>
      <c r="B80" s="731"/>
      <c r="C80" s="734"/>
      <c r="D80" s="708"/>
      <c r="E80" s="718"/>
      <c r="F80" s="718"/>
      <c r="G80" s="718"/>
      <c r="H80" s="718"/>
      <c r="I80" s="749"/>
      <c r="J80" s="507" t="s">
        <v>1041</v>
      </c>
      <c r="K80" s="507" t="s">
        <v>1042</v>
      </c>
      <c r="L80" s="483">
        <v>8</v>
      </c>
      <c r="M80" s="483">
        <v>0</v>
      </c>
      <c r="N80" s="507"/>
      <c r="O80" s="456"/>
      <c r="P80" s="457">
        <v>2</v>
      </c>
      <c r="Q80" s="457">
        <v>0</v>
      </c>
      <c r="R80" s="457">
        <v>0</v>
      </c>
      <c r="S80" s="457">
        <v>1</v>
      </c>
      <c r="T80" s="457">
        <v>1</v>
      </c>
      <c r="U80" s="457">
        <v>1</v>
      </c>
      <c r="V80" s="487"/>
      <c r="W80" s="487">
        <v>1</v>
      </c>
      <c r="X80" s="487">
        <v>0</v>
      </c>
      <c r="Y80" s="457">
        <v>0</v>
      </c>
      <c r="Z80" s="457">
        <v>1</v>
      </c>
      <c r="AA80" s="457">
        <v>1</v>
      </c>
      <c r="AB80" s="457"/>
      <c r="AC80" s="457"/>
      <c r="AD80" s="457"/>
      <c r="AE80" s="457">
        <f t="shared" si="4"/>
        <v>8</v>
      </c>
      <c r="AF80" s="456"/>
      <c r="AG80" s="471">
        <f>+(AE80/L80)</f>
        <v>1</v>
      </c>
      <c r="AH80" s="462">
        <f t="shared" si="5"/>
        <v>1</v>
      </c>
      <c r="AI80" s="456"/>
      <c r="AJ80" s="456"/>
      <c r="AK80" s="456"/>
      <c r="AL80" s="456"/>
      <c r="AM80" s="456"/>
      <c r="AN80" s="456"/>
      <c r="AO80" s="456"/>
      <c r="AP80" s="456"/>
      <c r="AQ80" s="456"/>
      <c r="AR80" s="456"/>
      <c r="AS80" s="456"/>
      <c r="AT80" s="456"/>
    </row>
    <row r="81" spans="1:46" ht="45" x14ac:dyDescent="0.2">
      <c r="A81" s="729"/>
      <c r="B81" s="731"/>
      <c r="C81" s="734"/>
      <c r="D81" s="708"/>
      <c r="E81" s="718"/>
      <c r="F81" s="718"/>
      <c r="G81" s="718"/>
      <c r="H81" s="718"/>
      <c r="I81" s="749"/>
      <c r="J81" s="507" t="s">
        <v>1043</v>
      </c>
      <c r="K81" s="507" t="s">
        <v>1044</v>
      </c>
      <c r="L81" s="483">
        <v>1</v>
      </c>
      <c r="M81" s="483">
        <v>0</v>
      </c>
      <c r="N81" s="507"/>
      <c r="O81" s="456"/>
      <c r="P81" s="457">
        <v>0</v>
      </c>
      <c r="Q81" s="457">
        <v>0</v>
      </c>
      <c r="R81" s="457">
        <v>0</v>
      </c>
      <c r="S81" s="457">
        <v>0</v>
      </c>
      <c r="T81" s="457">
        <v>0</v>
      </c>
      <c r="U81" s="457">
        <v>0</v>
      </c>
      <c r="V81" s="487"/>
      <c r="W81" s="487">
        <v>0</v>
      </c>
      <c r="X81" s="487">
        <v>0</v>
      </c>
      <c r="Y81" s="457">
        <v>0</v>
      </c>
      <c r="Z81" s="457">
        <v>0</v>
      </c>
      <c r="AA81" s="457">
        <v>0</v>
      </c>
      <c r="AB81" s="457"/>
      <c r="AC81" s="457"/>
      <c r="AD81" s="457"/>
      <c r="AE81" s="457">
        <f t="shared" si="4"/>
        <v>0</v>
      </c>
      <c r="AF81" s="456"/>
      <c r="AG81" s="471">
        <f>+(AE81/L81)</f>
        <v>0</v>
      </c>
      <c r="AH81" s="462">
        <f t="shared" si="5"/>
        <v>0</v>
      </c>
      <c r="AI81" s="456"/>
      <c r="AJ81" s="456"/>
      <c r="AK81" s="456"/>
      <c r="AL81" s="456"/>
      <c r="AM81" s="456"/>
      <c r="AN81" s="456"/>
      <c r="AO81" s="456"/>
      <c r="AP81" s="456"/>
      <c r="AQ81" s="456"/>
      <c r="AR81" s="456"/>
      <c r="AS81" s="456"/>
      <c r="AT81" s="456"/>
    </row>
    <row r="82" spans="1:46" ht="45" x14ac:dyDescent="0.2">
      <c r="A82" s="729"/>
      <c r="B82" s="731"/>
      <c r="C82" s="734"/>
      <c r="D82" s="708"/>
      <c r="E82" s="718"/>
      <c r="F82" s="718"/>
      <c r="G82" s="718"/>
      <c r="H82" s="718"/>
      <c r="I82" s="749"/>
      <c r="J82" s="507" t="s">
        <v>1046</v>
      </c>
      <c r="K82" s="507" t="s">
        <v>1047</v>
      </c>
      <c r="L82" s="483">
        <v>7650</v>
      </c>
      <c r="M82" s="483">
        <v>7500</v>
      </c>
      <c r="N82" s="507"/>
      <c r="O82" s="456"/>
      <c r="P82" s="457">
        <v>354</v>
      </c>
      <c r="Q82" s="457">
        <v>0</v>
      </c>
      <c r="R82" s="457">
        <v>0</v>
      </c>
      <c r="S82" s="457">
        <v>130</v>
      </c>
      <c r="T82" s="457">
        <v>100</v>
      </c>
      <c r="U82" s="457">
        <v>300</v>
      </c>
      <c r="V82" s="487"/>
      <c r="W82" s="487">
        <v>369</v>
      </c>
      <c r="X82" s="487">
        <v>0</v>
      </c>
      <c r="Y82" s="457">
        <v>350</v>
      </c>
      <c r="Z82" s="457">
        <v>166</v>
      </c>
      <c r="AA82" s="457">
        <v>183</v>
      </c>
      <c r="AB82" s="457"/>
      <c r="AC82" s="457"/>
      <c r="AD82" s="457"/>
      <c r="AE82" s="457">
        <f>+SUM(N82:AC82)</f>
        <v>1952</v>
      </c>
      <c r="AF82" s="456"/>
      <c r="AG82" s="471">
        <v>1</v>
      </c>
      <c r="AH82" s="462">
        <f t="shared" si="5"/>
        <v>1</v>
      </c>
      <c r="AI82" s="456"/>
      <c r="AJ82" s="456"/>
      <c r="AK82" s="456"/>
      <c r="AL82" s="456"/>
      <c r="AM82" s="456"/>
      <c r="AN82" s="456"/>
      <c r="AO82" s="456"/>
      <c r="AP82" s="456"/>
      <c r="AQ82" s="456"/>
      <c r="AR82" s="456"/>
      <c r="AS82" s="456"/>
      <c r="AT82" s="456"/>
    </row>
    <row r="83" spans="1:46" ht="50.25" customHeight="1" x14ac:dyDescent="0.2">
      <c r="A83" s="729"/>
      <c r="B83" s="731"/>
      <c r="C83" s="734"/>
      <c r="D83" s="708"/>
      <c r="E83" s="718"/>
      <c r="F83" s="718"/>
      <c r="G83" s="718"/>
      <c r="H83" s="718"/>
      <c r="I83" s="750"/>
      <c r="J83" s="507"/>
      <c r="K83" s="507"/>
      <c r="L83" s="507"/>
      <c r="M83" s="507"/>
      <c r="N83" s="507"/>
      <c r="O83" s="456"/>
      <c r="P83" s="457"/>
      <c r="Q83" s="457"/>
      <c r="R83" s="457"/>
      <c r="S83" s="457"/>
      <c r="T83" s="457"/>
      <c r="U83" s="457"/>
      <c r="V83" s="457"/>
      <c r="W83" s="457"/>
      <c r="X83" s="457"/>
      <c r="Y83" s="457"/>
      <c r="Z83" s="457"/>
      <c r="AA83" s="457"/>
      <c r="AB83" s="457"/>
      <c r="AC83" s="457"/>
      <c r="AD83" s="457"/>
      <c r="AE83" s="457"/>
      <c r="AF83" s="456"/>
      <c r="AG83" s="498">
        <f>AVERAGE(AG79:AG82)</f>
        <v>0.75</v>
      </c>
      <c r="AH83" s="462">
        <f t="shared" si="5"/>
        <v>0.75</v>
      </c>
      <c r="AI83" s="456"/>
      <c r="AJ83" s="456"/>
      <c r="AK83" s="456"/>
      <c r="AL83" s="456"/>
      <c r="AM83" s="456"/>
      <c r="AN83" s="456"/>
      <c r="AO83" s="456"/>
      <c r="AP83" s="456"/>
      <c r="AQ83" s="456"/>
      <c r="AR83" s="456"/>
      <c r="AS83" s="456"/>
      <c r="AT83" s="456"/>
    </row>
    <row r="84" spans="1:46" ht="56.25" x14ac:dyDescent="0.2">
      <c r="A84" s="729"/>
      <c r="B84" s="731"/>
      <c r="C84" s="734"/>
      <c r="D84" s="708"/>
      <c r="E84" s="718"/>
      <c r="F84" s="718"/>
      <c r="G84" s="718"/>
      <c r="H84" s="718"/>
      <c r="I84" s="748" t="s">
        <v>1054</v>
      </c>
      <c r="J84" s="507" t="s">
        <v>1050</v>
      </c>
      <c r="K84" s="507" t="s">
        <v>1051</v>
      </c>
      <c r="L84" s="483">
        <v>386</v>
      </c>
      <c r="M84" s="483">
        <v>280</v>
      </c>
      <c r="N84" s="483"/>
      <c r="O84" s="456"/>
      <c r="P84" s="457">
        <v>180</v>
      </c>
      <c r="Q84" s="457">
        <v>0</v>
      </c>
      <c r="R84" s="457">
        <v>0</v>
      </c>
      <c r="S84" s="457">
        <v>66</v>
      </c>
      <c r="T84" s="457">
        <v>112</v>
      </c>
      <c r="U84" s="457">
        <v>180</v>
      </c>
      <c r="V84" s="487"/>
      <c r="W84" s="487">
        <v>112</v>
      </c>
      <c r="X84" s="487">
        <v>0</v>
      </c>
      <c r="Y84" s="457">
        <v>53</v>
      </c>
      <c r="Z84" s="457">
        <v>20</v>
      </c>
      <c r="AA84" s="457">
        <v>60</v>
      </c>
      <c r="AB84" s="457"/>
      <c r="AC84" s="457"/>
      <c r="AD84" s="457"/>
      <c r="AE84" s="457">
        <f t="shared" si="4"/>
        <v>783</v>
      </c>
      <c r="AF84" s="456"/>
      <c r="AG84" s="471">
        <v>1</v>
      </c>
      <c r="AH84" s="462">
        <f t="shared" si="5"/>
        <v>1</v>
      </c>
      <c r="AI84" s="456"/>
      <c r="AJ84" s="456"/>
      <c r="AK84" s="456"/>
      <c r="AL84" s="456"/>
      <c r="AM84" s="456"/>
      <c r="AN84" s="456"/>
      <c r="AO84" s="456"/>
      <c r="AP84" s="456"/>
      <c r="AQ84" s="456"/>
      <c r="AR84" s="456"/>
      <c r="AS84" s="456"/>
      <c r="AT84" s="456"/>
    </row>
    <row r="85" spans="1:46" ht="66" customHeight="1" x14ac:dyDescent="0.2">
      <c r="A85" s="729"/>
      <c r="B85" s="731"/>
      <c r="C85" s="734"/>
      <c r="D85" s="708"/>
      <c r="E85" s="718"/>
      <c r="F85" s="718"/>
      <c r="G85" s="718"/>
      <c r="H85" s="718"/>
      <c r="I85" s="749"/>
      <c r="J85" s="507" t="s">
        <v>1052</v>
      </c>
      <c r="K85" s="507" t="s">
        <v>1053</v>
      </c>
      <c r="L85" s="483">
        <v>428</v>
      </c>
      <c r="M85" s="483">
        <v>310</v>
      </c>
      <c r="N85" s="483"/>
      <c r="O85" s="456"/>
      <c r="P85" s="457">
        <v>113</v>
      </c>
      <c r="Q85" s="457">
        <v>0</v>
      </c>
      <c r="R85" s="457">
        <v>0</v>
      </c>
      <c r="S85" s="457">
        <v>0</v>
      </c>
      <c r="T85" s="457">
        <v>0</v>
      </c>
      <c r="U85" s="457">
        <v>8</v>
      </c>
      <c r="V85" s="487"/>
      <c r="W85" s="487">
        <v>0</v>
      </c>
      <c r="X85" s="487">
        <v>0</v>
      </c>
      <c r="Y85" s="457">
        <v>0</v>
      </c>
      <c r="Z85" s="457">
        <v>0</v>
      </c>
      <c r="AA85" s="457">
        <v>0</v>
      </c>
      <c r="AB85" s="457"/>
      <c r="AC85" s="457"/>
      <c r="AD85" s="457"/>
      <c r="AE85" s="457">
        <f t="shared" si="4"/>
        <v>121</v>
      </c>
      <c r="AF85" s="456"/>
      <c r="AG85" s="471">
        <f>+(AE85/L85)</f>
        <v>0.28271028037383178</v>
      </c>
      <c r="AH85" s="462">
        <f t="shared" si="5"/>
        <v>0.28271028037383178</v>
      </c>
      <c r="AI85" s="456"/>
      <c r="AJ85" s="456"/>
      <c r="AK85" s="456"/>
      <c r="AL85" s="456"/>
      <c r="AM85" s="456"/>
      <c r="AN85" s="456"/>
      <c r="AO85" s="456"/>
      <c r="AP85" s="456"/>
      <c r="AQ85" s="456"/>
      <c r="AR85" s="456"/>
      <c r="AS85" s="456"/>
      <c r="AT85" s="456"/>
    </row>
    <row r="86" spans="1:46" ht="62.25" customHeight="1" x14ac:dyDescent="0.2">
      <c r="A86" s="729"/>
      <c r="B86" s="731"/>
      <c r="C86" s="734"/>
      <c r="D86" s="708"/>
      <c r="E86" s="718"/>
      <c r="F86" s="718"/>
      <c r="G86" s="718"/>
      <c r="H86" s="718"/>
      <c r="I86" s="750"/>
      <c r="J86" s="507"/>
      <c r="K86" s="507"/>
      <c r="L86" s="483"/>
      <c r="M86" s="483"/>
      <c r="N86" s="483"/>
      <c r="O86" s="456"/>
      <c r="P86" s="456"/>
      <c r="Q86" s="456"/>
      <c r="R86" s="456"/>
      <c r="S86" s="456"/>
      <c r="T86" s="456"/>
      <c r="U86" s="456"/>
      <c r="V86" s="456"/>
      <c r="W86" s="456"/>
      <c r="X86" s="456"/>
      <c r="Y86" s="456"/>
      <c r="Z86" s="456"/>
      <c r="AA86" s="456"/>
      <c r="AB86" s="456"/>
      <c r="AC86" s="456"/>
      <c r="AD86" s="456"/>
      <c r="AE86" s="457"/>
      <c r="AF86" s="456"/>
      <c r="AG86" s="492">
        <f>AVERAGE(AG84:AG85)</f>
        <v>0.64135514018691586</v>
      </c>
      <c r="AH86" s="462">
        <f t="shared" si="5"/>
        <v>0.64135514018691586</v>
      </c>
      <c r="AI86" s="456"/>
      <c r="AJ86" s="456"/>
      <c r="AK86" s="456"/>
      <c r="AL86" s="456"/>
      <c r="AM86" s="456"/>
      <c r="AN86" s="456"/>
      <c r="AO86" s="456"/>
      <c r="AP86" s="456"/>
      <c r="AQ86" s="456"/>
      <c r="AR86" s="456"/>
      <c r="AS86" s="456"/>
      <c r="AT86" s="456"/>
    </row>
    <row r="87" spans="1:46" ht="67.5" x14ac:dyDescent="0.2">
      <c r="A87" s="729"/>
      <c r="B87" s="731"/>
      <c r="C87" s="734"/>
      <c r="D87" s="708"/>
      <c r="E87" s="718"/>
      <c r="F87" s="718"/>
      <c r="G87" s="718"/>
      <c r="H87" s="718"/>
      <c r="I87" s="748" t="s">
        <v>1067</v>
      </c>
      <c r="J87" s="507" t="s">
        <v>1055</v>
      </c>
      <c r="K87" s="507" t="s">
        <v>1056</v>
      </c>
      <c r="L87" s="483">
        <v>1</v>
      </c>
      <c r="M87" s="483">
        <v>84</v>
      </c>
      <c r="N87" s="483"/>
      <c r="O87" s="456"/>
      <c r="P87" s="457">
        <v>9</v>
      </c>
      <c r="Q87" s="457">
        <v>0</v>
      </c>
      <c r="R87" s="457">
        <v>0</v>
      </c>
      <c r="S87" s="457">
        <v>7</v>
      </c>
      <c r="T87" s="457">
        <v>1</v>
      </c>
      <c r="U87" s="457"/>
      <c r="V87" s="487"/>
      <c r="W87" s="487">
        <v>9</v>
      </c>
      <c r="X87" s="487">
        <v>0</v>
      </c>
      <c r="Y87" s="457">
        <v>1</v>
      </c>
      <c r="Z87" s="457">
        <v>13</v>
      </c>
      <c r="AA87" s="457">
        <v>12</v>
      </c>
      <c r="AB87" s="457"/>
      <c r="AC87" s="457"/>
      <c r="AD87" s="457"/>
      <c r="AE87" s="457">
        <f t="shared" si="4"/>
        <v>52</v>
      </c>
      <c r="AF87" s="456"/>
      <c r="AG87" s="523">
        <f>+AE87/140</f>
        <v>0.37142857142857144</v>
      </c>
      <c r="AH87" s="462">
        <f t="shared" si="5"/>
        <v>0.37142857142857144</v>
      </c>
      <c r="AI87" s="456"/>
      <c r="AJ87" s="456"/>
      <c r="AK87" s="456"/>
      <c r="AL87" s="456"/>
      <c r="AM87" s="456"/>
      <c r="AN87" s="456"/>
      <c r="AO87" s="456"/>
      <c r="AP87" s="456"/>
      <c r="AQ87" s="456"/>
      <c r="AR87" s="456"/>
      <c r="AS87" s="456"/>
      <c r="AT87" s="456"/>
    </row>
    <row r="88" spans="1:46" ht="67.5" x14ac:dyDescent="0.2">
      <c r="A88" s="729"/>
      <c r="B88" s="731"/>
      <c r="C88" s="734"/>
      <c r="D88" s="708"/>
      <c r="E88" s="718"/>
      <c r="F88" s="718"/>
      <c r="G88" s="718"/>
      <c r="H88" s="718"/>
      <c r="I88" s="749"/>
      <c r="J88" s="507" t="s">
        <v>1057</v>
      </c>
      <c r="K88" s="507" t="s">
        <v>1058</v>
      </c>
      <c r="L88" s="483">
        <v>24</v>
      </c>
      <c r="M88" s="483">
        <v>21</v>
      </c>
      <c r="N88" s="483"/>
      <c r="O88" s="456"/>
      <c r="P88" s="457">
        <v>13</v>
      </c>
      <c r="Q88" s="457">
        <v>0</v>
      </c>
      <c r="R88" s="457">
        <v>0</v>
      </c>
      <c r="S88" s="457">
        <v>7</v>
      </c>
      <c r="T88" s="457">
        <v>3</v>
      </c>
      <c r="U88" s="457"/>
      <c r="V88" s="487"/>
      <c r="W88" s="487">
        <v>7</v>
      </c>
      <c r="X88" s="487">
        <v>0</v>
      </c>
      <c r="Y88" s="457">
        <v>15</v>
      </c>
      <c r="Z88" s="457">
        <v>4</v>
      </c>
      <c r="AA88" s="457">
        <v>5</v>
      </c>
      <c r="AB88" s="457"/>
      <c r="AC88" s="457"/>
      <c r="AD88" s="457"/>
      <c r="AE88" s="457">
        <f t="shared" si="4"/>
        <v>54</v>
      </c>
      <c r="AF88" s="456"/>
      <c r="AG88" s="471">
        <v>1</v>
      </c>
      <c r="AH88" s="462">
        <f t="shared" si="5"/>
        <v>1</v>
      </c>
      <c r="AI88" s="456"/>
      <c r="AJ88" s="456"/>
      <c r="AK88" s="456"/>
      <c r="AL88" s="456"/>
      <c r="AM88" s="456"/>
      <c r="AN88" s="456"/>
      <c r="AO88" s="456"/>
      <c r="AP88" s="456"/>
      <c r="AQ88" s="456"/>
      <c r="AR88" s="456"/>
      <c r="AS88" s="456"/>
      <c r="AT88" s="456"/>
    </row>
    <row r="89" spans="1:46" ht="56.25" customHeight="1" x14ac:dyDescent="0.2">
      <c r="A89" s="729"/>
      <c r="B89" s="731"/>
      <c r="C89" s="734"/>
      <c r="D89" s="708"/>
      <c r="E89" s="718"/>
      <c r="F89" s="718"/>
      <c r="G89" s="718"/>
      <c r="H89" s="718"/>
      <c r="I89" s="749"/>
      <c r="J89" s="507" t="s">
        <v>1059</v>
      </c>
      <c r="K89" s="507" t="s">
        <v>1060</v>
      </c>
      <c r="L89" s="483">
        <v>1</v>
      </c>
      <c r="M89" s="483">
        <v>3</v>
      </c>
      <c r="N89" s="483"/>
      <c r="O89" s="456"/>
      <c r="P89" s="457">
        <v>2</v>
      </c>
      <c r="Q89" s="457">
        <v>0</v>
      </c>
      <c r="R89" s="457">
        <v>0</v>
      </c>
      <c r="S89" s="457">
        <v>2</v>
      </c>
      <c r="T89" s="457">
        <v>0</v>
      </c>
      <c r="U89" s="457"/>
      <c r="V89" s="487"/>
      <c r="W89" s="487">
        <v>1</v>
      </c>
      <c r="X89" s="487">
        <v>0</v>
      </c>
      <c r="Y89" s="457">
        <v>3</v>
      </c>
      <c r="Z89" s="457">
        <v>2</v>
      </c>
      <c r="AA89" s="457">
        <v>0</v>
      </c>
      <c r="AB89" s="457"/>
      <c r="AC89" s="457"/>
      <c r="AD89" s="457"/>
      <c r="AE89" s="457">
        <f t="shared" si="4"/>
        <v>10</v>
      </c>
      <c r="AF89" s="456"/>
      <c r="AG89" s="471">
        <v>1</v>
      </c>
      <c r="AH89" s="462">
        <f t="shared" si="5"/>
        <v>1</v>
      </c>
      <c r="AI89" s="456"/>
      <c r="AJ89" s="456"/>
      <c r="AK89" s="456"/>
      <c r="AL89" s="456"/>
      <c r="AM89" s="456"/>
      <c r="AN89" s="456"/>
      <c r="AO89" s="456"/>
      <c r="AP89" s="456"/>
      <c r="AQ89" s="456"/>
      <c r="AR89" s="456"/>
      <c r="AS89" s="456"/>
      <c r="AT89" s="456"/>
    </row>
    <row r="90" spans="1:46" ht="60" customHeight="1" x14ac:dyDescent="0.2">
      <c r="A90" s="729"/>
      <c r="B90" s="731"/>
      <c r="C90" s="734"/>
      <c r="D90" s="708"/>
      <c r="E90" s="718"/>
      <c r="F90" s="718"/>
      <c r="G90" s="718"/>
      <c r="H90" s="718"/>
      <c r="I90" s="750"/>
      <c r="J90" s="507"/>
      <c r="K90" s="507"/>
      <c r="L90" s="483"/>
      <c r="M90" s="483"/>
      <c r="N90" s="483"/>
      <c r="O90" s="456"/>
      <c r="P90" s="456"/>
      <c r="Q90" s="456"/>
      <c r="R90" s="456"/>
      <c r="S90" s="456"/>
      <c r="T90" s="456"/>
      <c r="U90" s="456"/>
      <c r="V90" s="456"/>
      <c r="W90" s="456"/>
      <c r="X90" s="456"/>
      <c r="Y90" s="456"/>
      <c r="Z90" s="456"/>
      <c r="AA90" s="456"/>
      <c r="AB90" s="456"/>
      <c r="AC90" s="456"/>
      <c r="AD90" s="456"/>
      <c r="AE90" s="457"/>
      <c r="AF90" s="456"/>
      <c r="AG90" s="492">
        <f>AVERAGE(AG87:AG89)</f>
        <v>0.79047619047619044</v>
      </c>
      <c r="AH90" s="462">
        <f t="shared" si="5"/>
        <v>0.79047619047619044</v>
      </c>
      <c r="AI90" s="456"/>
      <c r="AJ90" s="456"/>
      <c r="AK90" s="456"/>
      <c r="AL90" s="456"/>
      <c r="AM90" s="456"/>
      <c r="AN90" s="456"/>
      <c r="AO90" s="456"/>
      <c r="AP90" s="456"/>
      <c r="AQ90" s="456"/>
      <c r="AR90" s="456"/>
      <c r="AS90" s="456"/>
      <c r="AT90" s="456"/>
    </row>
    <row r="91" spans="1:46" ht="95.25" customHeight="1" x14ac:dyDescent="0.2">
      <c r="A91" s="729"/>
      <c r="B91" s="731"/>
      <c r="C91" s="734"/>
      <c r="D91" s="708"/>
      <c r="E91" s="718"/>
      <c r="F91" s="718"/>
      <c r="G91" s="718"/>
      <c r="H91" s="718"/>
      <c r="I91" s="760" t="s">
        <v>2187</v>
      </c>
      <c r="J91" s="507" t="s">
        <v>1061</v>
      </c>
      <c r="K91" s="507" t="s">
        <v>1062</v>
      </c>
      <c r="L91" s="483">
        <v>1</v>
      </c>
      <c r="M91" s="483">
        <v>7</v>
      </c>
      <c r="N91" s="507"/>
      <c r="O91" s="456"/>
      <c r="P91" s="457">
        <v>0</v>
      </c>
      <c r="Q91" s="457">
        <v>0</v>
      </c>
      <c r="R91" s="457">
        <v>0</v>
      </c>
      <c r="S91" s="457">
        <v>0</v>
      </c>
      <c r="T91" s="457">
        <v>1</v>
      </c>
      <c r="U91" s="457">
        <v>0</v>
      </c>
      <c r="V91" s="487"/>
      <c r="W91" s="487">
        <v>0</v>
      </c>
      <c r="X91" s="487">
        <v>0</v>
      </c>
      <c r="Y91" s="457">
        <v>0</v>
      </c>
      <c r="Z91" s="457">
        <v>0</v>
      </c>
      <c r="AA91" s="457">
        <v>0</v>
      </c>
      <c r="AB91" s="457"/>
      <c r="AC91" s="457"/>
      <c r="AD91" s="457"/>
      <c r="AE91" s="457">
        <f t="shared" si="4"/>
        <v>1</v>
      </c>
      <c r="AF91" s="456"/>
      <c r="AG91" s="471">
        <v>1</v>
      </c>
      <c r="AH91" s="462">
        <f t="shared" si="5"/>
        <v>1</v>
      </c>
      <c r="AI91" s="456"/>
      <c r="AJ91" s="456"/>
      <c r="AK91" s="456"/>
      <c r="AL91" s="456"/>
      <c r="AM91" s="456"/>
      <c r="AN91" s="456"/>
      <c r="AO91" s="456"/>
      <c r="AP91" s="456"/>
      <c r="AQ91" s="456"/>
      <c r="AR91" s="456"/>
      <c r="AS91" s="456"/>
      <c r="AT91" s="456"/>
    </row>
    <row r="92" spans="1:46" ht="67.5" x14ac:dyDescent="0.2">
      <c r="A92" s="729"/>
      <c r="B92" s="731"/>
      <c r="C92" s="734"/>
      <c r="D92" s="708"/>
      <c r="E92" s="718"/>
      <c r="F92" s="718"/>
      <c r="G92" s="718"/>
      <c r="H92" s="718"/>
      <c r="I92" s="760"/>
      <c r="J92" s="507" t="s">
        <v>1063</v>
      </c>
      <c r="K92" s="507" t="s">
        <v>1064</v>
      </c>
      <c r="L92" s="483">
        <v>338</v>
      </c>
      <c r="M92" s="483">
        <v>245</v>
      </c>
      <c r="N92" s="483"/>
      <c r="O92" s="456"/>
      <c r="P92" s="457">
        <v>310</v>
      </c>
      <c r="Q92" s="457">
        <v>0</v>
      </c>
      <c r="R92" s="457">
        <v>0</v>
      </c>
      <c r="S92" s="457">
        <v>283</v>
      </c>
      <c r="T92" s="457">
        <v>103</v>
      </c>
      <c r="U92" s="457">
        <v>250</v>
      </c>
      <c r="V92" s="487"/>
      <c r="W92" s="487">
        <v>371</v>
      </c>
      <c r="X92" s="487">
        <v>0</v>
      </c>
      <c r="Y92" s="457">
        <v>287</v>
      </c>
      <c r="Z92" s="457">
        <v>129</v>
      </c>
      <c r="AA92" s="457">
        <v>265</v>
      </c>
      <c r="AB92" s="457"/>
      <c r="AC92" s="457"/>
      <c r="AD92" s="457"/>
      <c r="AE92" s="457">
        <f t="shared" si="4"/>
        <v>1998</v>
      </c>
      <c r="AF92" s="456"/>
      <c r="AG92" s="471">
        <v>1</v>
      </c>
      <c r="AH92" s="462">
        <f t="shared" si="5"/>
        <v>1</v>
      </c>
      <c r="AI92" s="456"/>
      <c r="AJ92" s="456"/>
      <c r="AK92" s="456"/>
      <c r="AL92" s="456"/>
      <c r="AM92" s="456"/>
      <c r="AN92" s="456"/>
      <c r="AO92" s="456"/>
      <c r="AP92" s="456"/>
      <c r="AQ92" s="456"/>
      <c r="AR92" s="456"/>
      <c r="AS92" s="456"/>
      <c r="AT92" s="456"/>
    </row>
    <row r="93" spans="1:46" ht="67.5" x14ac:dyDescent="0.2">
      <c r="A93" s="729"/>
      <c r="B93" s="731"/>
      <c r="C93" s="734"/>
      <c r="D93" s="708"/>
      <c r="E93" s="718"/>
      <c r="F93" s="718"/>
      <c r="G93" s="718"/>
      <c r="H93" s="718"/>
      <c r="I93" s="760"/>
      <c r="J93" s="507" t="s">
        <v>1065</v>
      </c>
      <c r="K93" s="507" t="s">
        <v>1066</v>
      </c>
      <c r="L93" s="483">
        <v>1402.8</v>
      </c>
      <c r="M93" s="483">
        <v>1252.8</v>
      </c>
      <c r="N93" s="483"/>
      <c r="O93" s="456"/>
      <c r="P93" s="457">
        <v>0</v>
      </c>
      <c r="Q93" s="457">
        <v>0</v>
      </c>
      <c r="R93" s="457">
        <v>0</v>
      </c>
      <c r="S93" s="457">
        <v>0</v>
      </c>
      <c r="T93" s="457">
        <v>0</v>
      </c>
      <c r="U93" s="457">
        <v>0</v>
      </c>
      <c r="V93" s="487"/>
      <c r="W93" s="487">
        <v>26</v>
      </c>
      <c r="X93" s="487">
        <v>0</v>
      </c>
      <c r="Y93" s="457">
        <v>1.49</v>
      </c>
      <c r="Z93" s="457">
        <v>0.69499999999999995</v>
      </c>
      <c r="AA93" s="457">
        <v>1.8</v>
      </c>
      <c r="AB93" s="457"/>
      <c r="AC93" s="457"/>
      <c r="AD93" s="457"/>
      <c r="AE93" s="459">
        <f t="shared" si="4"/>
        <v>29.984999999999999</v>
      </c>
      <c r="AF93" s="456"/>
      <c r="AG93" s="471">
        <v>0.27</v>
      </c>
      <c r="AH93" s="462">
        <f t="shared" si="5"/>
        <v>0.27</v>
      </c>
      <c r="AI93" s="456"/>
      <c r="AJ93" s="456"/>
      <c r="AK93" s="456"/>
      <c r="AL93" s="456"/>
      <c r="AM93" s="456"/>
      <c r="AN93" s="456"/>
      <c r="AO93" s="456"/>
      <c r="AP93" s="456"/>
      <c r="AQ93" s="456"/>
      <c r="AR93" s="456"/>
      <c r="AS93" s="456"/>
      <c r="AT93" s="456"/>
    </row>
    <row r="94" spans="1:46" ht="45" customHeight="1" x14ac:dyDescent="0.2">
      <c r="A94" s="729"/>
      <c r="B94" s="731"/>
      <c r="C94" s="734"/>
      <c r="D94" s="708"/>
      <c r="E94" s="718"/>
      <c r="F94" s="718"/>
      <c r="G94" s="718"/>
      <c r="H94" s="718"/>
      <c r="I94" s="760"/>
      <c r="J94" s="507"/>
      <c r="K94" s="507"/>
      <c r="L94" s="483"/>
      <c r="M94" s="483"/>
      <c r="N94" s="483"/>
      <c r="O94" s="456"/>
      <c r="P94" s="456"/>
      <c r="Q94" s="456"/>
      <c r="R94" s="456"/>
      <c r="S94" s="456"/>
      <c r="T94" s="456"/>
      <c r="U94" s="456"/>
      <c r="V94" s="456"/>
      <c r="W94" s="456"/>
      <c r="X94" s="456"/>
      <c r="Y94" s="456"/>
      <c r="Z94" s="456"/>
      <c r="AA94" s="456"/>
      <c r="AB94" s="456"/>
      <c r="AC94" s="456"/>
      <c r="AD94" s="456"/>
      <c r="AE94" s="457"/>
      <c r="AF94" s="456"/>
      <c r="AG94" s="492">
        <f>AVERAGE(AG91:AG93)</f>
        <v>0.75666666666666671</v>
      </c>
      <c r="AH94" s="462">
        <f t="shared" si="5"/>
        <v>0.75666666666666671</v>
      </c>
      <c r="AI94" s="456"/>
      <c r="AJ94" s="456"/>
      <c r="AK94" s="456"/>
      <c r="AL94" s="456"/>
      <c r="AM94" s="456"/>
      <c r="AN94" s="456"/>
      <c r="AO94" s="456"/>
      <c r="AP94" s="456"/>
      <c r="AQ94" s="456"/>
      <c r="AR94" s="456"/>
      <c r="AS94" s="456"/>
      <c r="AT94" s="456"/>
    </row>
    <row r="95" spans="1:46" ht="45" customHeight="1" x14ac:dyDescent="0.2">
      <c r="A95" s="729"/>
      <c r="B95" s="731"/>
      <c r="C95" s="734"/>
      <c r="D95" s="709"/>
      <c r="E95" s="718"/>
      <c r="F95" s="718"/>
      <c r="G95" s="718"/>
      <c r="H95" s="718"/>
      <c r="I95" s="508"/>
      <c r="J95" s="507"/>
      <c r="K95" s="507"/>
      <c r="L95" s="483"/>
      <c r="M95" s="483"/>
      <c r="N95" s="483"/>
      <c r="O95" s="456"/>
      <c r="P95" s="456"/>
      <c r="Q95" s="456"/>
      <c r="R95" s="456"/>
      <c r="S95" s="456"/>
      <c r="T95" s="456"/>
      <c r="U95" s="456"/>
      <c r="V95" s="456"/>
      <c r="W95" s="456"/>
      <c r="X95" s="456"/>
      <c r="Y95" s="456"/>
      <c r="Z95" s="456"/>
      <c r="AA95" s="456"/>
      <c r="AB95" s="456"/>
      <c r="AC95" s="456"/>
      <c r="AD95" s="456"/>
      <c r="AE95" s="457"/>
      <c r="AF95" s="456"/>
      <c r="AG95" s="479">
        <f>+(AG83+AG86+AG90+AG94)/4</f>
        <v>0.73462449933244323</v>
      </c>
      <c r="AH95" s="462">
        <f t="shared" si="5"/>
        <v>0.73462449933244323</v>
      </c>
      <c r="AI95" s="456"/>
      <c r="AJ95" s="456"/>
      <c r="AK95" s="456"/>
      <c r="AL95" s="456"/>
      <c r="AM95" s="456"/>
      <c r="AN95" s="456"/>
      <c r="AO95" s="456"/>
      <c r="AP95" s="456"/>
      <c r="AQ95" s="456"/>
      <c r="AR95" s="456"/>
      <c r="AS95" s="456"/>
      <c r="AT95" s="456"/>
    </row>
    <row r="96" spans="1:46" ht="97.5" customHeight="1" x14ac:dyDescent="0.2">
      <c r="A96" s="729"/>
      <c r="B96" s="731"/>
      <c r="C96" s="734"/>
      <c r="D96" s="472"/>
      <c r="E96" s="506"/>
      <c r="F96" s="506"/>
      <c r="G96" s="506"/>
      <c r="H96" s="506"/>
      <c r="I96" s="506"/>
      <c r="J96" s="507"/>
      <c r="K96" s="507"/>
      <c r="L96" s="483"/>
      <c r="M96" s="483"/>
      <c r="N96" s="483"/>
      <c r="O96" s="456"/>
      <c r="P96" s="456"/>
      <c r="Q96" s="456"/>
      <c r="R96" s="456"/>
      <c r="S96" s="456"/>
      <c r="T96" s="456"/>
      <c r="U96" s="456"/>
      <c r="V96" s="456"/>
      <c r="W96" s="456"/>
      <c r="X96" s="456"/>
      <c r="Y96" s="456"/>
      <c r="Z96" s="456"/>
      <c r="AA96" s="456"/>
      <c r="AB96" s="456"/>
      <c r="AC96" s="456"/>
      <c r="AD96" s="456"/>
      <c r="AE96" s="457"/>
      <c r="AF96" s="456"/>
      <c r="AG96" s="509">
        <f>+(AG28+AG49+AG62+AG71+AG78+AG95)/6</f>
        <v>0.65131824988874054</v>
      </c>
      <c r="AH96" s="462">
        <f t="shared" si="5"/>
        <v>0.65131824988874054</v>
      </c>
      <c r="AI96" s="456"/>
      <c r="AJ96" s="456"/>
      <c r="AK96" s="456"/>
      <c r="AL96" s="456"/>
      <c r="AM96" s="456"/>
      <c r="AN96" s="456"/>
      <c r="AO96" s="456"/>
      <c r="AP96" s="456"/>
      <c r="AQ96" s="456"/>
      <c r="AR96" s="456"/>
      <c r="AS96" s="456"/>
      <c r="AT96" s="456"/>
    </row>
    <row r="97" spans="1:46" ht="97.5" customHeight="1" x14ac:dyDescent="0.2">
      <c r="A97" s="729"/>
      <c r="B97" s="732"/>
      <c r="C97" s="735"/>
      <c r="D97" s="508"/>
      <c r="E97" s="506"/>
      <c r="F97" s="506"/>
      <c r="G97" s="506"/>
      <c r="H97" s="506"/>
      <c r="I97" s="506"/>
      <c r="J97" s="507"/>
      <c r="K97" s="507"/>
      <c r="L97" s="483"/>
      <c r="M97" s="483"/>
      <c r="N97" s="483"/>
      <c r="O97" s="456"/>
      <c r="P97" s="456"/>
      <c r="Q97" s="456"/>
      <c r="R97" s="456"/>
      <c r="S97" s="456"/>
      <c r="T97" s="456"/>
      <c r="U97" s="456"/>
      <c r="V97" s="456"/>
      <c r="W97" s="456"/>
      <c r="X97" s="456"/>
      <c r="Y97" s="456"/>
      <c r="Z97" s="456"/>
      <c r="AA97" s="456"/>
      <c r="AB97" s="456"/>
      <c r="AC97" s="456"/>
      <c r="AD97" s="456"/>
      <c r="AE97" s="457"/>
      <c r="AF97" s="456"/>
      <c r="AG97" s="510">
        <f>+AG96</f>
        <v>0.65131824988874054</v>
      </c>
      <c r="AH97" s="462">
        <f t="shared" si="5"/>
        <v>0.65131824988874054</v>
      </c>
      <c r="AI97" s="456"/>
      <c r="AJ97" s="456"/>
      <c r="AK97" s="456"/>
      <c r="AL97" s="456"/>
      <c r="AM97" s="456"/>
      <c r="AN97" s="456"/>
      <c r="AO97" s="456"/>
      <c r="AP97" s="456"/>
      <c r="AQ97" s="456"/>
      <c r="AR97" s="456"/>
      <c r="AS97" s="456"/>
      <c r="AT97" s="456"/>
    </row>
    <row r="98" spans="1:46" ht="78" customHeight="1" x14ac:dyDescent="0.2">
      <c r="A98" s="729"/>
      <c r="B98" s="762" t="s">
        <v>1893</v>
      </c>
      <c r="C98" s="766" t="s">
        <v>1068</v>
      </c>
      <c r="D98" s="707" t="s">
        <v>1069</v>
      </c>
      <c r="E98" s="736" t="s">
        <v>1071</v>
      </c>
      <c r="F98" s="736" t="s">
        <v>1070</v>
      </c>
      <c r="G98" s="740">
        <v>1</v>
      </c>
      <c r="H98" s="736">
        <v>0</v>
      </c>
      <c r="I98" s="775"/>
      <c r="J98" s="483" t="s">
        <v>1072</v>
      </c>
      <c r="K98" s="483" t="s">
        <v>1073</v>
      </c>
      <c r="L98" s="483">
        <v>1</v>
      </c>
      <c r="M98" s="483">
        <v>0</v>
      </c>
      <c r="N98" s="483"/>
      <c r="O98" s="456"/>
      <c r="P98" s="457">
        <v>0</v>
      </c>
      <c r="Q98" s="457">
        <v>0</v>
      </c>
      <c r="R98" s="457">
        <v>0</v>
      </c>
      <c r="S98" s="457">
        <v>1</v>
      </c>
      <c r="T98" s="457">
        <v>0</v>
      </c>
      <c r="U98" s="457">
        <v>0</v>
      </c>
      <c r="V98" s="457"/>
      <c r="W98" s="457"/>
      <c r="X98" s="457">
        <v>0.75</v>
      </c>
      <c r="Y98" s="457">
        <v>0.18</v>
      </c>
      <c r="Z98" s="457">
        <v>0</v>
      </c>
      <c r="AA98" s="457">
        <v>0</v>
      </c>
      <c r="AB98" s="457"/>
      <c r="AC98" s="457"/>
      <c r="AD98" s="457"/>
      <c r="AE98" s="457">
        <f>+SUM(N98:AC98)</f>
        <v>1.93</v>
      </c>
      <c r="AF98" s="456"/>
      <c r="AG98" s="488">
        <v>1</v>
      </c>
      <c r="AH98" s="462">
        <f t="shared" si="5"/>
        <v>1</v>
      </c>
      <c r="AI98" s="456"/>
      <c r="AJ98" s="456"/>
      <c r="AK98" s="456"/>
      <c r="AL98" s="456"/>
      <c r="AM98" s="456"/>
      <c r="AN98" s="456"/>
      <c r="AO98" s="456"/>
      <c r="AP98" s="456"/>
      <c r="AQ98" s="456"/>
      <c r="AR98" s="456"/>
      <c r="AS98" s="456"/>
      <c r="AT98" s="456"/>
    </row>
    <row r="99" spans="1:46" ht="56.25" x14ac:dyDescent="0.2">
      <c r="A99" s="729"/>
      <c r="B99" s="763"/>
      <c r="C99" s="767"/>
      <c r="D99" s="708"/>
      <c r="E99" s="743"/>
      <c r="F99" s="743"/>
      <c r="G99" s="741"/>
      <c r="H99" s="743"/>
      <c r="I99" s="776"/>
      <c r="J99" s="483" t="s">
        <v>1074</v>
      </c>
      <c r="K99" s="483" t="s">
        <v>1075</v>
      </c>
      <c r="L99" s="483">
        <v>4</v>
      </c>
      <c r="M99" s="483">
        <v>0</v>
      </c>
      <c r="N99" s="483"/>
      <c r="O99" s="456"/>
      <c r="P99" s="457">
        <v>1</v>
      </c>
      <c r="Q99" s="457">
        <v>0</v>
      </c>
      <c r="R99" s="457">
        <v>0</v>
      </c>
      <c r="S99" s="457">
        <v>0</v>
      </c>
      <c r="T99" s="457">
        <v>1</v>
      </c>
      <c r="U99" s="457">
        <v>0</v>
      </c>
      <c r="V99" s="457"/>
      <c r="W99" s="457"/>
      <c r="X99" s="457">
        <v>0.45</v>
      </c>
      <c r="Y99" s="457">
        <v>0.45</v>
      </c>
      <c r="Z99" s="457">
        <v>0</v>
      </c>
      <c r="AA99" s="457">
        <v>0</v>
      </c>
      <c r="AB99" s="457"/>
      <c r="AC99" s="457"/>
      <c r="AD99" s="457"/>
      <c r="AE99" s="457">
        <f>+SUM(N99:AC99)</f>
        <v>2.9000000000000004</v>
      </c>
      <c r="AF99" s="456"/>
      <c r="AG99" s="488">
        <f>+AE99/L99</f>
        <v>0.72500000000000009</v>
      </c>
      <c r="AH99" s="462">
        <f t="shared" si="5"/>
        <v>0.72500000000000009</v>
      </c>
      <c r="AI99" s="456"/>
      <c r="AJ99" s="793">
        <v>137621191</v>
      </c>
      <c r="AK99" s="511"/>
      <c r="AL99" s="511"/>
      <c r="AM99" s="511"/>
      <c r="AN99" s="511"/>
      <c r="AO99" s="511"/>
      <c r="AP99" s="511"/>
      <c r="AQ99" s="511"/>
      <c r="AR99" s="511"/>
      <c r="AS99" s="793">
        <v>72636050</v>
      </c>
      <c r="AT99" s="723">
        <f>+AS99/AJ99</f>
        <v>0.52779698731135094</v>
      </c>
    </row>
    <row r="100" spans="1:46" ht="33.75" x14ac:dyDescent="0.2">
      <c r="A100" s="729"/>
      <c r="B100" s="763"/>
      <c r="C100" s="767"/>
      <c r="D100" s="708"/>
      <c r="E100" s="743"/>
      <c r="F100" s="743"/>
      <c r="G100" s="741"/>
      <c r="H100" s="743"/>
      <c r="I100" s="776"/>
      <c r="J100" s="483" t="s">
        <v>1076</v>
      </c>
      <c r="K100" s="483" t="s">
        <v>1077</v>
      </c>
      <c r="L100" s="483">
        <v>1</v>
      </c>
      <c r="M100" s="483">
        <v>0</v>
      </c>
      <c r="N100" s="483"/>
      <c r="O100" s="456"/>
      <c r="P100" s="457">
        <v>1</v>
      </c>
      <c r="Q100" s="457">
        <v>1</v>
      </c>
      <c r="R100" s="457">
        <v>0</v>
      </c>
      <c r="S100" s="457">
        <v>1</v>
      </c>
      <c r="T100" s="457">
        <v>1</v>
      </c>
      <c r="U100" s="457">
        <v>1</v>
      </c>
      <c r="V100" s="457"/>
      <c r="W100" s="457"/>
      <c r="X100" s="457">
        <v>0</v>
      </c>
      <c r="Y100" s="457">
        <v>0</v>
      </c>
      <c r="Z100" s="457">
        <v>0</v>
      </c>
      <c r="AA100" s="457">
        <v>0</v>
      </c>
      <c r="AB100" s="457"/>
      <c r="AC100" s="457"/>
      <c r="AD100" s="457"/>
      <c r="AE100" s="457">
        <f>+Q100</f>
        <v>1</v>
      </c>
      <c r="AF100" s="456"/>
      <c r="AG100" s="488">
        <f>+(AE100/L100)</f>
        <v>1</v>
      </c>
      <c r="AH100" s="462">
        <f t="shared" si="5"/>
        <v>1</v>
      </c>
      <c r="AI100" s="456"/>
      <c r="AJ100" s="795"/>
      <c r="AK100" s="456"/>
      <c r="AL100" s="456"/>
      <c r="AM100" s="456"/>
      <c r="AN100" s="456"/>
      <c r="AO100" s="456"/>
      <c r="AP100" s="456"/>
      <c r="AQ100" s="456"/>
      <c r="AR100" s="456"/>
      <c r="AS100" s="795"/>
      <c r="AT100" s="724"/>
    </row>
    <row r="101" spans="1:46" ht="33.75" x14ac:dyDescent="0.2">
      <c r="A101" s="729"/>
      <c r="B101" s="763"/>
      <c r="C101" s="767"/>
      <c r="D101" s="708"/>
      <c r="E101" s="743"/>
      <c r="F101" s="743"/>
      <c r="G101" s="741"/>
      <c r="H101" s="743"/>
      <c r="I101" s="776"/>
      <c r="J101" s="483" t="s">
        <v>1078</v>
      </c>
      <c r="K101" s="483" t="s">
        <v>1079</v>
      </c>
      <c r="L101" s="483">
        <v>1</v>
      </c>
      <c r="M101" s="483">
        <v>0</v>
      </c>
      <c r="N101" s="483"/>
      <c r="O101" s="456"/>
      <c r="P101" s="457">
        <v>0</v>
      </c>
      <c r="Q101" s="457">
        <v>0</v>
      </c>
      <c r="R101" s="457">
        <v>0</v>
      </c>
      <c r="S101" s="457">
        <v>0</v>
      </c>
      <c r="T101" s="457">
        <v>0</v>
      </c>
      <c r="U101" s="457">
        <v>0</v>
      </c>
      <c r="V101" s="457"/>
      <c r="W101" s="457"/>
      <c r="X101" s="457">
        <v>0</v>
      </c>
      <c r="Y101" s="457">
        <v>0</v>
      </c>
      <c r="Z101" s="457">
        <v>0</v>
      </c>
      <c r="AA101" s="457">
        <v>0</v>
      </c>
      <c r="AB101" s="457"/>
      <c r="AC101" s="457"/>
      <c r="AD101" s="457"/>
      <c r="AE101" s="457">
        <f>+SUM(N101:AC101)</f>
        <v>0</v>
      </c>
      <c r="AF101" s="456"/>
      <c r="AG101" s="488">
        <f>+(AE101/L101)</f>
        <v>0</v>
      </c>
      <c r="AH101" s="462">
        <f t="shared" si="5"/>
        <v>0</v>
      </c>
      <c r="AI101" s="456"/>
      <c r="AJ101" s="794"/>
      <c r="AK101" s="456"/>
      <c r="AL101" s="456"/>
      <c r="AM101" s="456"/>
      <c r="AN101" s="456"/>
      <c r="AO101" s="456"/>
      <c r="AP101" s="456"/>
      <c r="AQ101" s="456"/>
      <c r="AR101" s="456"/>
      <c r="AS101" s="794"/>
      <c r="AT101" s="725"/>
    </row>
    <row r="102" spans="1:46" ht="62.25" customHeight="1" x14ac:dyDescent="0.2">
      <c r="A102" s="729"/>
      <c r="B102" s="763"/>
      <c r="C102" s="767"/>
      <c r="D102" s="709"/>
      <c r="E102" s="737"/>
      <c r="F102" s="737"/>
      <c r="G102" s="742"/>
      <c r="H102" s="737"/>
      <c r="I102" s="777"/>
      <c r="J102" s="483"/>
      <c r="K102" s="483"/>
      <c r="L102" s="483"/>
      <c r="M102" s="483"/>
      <c r="N102" s="483"/>
      <c r="O102" s="456"/>
      <c r="P102" s="456"/>
      <c r="Q102" s="456"/>
      <c r="R102" s="456"/>
      <c r="S102" s="456"/>
      <c r="T102" s="456"/>
      <c r="U102" s="456"/>
      <c r="V102" s="456"/>
      <c r="W102" s="456"/>
      <c r="X102" s="456"/>
      <c r="Y102" s="456"/>
      <c r="Z102" s="456"/>
      <c r="AA102" s="456"/>
      <c r="AB102" s="456"/>
      <c r="AC102" s="456"/>
      <c r="AD102" s="456"/>
      <c r="AE102" s="457"/>
      <c r="AF102" s="456"/>
      <c r="AG102" s="512">
        <f>AVERAGE(AG98:AG101)</f>
        <v>0.68125000000000002</v>
      </c>
      <c r="AH102" s="462">
        <f t="shared" si="5"/>
        <v>0.68125000000000002</v>
      </c>
      <c r="AI102" s="456"/>
      <c r="AJ102" s="456"/>
      <c r="AK102" s="456"/>
      <c r="AL102" s="456"/>
      <c r="AM102" s="456"/>
      <c r="AN102" s="456"/>
      <c r="AO102" s="456"/>
      <c r="AP102" s="456"/>
      <c r="AQ102" s="456"/>
      <c r="AR102" s="456"/>
      <c r="AS102" s="456"/>
      <c r="AT102" s="456"/>
    </row>
    <row r="103" spans="1:46" ht="46.5" customHeight="1" x14ac:dyDescent="0.2">
      <c r="A103" s="729"/>
      <c r="B103" s="763"/>
      <c r="C103" s="767"/>
      <c r="D103" s="707" t="s">
        <v>1080</v>
      </c>
      <c r="E103" s="775"/>
      <c r="F103" s="775"/>
      <c r="G103" s="775"/>
      <c r="H103" s="775"/>
      <c r="I103" s="775"/>
      <c r="J103" s="483" t="s">
        <v>1081</v>
      </c>
      <c r="K103" s="483" t="s">
        <v>1082</v>
      </c>
      <c r="L103" s="465">
        <v>200</v>
      </c>
      <c r="M103" s="513">
        <v>192</v>
      </c>
      <c r="N103" s="513"/>
      <c r="O103" s="456"/>
      <c r="P103" s="457">
        <v>350</v>
      </c>
      <c r="Q103" s="457">
        <v>369</v>
      </c>
      <c r="R103" s="457">
        <v>70</v>
      </c>
      <c r="S103" s="457">
        <v>98</v>
      </c>
      <c r="T103" s="457">
        <v>128</v>
      </c>
      <c r="U103" s="457">
        <v>592</v>
      </c>
      <c r="V103" s="457"/>
      <c r="W103" s="457"/>
      <c r="X103" s="457">
        <v>256</v>
      </c>
      <c r="Y103" s="457">
        <v>299</v>
      </c>
      <c r="Z103" s="457">
        <v>0</v>
      </c>
      <c r="AA103" s="457">
        <v>0</v>
      </c>
      <c r="AB103" s="457"/>
      <c r="AC103" s="457"/>
      <c r="AD103" s="457"/>
      <c r="AE103" s="457">
        <f>+Y103</f>
        <v>299</v>
      </c>
      <c r="AF103" s="456"/>
      <c r="AG103" s="471">
        <v>1</v>
      </c>
      <c r="AH103" s="462">
        <f t="shared" si="5"/>
        <v>1</v>
      </c>
      <c r="AI103" s="456"/>
      <c r="AJ103" s="790">
        <v>139983641</v>
      </c>
      <c r="AK103" s="500"/>
      <c r="AL103" s="500"/>
      <c r="AM103" s="500"/>
      <c r="AN103" s="500"/>
      <c r="AO103" s="500"/>
      <c r="AP103" s="500"/>
      <c r="AQ103" s="500"/>
      <c r="AR103" s="500"/>
      <c r="AS103" s="790">
        <v>74998500</v>
      </c>
      <c r="AT103" s="723">
        <f>+AS103/AJ103</f>
        <v>0.53576617570620266</v>
      </c>
    </row>
    <row r="104" spans="1:46" ht="42.75" customHeight="1" x14ac:dyDescent="0.2">
      <c r="A104" s="729"/>
      <c r="B104" s="763"/>
      <c r="C104" s="767"/>
      <c r="D104" s="708"/>
      <c r="E104" s="776"/>
      <c r="F104" s="776"/>
      <c r="G104" s="776"/>
      <c r="H104" s="776"/>
      <c r="I104" s="776"/>
      <c r="J104" s="483" t="s">
        <v>1083</v>
      </c>
      <c r="K104" s="483" t="s">
        <v>1084</v>
      </c>
      <c r="L104" s="465">
        <v>600</v>
      </c>
      <c r="M104" s="513">
        <v>508</v>
      </c>
      <c r="N104" s="513"/>
      <c r="O104" s="456"/>
      <c r="P104" s="457">
        <v>200</v>
      </c>
      <c r="Q104" s="457">
        <v>208</v>
      </c>
      <c r="R104" s="457">
        <v>56</v>
      </c>
      <c r="S104" s="457">
        <v>75</v>
      </c>
      <c r="T104" s="457">
        <v>75</v>
      </c>
      <c r="U104" s="457">
        <v>310</v>
      </c>
      <c r="V104" s="457"/>
      <c r="W104" s="457"/>
      <c r="X104" s="457">
        <v>329</v>
      </c>
      <c r="Y104" s="457">
        <v>453</v>
      </c>
      <c r="Z104" s="457">
        <v>0</v>
      </c>
      <c r="AA104" s="457">
        <v>0</v>
      </c>
      <c r="AB104" s="457"/>
      <c r="AC104" s="457"/>
      <c r="AD104" s="457"/>
      <c r="AE104" s="457">
        <f>+Y104</f>
        <v>453</v>
      </c>
      <c r="AF104" s="456"/>
      <c r="AG104" s="471">
        <v>1</v>
      </c>
      <c r="AH104" s="462">
        <f t="shared" si="5"/>
        <v>1</v>
      </c>
      <c r="AI104" s="456"/>
      <c r="AJ104" s="791"/>
      <c r="AK104" s="505"/>
      <c r="AL104" s="505"/>
      <c r="AM104" s="505"/>
      <c r="AN104" s="505"/>
      <c r="AO104" s="505"/>
      <c r="AP104" s="505"/>
      <c r="AQ104" s="505"/>
      <c r="AR104" s="505"/>
      <c r="AS104" s="791"/>
      <c r="AT104" s="725"/>
    </row>
    <row r="105" spans="1:46" ht="42.75" customHeight="1" x14ac:dyDescent="0.2">
      <c r="A105" s="729"/>
      <c r="B105" s="763"/>
      <c r="C105" s="767"/>
      <c r="D105" s="709"/>
      <c r="E105" s="777"/>
      <c r="F105" s="777"/>
      <c r="G105" s="777"/>
      <c r="H105" s="777"/>
      <c r="I105" s="777"/>
      <c r="J105" s="483"/>
      <c r="K105" s="483"/>
      <c r="L105" s="465"/>
      <c r="M105" s="513"/>
      <c r="N105" s="513"/>
      <c r="O105" s="456"/>
      <c r="P105" s="456"/>
      <c r="Q105" s="456"/>
      <c r="R105" s="456"/>
      <c r="S105" s="456"/>
      <c r="T105" s="456"/>
      <c r="U105" s="456"/>
      <c r="V105" s="456"/>
      <c r="W105" s="456"/>
      <c r="X105" s="456"/>
      <c r="Y105" s="456"/>
      <c r="Z105" s="456"/>
      <c r="AA105" s="456"/>
      <c r="AB105" s="456"/>
      <c r="AC105" s="456"/>
      <c r="AD105" s="456"/>
      <c r="AE105" s="457"/>
      <c r="AF105" s="456"/>
      <c r="AG105" s="514">
        <f>AVERAGE(AG103:AG104)</f>
        <v>1</v>
      </c>
      <c r="AH105" s="462">
        <f t="shared" si="5"/>
        <v>1</v>
      </c>
      <c r="AI105" s="456"/>
      <c r="AJ105" s="456"/>
      <c r="AK105" s="456"/>
      <c r="AL105" s="456"/>
      <c r="AM105" s="456"/>
      <c r="AN105" s="456"/>
      <c r="AO105" s="456"/>
      <c r="AP105" s="456"/>
      <c r="AQ105" s="456"/>
      <c r="AR105" s="456"/>
      <c r="AS105" s="456"/>
      <c r="AT105" s="456"/>
    </row>
    <row r="106" spans="1:46" ht="67.5" x14ac:dyDescent="0.2">
      <c r="A106" s="729"/>
      <c r="B106" s="763"/>
      <c r="C106" s="767"/>
      <c r="D106" s="718" t="s">
        <v>1085</v>
      </c>
      <c r="E106" s="744"/>
      <c r="F106" s="744"/>
      <c r="G106" s="744"/>
      <c r="H106" s="744"/>
      <c r="I106" s="744"/>
      <c r="J106" s="483" t="s">
        <v>1086</v>
      </c>
      <c r="K106" s="483" t="s">
        <v>1087</v>
      </c>
      <c r="L106" s="483">
        <v>30000</v>
      </c>
      <c r="M106" s="483">
        <v>15000</v>
      </c>
      <c r="N106" s="483"/>
      <c r="O106" s="456"/>
      <c r="P106" s="457">
        <v>12355</v>
      </c>
      <c r="Q106" s="457">
        <v>14643</v>
      </c>
      <c r="R106" s="457">
        <v>3137</v>
      </c>
      <c r="S106" s="457">
        <v>17930</v>
      </c>
      <c r="T106" s="457">
        <v>19701</v>
      </c>
      <c r="U106" s="457">
        <v>21718</v>
      </c>
      <c r="V106" s="457"/>
      <c r="W106" s="457"/>
      <c r="X106" s="457">
        <v>29848</v>
      </c>
      <c r="Y106" s="457">
        <v>33954</v>
      </c>
      <c r="Z106" s="457">
        <v>0</v>
      </c>
      <c r="AA106" s="457">
        <v>0</v>
      </c>
      <c r="AB106" s="457"/>
      <c r="AC106" s="457"/>
      <c r="AD106" s="457"/>
      <c r="AE106" s="457">
        <f>+Y106</f>
        <v>33954</v>
      </c>
      <c r="AF106" s="457"/>
      <c r="AG106" s="471">
        <v>1</v>
      </c>
      <c r="AH106" s="462">
        <f t="shared" si="5"/>
        <v>1</v>
      </c>
      <c r="AI106" s="456"/>
      <c r="AJ106" s="790">
        <v>331644509</v>
      </c>
      <c r="AK106" s="515"/>
      <c r="AL106" s="515"/>
      <c r="AM106" s="515"/>
      <c r="AN106" s="515"/>
      <c r="AO106" s="515"/>
      <c r="AP106" s="515"/>
      <c r="AQ106" s="515"/>
      <c r="AR106" s="515"/>
      <c r="AS106" s="790">
        <v>331644509</v>
      </c>
      <c r="AT106" s="723">
        <f>+AS106/AJ106</f>
        <v>1</v>
      </c>
    </row>
    <row r="107" spans="1:46" ht="33.75" x14ac:dyDescent="0.2">
      <c r="A107" s="729"/>
      <c r="B107" s="763"/>
      <c r="C107" s="767"/>
      <c r="D107" s="718"/>
      <c r="E107" s="744"/>
      <c r="F107" s="744"/>
      <c r="G107" s="744"/>
      <c r="H107" s="744"/>
      <c r="I107" s="744"/>
      <c r="J107" s="483" t="s">
        <v>1088</v>
      </c>
      <c r="K107" s="483" t="s">
        <v>1089</v>
      </c>
      <c r="L107" s="483">
        <v>100</v>
      </c>
      <c r="M107" s="483">
        <v>10</v>
      </c>
      <c r="N107" s="483"/>
      <c r="O107" s="456"/>
      <c r="P107" s="457">
        <v>49</v>
      </c>
      <c r="Q107" s="457">
        <v>54</v>
      </c>
      <c r="R107" s="82">
        <v>49</v>
      </c>
      <c r="S107" s="457">
        <v>54</v>
      </c>
      <c r="T107" s="457">
        <v>72</v>
      </c>
      <c r="U107" s="457">
        <v>73</v>
      </c>
      <c r="V107" s="457"/>
      <c r="W107" s="457"/>
      <c r="X107" s="457">
        <v>61</v>
      </c>
      <c r="Y107" s="457">
        <v>61</v>
      </c>
      <c r="Z107" s="457">
        <v>0</v>
      </c>
      <c r="AA107" s="457">
        <v>0</v>
      </c>
      <c r="AB107" s="457"/>
      <c r="AC107" s="457"/>
      <c r="AD107" s="457"/>
      <c r="AE107" s="457">
        <f>+Y107+U107</f>
        <v>134</v>
      </c>
      <c r="AF107" s="457"/>
      <c r="AG107" s="471">
        <v>1</v>
      </c>
      <c r="AH107" s="462">
        <f t="shared" si="5"/>
        <v>1</v>
      </c>
      <c r="AI107" s="456"/>
      <c r="AJ107" s="792"/>
      <c r="AK107" s="515"/>
      <c r="AL107" s="515"/>
      <c r="AM107" s="515"/>
      <c r="AN107" s="515"/>
      <c r="AO107" s="515"/>
      <c r="AP107" s="515"/>
      <c r="AQ107" s="515"/>
      <c r="AR107" s="515"/>
      <c r="AS107" s="792"/>
      <c r="AT107" s="724"/>
    </row>
    <row r="108" spans="1:46" ht="33.75" x14ac:dyDescent="0.2">
      <c r="A108" s="729"/>
      <c r="B108" s="763"/>
      <c r="C108" s="767"/>
      <c r="D108" s="718"/>
      <c r="E108" s="744"/>
      <c r="F108" s="744"/>
      <c r="G108" s="744"/>
      <c r="H108" s="744"/>
      <c r="I108" s="744"/>
      <c r="J108" s="483" t="s">
        <v>1090</v>
      </c>
      <c r="K108" s="483" t="s">
        <v>1091</v>
      </c>
      <c r="L108" s="483">
        <v>7</v>
      </c>
      <c r="M108" s="483">
        <v>5</v>
      </c>
      <c r="N108" s="483"/>
      <c r="O108" s="456"/>
      <c r="P108" s="457">
        <v>8</v>
      </c>
      <c r="Q108" s="457">
        <v>8</v>
      </c>
      <c r="R108" s="82">
        <v>9</v>
      </c>
      <c r="S108" s="457">
        <v>9</v>
      </c>
      <c r="T108" s="457">
        <v>9</v>
      </c>
      <c r="U108" s="457">
        <v>9</v>
      </c>
      <c r="V108" s="457"/>
      <c r="W108" s="457"/>
      <c r="X108" s="457">
        <v>10</v>
      </c>
      <c r="Y108" s="457">
        <v>10</v>
      </c>
      <c r="Z108" s="457">
        <v>0</v>
      </c>
      <c r="AA108" s="457">
        <v>0</v>
      </c>
      <c r="AB108" s="457"/>
      <c r="AC108" s="457"/>
      <c r="AD108" s="457"/>
      <c r="AE108" s="457">
        <f>+Q108+R108+S108+T108+Y108</f>
        <v>45</v>
      </c>
      <c r="AF108" s="457"/>
      <c r="AG108" s="471">
        <v>1</v>
      </c>
      <c r="AH108" s="462">
        <f t="shared" si="5"/>
        <v>1</v>
      </c>
      <c r="AI108" s="456"/>
      <c r="AJ108" s="792"/>
      <c r="AK108" s="515"/>
      <c r="AL108" s="515"/>
      <c r="AM108" s="515"/>
      <c r="AN108" s="515"/>
      <c r="AO108" s="515"/>
      <c r="AP108" s="515"/>
      <c r="AQ108" s="515"/>
      <c r="AR108" s="515"/>
      <c r="AS108" s="792"/>
      <c r="AT108" s="724"/>
    </row>
    <row r="109" spans="1:46" ht="33.75" x14ac:dyDescent="0.2">
      <c r="A109" s="729"/>
      <c r="B109" s="763"/>
      <c r="C109" s="767"/>
      <c r="D109" s="718"/>
      <c r="E109" s="744"/>
      <c r="F109" s="744"/>
      <c r="G109" s="744"/>
      <c r="H109" s="744"/>
      <c r="I109" s="744"/>
      <c r="J109" s="483" t="s">
        <v>1092</v>
      </c>
      <c r="K109" s="483" t="s">
        <v>1093</v>
      </c>
      <c r="L109" s="483">
        <v>5</v>
      </c>
      <c r="M109" s="483">
        <v>5</v>
      </c>
      <c r="N109" s="483"/>
      <c r="O109" s="456"/>
      <c r="P109" s="457">
        <v>3</v>
      </c>
      <c r="Q109" s="457">
        <v>12</v>
      </c>
      <c r="R109" s="82">
        <v>10</v>
      </c>
      <c r="S109" s="457">
        <v>10</v>
      </c>
      <c r="T109" s="457">
        <v>10</v>
      </c>
      <c r="U109" s="457">
        <v>10</v>
      </c>
      <c r="V109" s="457"/>
      <c r="W109" s="457"/>
      <c r="X109" s="457">
        <v>10</v>
      </c>
      <c r="Y109" s="457">
        <v>10</v>
      </c>
      <c r="Z109" s="457">
        <v>0</v>
      </c>
      <c r="AA109" s="457">
        <v>0</v>
      </c>
      <c r="AB109" s="457"/>
      <c r="AC109" s="457"/>
      <c r="AD109" s="457"/>
      <c r="AE109" s="457">
        <f>+Q109+R109+S109+T109+Y109</f>
        <v>52</v>
      </c>
      <c r="AF109" s="457"/>
      <c r="AG109" s="471">
        <v>1</v>
      </c>
      <c r="AH109" s="462">
        <f t="shared" si="5"/>
        <v>1</v>
      </c>
      <c r="AI109" s="456"/>
      <c r="AJ109" s="792"/>
      <c r="AK109" s="515"/>
      <c r="AL109" s="515"/>
      <c r="AM109" s="515"/>
      <c r="AN109" s="515"/>
      <c r="AO109" s="515"/>
      <c r="AP109" s="515"/>
      <c r="AQ109" s="515"/>
      <c r="AR109" s="515"/>
      <c r="AS109" s="792"/>
      <c r="AT109" s="724"/>
    </row>
    <row r="110" spans="1:46" ht="33.75" x14ac:dyDescent="0.2">
      <c r="A110" s="729"/>
      <c r="B110" s="763"/>
      <c r="C110" s="767"/>
      <c r="D110" s="718"/>
      <c r="E110" s="744"/>
      <c r="F110" s="744"/>
      <c r="G110" s="744"/>
      <c r="H110" s="744"/>
      <c r="I110" s="744"/>
      <c r="J110" s="483" t="s">
        <v>1094</v>
      </c>
      <c r="K110" s="483" t="s">
        <v>1095</v>
      </c>
      <c r="L110" s="483">
        <v>1200</v>
      </c>
      <c r="M110" s="483">
        <v>0</v>
      </c>
      <c r="N110" s="483"/>
      <c r="O110" s="456"/>
      <c r="P110" s="457">
        <v>200</v>
      </c>
      <c r="Q110" s="457">
        <v>200</v>
      </c>
      <c r="R110" s="82">
        <v>0</v>
      </c>
      <c r="S110" s="457">
        <v>50</v>
      </c>
      <c r="T110" s="457">
        <v>99</v>
      </c>
      <c r="U110" s="457">
        <v>99</v>
      </c>
      <c r="V110" s="457"/>
      <c r="W110" s="457"/>
      <c r="X110" s="457">
        <v>0</v>
      </c>
      <c r="Y110" s="457">
        <v>250</v>
      </c>
      <c r="Z110" s="457">
        <v>0</v>
      </c>
      <c r="AA110" s="457">
        <v>0</v>
      </c>
      <c r="AB110" s="457"/>
      <c r="AC110" s="457"/>
      <c r="AD110" s="457"/>
      <c r="AE110" s="457">
        <f>+Q110+R110+S110+T110+Y110</f>
        <v>599</v>
      </c>
      <c r="AF110" s="457"/>
      <c r="AG110" s="471">
        <f>+(AE110/L110)</f>
        <v>0.49916666666666665</v>
      </c>
      <c r="AH110" s="462">
        <f t="shared" si="5"/>
        <v>0.49916666666666665</v>
      </c>
      <c r="AI110" s="456"/>
      <c r="AJ110" s="792"/>
      <c r="AK110" s="515"/>
      <c r="AL110" s="515"/>
      <c r="AM110" s="515"/>
      <c r="AN110" s="515"/>
      <c r="AO110" s="515"/>
      <c r="AP110" s="515"/>
      <c r="AQ110" s="515"/>
      <c r="AR110" s="515"/>
      <c r="AS110" s="792"/>
      <c r="AT110" s="724"/>
    </row>
    <row r="111" spans="1:46" ht="67.5" x14ac:dyDescent="0.2">
      <c r="A111" s="729"/>
      <c r="B111" s="763"/>
      <c r="C111" s="767"/>
      <c r="D111" s="718"/>
      <c r="E111" s="744"/>
      <c r="F111" s="744"/>
      <c r="G111" s="744"/>
      <c r="H111" s="744"/>
      <c r="I111" s="744"/>
      <c r="J111" s="483" t="s">
        <v>1096</v>
      </c>
      <c r="K111" s="483" t="s">
        <v>1097</v>
      </c>
      <c r="L111" s="483">
        <v>1</v>
      </c>
      <c r="M111" s="483">
        <v>0</v>
      </c>
      <c r="N111" s="483"/>
      <c r="O111" s="456"/>
      <c r="P111" s="457">
        <v>1</v>
      </c>
      <c r="Q111" s="457">
        <v>1</v>
      </c>
      <c r="R111" s="82">
        <v>0</v>
      </c>
      <c r="S111" s="457">
        <v>0</v>
      </c>
      <c r="T111" s="457">
        <v>1</v>
      </c>
      <c r="U111" s="457">
        <v>1</v>
      </c>
      <c r="V111" s="457"/>
      <c r="W111" s="457"/>
      <c r="X111" s="457">
        <v>0.8</v>
      </c>
      <c r="Y111" s="457">
        <v>0.9</v>
      </c>
      <c r="Z111" s="457">
        <v>0</v>
      </c>
      <c r="AA111" s="457">
        <v>0</v>
      </c>
      <c r="AB111" s="457"/>
      <c r="AC111" s="457"/>
      <c r="AD111" s="457"/>
      <c r="AE111" s="457">
        <f>+Q111+R111</f>
        <v>1</v>
      </c>
      <c r="AF111" s="457"/>
      <c r="AG111" s="471">
        <f>+(AE111/L111)</f>
        <v>1</v>
      </c>
      <c r="AH111" s="462">
        <f t="shared" si="5"/>
        <v>1</v>
      </c>
      <c r="AI111" s="456"/>
      <c r="AJ111" s="791"/>
      <c r="AK111" s="515"/>
      <c r="AL111" s="515"/>
      <c r="AM111" s="515"/>
      <c r="AN111" s="515"/>
      <c r="AO111" s="515"/>
      <c r="AP111" s="515"/>
      <c r="AQ111" s="515"/>
      <c r="AR111" s="515"/>
      <c r="AS111" s="791"/>
      <c r="AT111" s="725"/>
    </row>
    <row r="112" spans="1:46" ht="45" customHeight="1" x14ac:dyDescent="0.2">
      <c r="A112" s="729"/>
      <c r="B112" s="763"/>
      <c r="C112" s="767"/>
      <c r="D112" s="718"/>
      <c r="E112" s="744"/>
      <c r="F112" s="744"/>
      <c r="G112" s="744"/>
      <c r="H112" s="744"/>
      <c r="I112" s="744"/>
      <c r="J112" s="483"/>
      <c r="K112" s="483"/>
      <c r="L112" s="483"/>
      <c r="M112" s="483"/>
      <c r="N112" s="483"/>
      <c r="O112" s="456"/>
      <c r="P112" s="456"/>
      <c r="Q112" s="456"/>
      <c r="R112" s="457"/>
      <c r="S112" s="456"/>
      <c r="U112" s="456"/>
      <c r="V112" s="456"/>
      <c r="W112" s="456"/>
      <c r="X112" s="456"/>
      <c r="Y112" s="456"/>
      <c r="Z112" s="456"/>
      <c r="AA112" s="456"/>
      <c r="AB112" s="456"/>
      <c r="AC112" s="456"/>
      <c r="AD112" s="456"/>
      <c r="AE112" s="457"/>
      <c r="AF112" s="456"/>
      <c r="AG112" s="516">
        <f>AVERAGE(AG106:AG111)</f>
        <v>0.91652777777777772</v>
      </c>
      <c r="AH112" s="462">
        <f t="shared" si="5"/>
        <v>0.91652777777777772</v>
      </c>
      <c r="AI112" s="456"/>
      <c r="AJ112" s="456"/>
      <c r="AK112" s="456"/>
      <c r="AL112" s="456"/>
      <c r="AM112" s="456"/>
      <c r="AN112" s="456"/>
      <c r="AO112" s="456"/>
      <c r="AP112" s="456"/>
      <c r="AQ112" s="456"/>
      <c r="AR112" s="456"/>
      <c r="AS112" s="456"/>
      <c r="AT112" s="456"/>
    </row>
    <row r="113" spans="1:46" ht="54.75" customHeight="1" x14ac:dyDescent="0.2">
      <c r="A113" s="729"/>
      <c r="B113" s="763"/>
      <c r="C113" s="768"/>
      <c r="D113" s="506"/>
      <c r="E113" s="517"/>
      <c r="F113" s="517"/>
      <c r="G113" s="517"/>
      <c r="H113" s="517"/>
      <c r="I113" s="517"/>
      <c r="J113" s="483"/>
      <c r="K113" s="483"/>
      <c r="L113" s="483"/>
      <c r="M113" s="483"/>
      <c r="N113" s="483"/>
      <c r="O113" s="456"/>
      <c r="P113" s="456"/>
      <c r="Q113" s="456"/>
      <c r="R113" s="456"/>
      <c r="S113" s="456"/>
      <c r="T113" s="456"/>
      <c r="U113" s="456"/>
      <c r="V113" s="456"/>
      <c r="W113" s="456"/>
      <c r="X113" s="456"/>
      <c r="Y113" s="456"/>
      <c r="Z113" s="456"/>
      <c r="AA113" s="456"/>
      <c r="AB113" s="456"/>
      <c r="AC113" s="456"/>
      <c r="AD113" s="456"/>
      <c r="AE113" s="457"/>
      <c r="AF113" s="456"/>
      <c r="AG113" s="509">
        <f>+(AG102+AG105+AG112)/3</f>
        <v>0.86592592592592588</v>
      </c>
      <c r="AH113" s="462">
        <f t="shared" si="5"/>
        <v>0.86592592592592588</v>
      </c>
      <c r="AI113" s="456"/>
      <c r="AJ113" s="456"/>
      <c r="AK113" s="456"/>
      <c r="AL113" s="456"/>
      <c r="AM113" s="456"/>
      <c r="AN113" s="456"/>
      <c r="AO113" s="456"/>
      <c r="AP113" s="456"/>
      <c r="AQ113" s="456"/>
      <c r="AR113" s="456"/>
      <c r="AS113" s="456"/>
      <c r="AT113" s="456"/>
    </row>
    <row r="114" spans="1:46" ht="117.75" customHeight="1" x14ac:dyDescent="0.2">
      <c r="A114" s="729"/>
      <c r="B114" s="763"/>
      <c r="C114" s="769" t="s">
        <v>1098</v>
      </c>
      <c r="D114" s="707" t="s">
        <v>1099</v>
      </c>
      <c r="E114" s="707"/>
      <c r="F114" s="707"/>
      <c r="G114" s="707"/>
      <c r="H114" s="707"/>
      <c r="I114" s="707"/>
      <c r="J114" s="483" t="s">
        <v>1100</v>
      </c>
      <c r="K114" s="483" t="s">
        <v>1101</v>
      </c>
      <c r="L114" s="483">
        <v>4</v>
      </c>
      <c r="M114" s="483">
        <v>1</v>
      </c>
      <c r="N114" s="483"/>
      <c r="O114" s="456"/>
      <c r="P114" s="457">
        <v>0</v>
      </c>
      <c r="Q114" s="457">
        <v>1</v>
      </c>
      <c r="R114" s="457">
        <v>0</v>
      </c>
      <c r="S114" s="457">
        <v>0</v>
      </c>
      <c r="T114" s="457">
        <v>0</v>
      </c>
      <c r="U114" s="457">
        <v>1</v>
      </c>
      <c r="V114" s="457"/>
      <c r="W114" s="457"/>
      <c r="X114" s="457">
        <v>0.3</v>
      </c>
      <c r="Y114" s="457">
        <v>0</v>
      </c>
      <c r="Z114" s="457">
        <v>1</v>
      </c>
      <c r="AA114" s="457">
        <v>0</v>
      </c>
      <c r="AB114" s="457"/>
      <c r="AC114" s="457"/>
      <c r="AD114" s="457"/>
      <c r="AE114" s="457">
        <f>+Q114+U114+X114+Z114</f>
        <v>3.3</v>
      </c>
      <c r="AF114" s="456"/>
      <c r="AG114" s="471">
        <f>+(AE114/L114)</f>
        <v>0.82499999999999996</v>
      </c>
      <c r="AH114" s="462">
        <f t="shared" si="5"/>
        <v>0.82499999999999996</v>
      </c>
      <c r="AI114" s="456"/>
      <c r="AJ114" s="790">
        <v>1723881235</v>
      </c>
      <c r="AK114" s="500"/>
      <c r="AL114" s="500"/>
      <c r="AM114" s="500"/>
      <c r="AN114" s="500"/>
      <c r="AO114" s="500"/>
      <c r="AP114" s="500"/>
      <c r="AQ114" s="500"/>
      <c r="AR114" s="500"/>
      <c r="AS114" s="790">
        <v>560613785</v>
      </c>
      <c r="AT114" s="723">
        <f>+AS114/AJ114</f>
        <v>0.32520441293625429</v>
      </c>
    </row>
    <row r="115" spans="1:46" ht="45" x14ac:dyDescent="0.2">
      <c r="A115" s="729"/>
      <c r="B115" s="763"/>
      <c r="C115" s="770"/>
      <c r="D115" s="708"/>
      <c r="E115" s="709"/>
      <c r="F115" s="709"/>
      <c r="G115" s="709"/>
      <c r="H115" s="709"/>
      <c r="I115" s="709"/>
      <c r="J115" s="483" t="s">
        <v>1102</v>
      </c>
      <c r="K115" s="483" t="s">
        <v>1103</v>
      </c>
      <c r="L115" s="483">
        <v>4000</v>
      </c>
      <c r="M115" s="483">
        <v>1570</v>
      </c>
      <c r="N115" s="483"/>
      <c r="O115" s="456"/>
      <c r="P115" s="457">
        <v>0</v>
      </c>
      <c r="Q115" s="457">
        <v>1000</v>
      </c>
      <c r="R115" s="457">
        <v>0</v>
      </c>
      <c r="S115" s="457">
        <v>0</v>
      </c>
      <c r="T115" s="457"/>
      <c r="U115" s="457">
        <v>4985</v>
      </c>
      <c r="V115" s="457"/>
      <c r="W115" s="457"/>
      <c r="X115" s="457"/>
      <c r="Y115" s="457">
        <v>1</v>
      </c>
      <c r="Z115" s="457">
        <v>0</v>
      </c>
      <c r="AA115" s="457">
        <v>1</v>
      </c>
      <c r="AB115" s="457"/>
      <c r="AC115" s="457"/>
      <c r="AD115" s="457"/>
      <c r="AE115" s="457">
        <f>+SUM(N115:AC115)</f>
        <v>5987</v>
      </c>
      <c r="AF115" s="456"/>
      <c r="AG115" s="471">
        <v>1</v>
      </c>
      <c r="AH115" s="462">
        <f t="shared" si="5"/>
        <v>1</v>
      </c>
      <c r="AI115" s="456"/>
      <c r="AJ115" s="791"/>
      <c r="AK115" s="500"/>
      <c r="AL115" s="500"/>
      <c r="AM115" s="500"/>
      <c r="AN115" s="500"/>
      <c r="AO115" s="500"/>
      <c r="AP115" s="500"/>
      <c r="AQ115" s="500"/>
      <c r="AR115" s="500"/>
      <c r="AS115" s="791"/>
      <c r="AT115" s="725"/>
    </row>
    <row r="116" spans="1:46" ht="69.75" customHeight="1" x14ac:dyDescent="0.2">
      <c r="A116" s="729"/>
      <c r="B116" s="763"/>
      <c r="C116" s="770"/>
      <c r="D116" s="709"/>
      <c r="E116" s="506"/>
      <c r="F116" s="506"/>
      <c r="G116" s="506"/>
      <c r="H116" s="506"/>
      <c r="I116" s="506"/>
      <c r="J116" s="483"/>
      <c r="K116" s="483"/>
      <c r="L116" s="483"/>
      <c r="M116" s="483"/>
      <c r="N116" s="483"/>
      <c r="O116" s="456"/>
      <c r="P116" s="456"/>
      <c r="Q116" s="456"/>
      <c r="R116" s="456"/>
      <c r="S116" s="456"/>
      <c r="T116" s="456"/>
      <c r="U116" s="456"/>
      <c r="V116" s="456"/>
      <c r="W116" s="456"/>
      <c r="X116" s="456"/>
      <c r="Y116" s="456"/>
      <c r="Z116" s="456"/>
      <c r="AA116" s="456"/>
      <c r="AB116" s="456"/>
      <c r="AC116" s="456"/>
      <c r="AD116" s="456"/>
      <c r="AE116" s="457"/>
      <c r="AF116" s="456"/>
      <c r="AG116" s="516">
        <f>AVERAGE(AG114:AG115)</f>
        <v>0.91249999999999998</v>
      </c>
      <c r="AH116" s="462">
        <f t="shared" si="5"/>
        <v>0.91249999999999998</v>
      </c>
      <c r="AI116" s="456"/>
      <c r="AJ116" s="456"/>
      <c r="AK116" s="456"/>
      <c r="AL116" s="456"/>
      <c r="AM116" s="456"/>
      <c r="AN116" s="456"/>
      <c r="AO116" s="456"/>
      <c r="AP116" s="456"/>
      <c r="AQ116" s="456"/>
      <c r="AR116" s="456"/>
      <c r="AS116" s="456"/>
      <c r="AT116" s="456"/>
    </row>
    <row r="117" spans="1:46" ht="52.5" customHeight="1" x14ac:dyDescent="0.2">
      <c r="A117" s="729"/>
      <c r="B117" s="763"/>
      <c r="C117" s="770"/>
      <c r="D117" s="707" t="s">
        <v>1104</v>
      </c>
      <c r="E117" s="707"/>
      <c r="F117" s="707"/>
      <c r="G117" s="707"/>
      <c r="H117" s="707"/>
      <c r="I117" s="707"/>
      <c r="J117" s="483" t="s">
        <v>1105</v>
      </c>
      <c r="K117" s="483" t="s">
        <v>1106</v>
      </c>
      <c r="L117" s="518">
        <v>1</v>
      </c>
      <c r="M117" s="518">
        <v>0</v>
      </c>
      <c r="N117" s="518"/>
      <c r="O117" s="456"/>
      <c r="P117" s="457">
        <v>0</v>
      </c>
      <c r="Q117" s="457">
        <v>1</v>
      </c>
      <c r="R117" s="457">
        <v>0</v>
      </c>
      <c r="S117" s="457">
        <v>0</v>
      </c>
      <c r="T117" s="457">
        <v>0</v>
      </c>
      <c r="U117" s="457">
        <v>0</v>
      </c>
      <c r="V117" s="457"/>
      <c r="W117" s="457"/>
      <c r="X117" s="457"/>
      <c r="Y117" s="457">
        <v>0.7</v>
      </c>
      <c r="Z117" s="457">
        <v>0</v>
      </c>
      <c r="AA117" s="457">
        <v>0</v>
      </c>
      <c r="AB117" s="457"/>
      <c r="AC117" s="457"/>
      <c r="AD117" s="457"/>
      <c r="AE117" s="519">
        <f>+SUM(N117:AC117)</f>
        <v>1.7</v>
      </c>
      <c r="AF117" s="456"/>
      <c r="AG117" s="471">
        <v>1</v>
      </c>
      <c r="AH117" s="462">
        <f t="shared" si="5"/>
        <v>1</v>
      </c>
      <c r="AI117" s="456"/>
      <c r="AJ117" s="790">
        <v>408647016</v>
      </c>
      <c r="AK117" s="520"/>
      <c r="AL117" s="520"/>
      <c r="AM117" s="520"/>
      <c r="AN117" s="520"/>
      <c r="AO117" s="520"/>
      <c r="AP117" s="520"/>
      <c r="AQ117" s="520"/>
      <c r="AR117" s="520"/>
      <c r="AS117" s="790">
        <v>343661875</v>
      </c>
      <c r="AT117" s="723">
        <f>+AS117/AJ117</f>
        <v>0.84097487940545734</v>
      </c>
    </row>
    <row r="118" spans="1:46" ht="30" customHeight="1" x14ac:dyDescent="0.2">
      <c r="A118" s="729"/>
      <c r="B118" s="763"/>
      <c r="C118" s="770"/>
      <c r="D118" s="708"/>
      <c r="E118" s="709"/>
      <c r="F118" s="709"/>
      <c r="G118" s="709"/>
      <c r="H118" s="709"/>
      <c r="I118" s="709"/>
      <c r="J118" s="483" t="s">
        <v>1107</v>
      </c>
      <c r="K118" s="483" t="s">
        <v>1108</v>
      </c>
      <c r="L118" s="483">
        <v>20000</v>
      </c>
      <c r="M118" s="483">
        <v>58800</v>
      </c>
      <c r="N118" s="483"/>
      <c r="O118" s="456"/>
      <c r="P118" s="457">
        <v>12755</v>
      </c>
      <c r="Q118" s="457">
        <v>15303</v>
      </c>
      <c r="R118" s="457">
        <v>80</v>
      </c>
      <c r="S118" s="457">
        <v>5723</v>
      </c>
      <c r="T118" s="457">
        <v>23998</v>
      </c>
      <c r="U118" s="457">
        <v>39535</v>
      </c>
      <c r="V118" s="457">
        <v>406</v>
      </c>
      <c r="W118" s="457">
        <v>2288</v>
      </c>
      <c r="X118" s="457">
        <v>2688</v>
      </c>
      <c r="Y118" s="457">
        <v>3358</v>
      </c>
      <c r="Z118" s="457">
        <v>0</v>
      </c>
      <c r="AA118" s="457">
        <v>0</v>
      </c>
      <c r="AB118" s="457"/>
      <c r="AC118" s="457"/>
      <c r="AD118" s="457"/>
      <c r="AE118" s="457">
        <f>+U118+Y118</f>
        <v>42893</v>
      </c>
      <c r="AF118" s="456"/>
      <c r="AG118" s="471">
        <v>1</v>
      </c>
      <c r="AH118" s="462">
        <f t="shared" si="5"/>
        <v>1</v>
      </c>
      <c r="AI118" s="456"/>
      <c r="AJ118" s="791"/>
      <c r="AK118" s="520"/>
      <c r="AL118" s="520"/>
      <c r="AM118" s="520"/>
      <c r="AN118" s="520"/>
      <c r="AO118" s="520"/>
      <c r="AP118" s="520"/>
      <c r="AQ118" s="520"/>
      <c r="AR118" s="520"/>
      <c r="AS118" s="791"/>
      <c r="AT118" s="725"/>
    </row>
    <row r="119" spans="1:46" ht="60" customHeight="1" x14ac:dyDescent="0.2">
      <c r="A119" s="729"/>
      <c r="B119" s="763"/>
      <c r="C119" s="770"/>
      <c r="D119" s="709"/>
      <c r="E119" s="496"/>
      <c r="F119" s="496"/>
      <c r="G119" s="496"/>
      <c r="H119" s="496"/>
      <c r="I119" s="496"/>
      <c r="J119" s="483"/>
      <c r="K119" s="483"/>
      <c r="L119" s="483"/>
      <c r="M119" s="483"/>
      <c r="N119" s="483"/>
      <c r="O119" s="456"/>
      <c r="P119" s="456"/>
      <c r="Q119" s="456"/>
      <c r="R119" s="456"/>
      <c r="S119" s="456"/>
      <c r="T119" s="456"/>
      <c r="U119" s="456"/>
      <c r="V119" s="456"/>
      <c r="W119" s="456"/>
      <c r="X119" s="456"/>
      <c r="Y119" s="456"/>
      <c r="Z119" s="456"/>
      <c r="AA119" s="456"/>
      <c r="AB119" s="456"/>
      <c r="AC119" s="456"/>
      <c r="AD119" s="456"/>
      <c r="AE119" s="457"/>
      <c r="AF119" s="456"/>
      <c r="AG119" s="516">
        <f>AVERAGE(AG117:AG118)</f>
        <v>1</v>
      </c>
      <c r="AH119" s="462">
        <f t="shared" si="5"/>
        <v>1</v>
      </c>
      <c r="AI119" s="456"/>
      <c r="AJ119" s="456"/>
      <c r="AK119" s="456"/>
      <c r="AL119" s="456"/>
      <c r="AM119" s="456"/>
      <c r="AN119" s="456"/>
      <c r="AO119" s="456"/>
      <c r="AP119" s="456"/>
      <c r="AQ119" s="456"/>
      <c r="AR119" s="456"/>
      <c r="AS119" s="456"/>
      <c r="AT119" s="456"/>
    </row>
    <row r="120" spans="1:46" ht="93" customHeight="1" x14ac:dyDescent="0.2">
      <c r="A120" s="729"/>
      <c r="B120" s="763"/>
      <c r="C120" s="770"/>
      <c r="D120" s="707" t="s">
        <v>1109</v>
      </c>
      <c r="E120" s="456"/>
      <c r="F120" s="456"/>
      <c r="G120" s="456"/>
      <c r="H120" s="456"/>
      <c r="I120" s="456"/>
      <c r="J120" s="483" t="s">
        <v>1110</v>
      </c>
      <c r="K120" s="483" t="s">
        <v>1111</v>
      </c>
      <c r="L120" s="483">
        <v>2</v>
      </c>
      <c r="M120" s="483">
        <v>0</v>
      </c>
      <c r="N120" s="483"/>
      <c r="O120" s="456"/>
      <c r="P120" s="457">
        <v>0</v>
      </c>
      <c r="Q120" s="457">
        <v>0</v>
      </c>
      <c r="R120" s="457">
        <v>0</v>
      </c>
      <c r="S120" s="457">
        <v>0</v>
      </c>
      <c r="T120" s="457">
        <v>2</v>
      </c>
      <c r="U120" s="457">
        <v>0</v>
      </c>
      <c r="V120" s="457"/>
      <c r="W120" s="457"/>
      <c r="X120" s="457">
        <v>0</v>
      </c>
      <c r="Y120" s="457">
        <v>0</v>
      </c>
      <c r="Z120" s="457">
        <v>0</v>
      </c>
      <c r="AA120" s="457">
        <v>0</v>
      </c>
      <c r="AB120" s="457"/>
      <c r="AC120" s="457"/>
      <c r="AD120" s="457"/>
      <c r="AE120" s="457">
        <f>+SUM(N120:AC120)</f>
        <v>2</v>
      </c>
      <c r="AF120" s="456"/>
      <c r="AG120" s="471">
        <v>1</v>
      </c>
      <c r="AH120" s="462">
        <f t="shared" si="5"/>
        <v>1</v>
      </c>
      <c r="AI120" s="456"/>
      <c r="AJ120" s="456"/>
      <c r="AK120" s="456"/>
      <c r="AL120" s="456"/>
      <c r="AM120" s="456"/>
      <c r="AN120" s="456"/>
      <c r="AO120" s="456"/>
      <c r="AP120" s="456"/>
      <c r="AQ120" s="456"/>
      <c r="AR120" s="456"/>
      <c r="AS120" s="456"/>
      <c r="AT120" s="456"/>
    </row>
    <row r="121" spans="1:46" ht="93" customHeight="1" x14ac:dyDescent="0.2">
      <c r="A121" s="729"/>
      <c r="B121" s="763"/>
      <c r="C121" s="770"/>
      <c r="D121" s="709"/>
      <c r="E121" s="521"/>
      <c r="F121" s="521"/>
      <c r="G121" s="521"/>
      <c r="H121" s="521"/>
      <c r="I121" s="521"/>
      <c r="J121" s="483"/>
      <c r="K121" s="483"/>
      <c r="L121" s="483"/>
      <c r="M121" s="483"/>
      <c r="N121" s="483"/>
      <c r="O121" s="456"/>
      <c r="P121" s="456"/>
      <c r="Q121" s="456"/>
      <c r="R121" s="456"/>
      <c r="S121" s="456"/>
      <c r="T121" s="456"/>
      <c r="U121" s="456"/>
      <c r="V121" s="456"/>
      <c r="W121" s="456"/>
      <c r="X121" s="456"/>
      <c r="Y121" s="456"/>
      <c r="Z121" s="456"/>
      <c r="AA121" s="456"/>
      <c r="AB121" s="456"/>
      <c r="AC121" s="456"/>
      <c r="AD121" s="456"/>
      <c r="AE121" s="457"/>
      <c r="AF121" s="456"/>
      <c r="AG121" s="516">
        <f>AVERAGE(AG120)</f>
        <v>1</v>
      </c>
      <c r="AH121" s="462">
        <f t="shared" si="5"/>
        <v>1</v>
      </c>
      <c r="AI121" s="456"/>
      <c r="AJ121" s="456"/>
      <c r="AK121" s="456"/>
      <c r="AL121" s="456"/>
      <c r="AM121" s="456"/>
      <c r="AN121" s="456"/>
      <c r="AO121" s="456"/>
      <c r="AP121" s="456"/>
      <c r="AQ121" s="456"/>
      <c r="AR121" s="456"/>
      <c r="AS121" s="456"/>
      <c r="AT121" s="456"/>
    </row>
    <row r="122" spans="1:46" ht="123" customHeight="1" x14ac:dyDescent="0.2">
      <c r="A122" s="729"/>
      <c r="B122" s="763"/>
      <c r="C122" s="770"/>
      <c r="D122" s="718" t="s">
        <v>1112</v>
      </c>
      <c r="E122" s="744"/>
      <c r="F122" s="744"/>
      <c r="G122" s="744"/>
      <c r="H122" s="744"/>
      <c r="I122" s="744"/>
      <c r="J122" s="483" t="s">
        <v>1113</v>
      </c>
      <c r="K122" s="483" t="s">
        <v>1114</v>
      </c>
      <c r="L122" s="483">
        <v>4</v>
      </c>
      <c r="M122" s="483">
        <v>1</v>
      </c>
      <c r="N122" s="483"/>
      <c r="O122" s="456"/>
      <c r="P122" s="457">
        <v>0</v>
      </c>
      <c r="Q122" s="457">
        <v>0</v>
      </c>
      <c r="R122" s="457">
        <v>0</v>
      </c>
      <c r="S122" s="457">
        <v>1</v>
      </c>
      <c r="T122" s="457">
        <v>1</v>
      </c>
      <c r="U122" s="457">
        <v>0</v>
      </c>
      <c r="V122" s="457"/>
      <c r="W122" s="457"/>
      <c r="X122" s="457">
        <v>0.3</v>
      </c>
      <c r="Y122" s="457"/>
      <c r="Z122" s="457"/>
      <c r="AA122" s="457"/>
      <c r="AB122" s="457"/>
      <c r="AC122" s="457"/>
      <c r="AD122" s="457"/>
      <c r="AE122" s="457">
        <f>+SUM(N122:AC122)</f>
        <v>2.2999999999999998</v>
      </c>
      <c r="AF122" s="456"/>
      <c r="AG122" s="471">
        <f>+(AE122/L122)</f>
        <v>0.57499999999999996</v>
      </c>
      <c r="AH122" s="462">
        <f t="shared" si="5"/>
        <v>0.57499999999999996</v>
      </c>
      <c r="AI122" s="456"/>
      <c r="AJ122" s="793">
        <v>1259674800</v>
      </c>
      <c r="AK122" s="522"/>
      <c r="AL122" s="522"/>
      <c r="AM122" s="522"/>
      <c r="AN122" s="522"/>
      <c r="AO122" s="522"/>
      <c r="AP122" s="522"/>
      <c r="AQ122" s="522"/>
      <c r="AR122" s="522"/>
      <c r="AS122" s="793">
        <v>1259674800</v>
      </c>
      <c r="AT122" s="723">
        <f>+AS122/AJ122</f>
        <v>1</v>
      </c>
    </row>
    <row r="123" spans="1:46" ht="67.5" x14ac:dyDescent="0.2">
      <c r="A123" s="729"/>
      <c r="B123" s="763"/>
      <c r="C123" s="770"/>
      <c r="D123" s="718"/>
      <c r="E123" s="744"/>
      <c r="F123" s="744"/>
      <c r="G123" s="744"/>
      <c r="H123" s="744"/>
      <c r="I123" s="744"/>
      <c r="J123" s="483" t="s">
        <v>1115</v>
      </c>
      <c r="K123" s="483" t="s">
        <v>1116</v>
      </c>
      <c r="L123" s="483">
        <v>4</v>
      </c>
      <c r="M123" s="483">
        <v>0</v>
      </c>
      <c r="N123" s="483"/>
      <c r="O123" s="456"/>
      <c r="P123" s="457">
        <v>0</v>
      </c>
      <c r="Q123" s="457">
        <v>1</v>
      </c>
      <c r="R123" s="457">
        <v>0</v>
      </c>
      <c r="S123" s="457">
        <v>1</v>
      </c>
      <c r="T123" s="457">
        <v>0</v>
      </c>
      <c r="U123" s="457">
        <v>0</v>
      </c>
      <c r="V123" s="457"/>
      <c r="W123" s="457"/>
      <c r="X123" s="457">
        <v>0.3</v>
      </c>
      <c r="Y123" s="457">
        <v>0.6</v>
      </c>
      <c r="Z123" s="457"/>
      <c r="AA123" s="457"/>
      <c r="AB123" s="457"/>
      <c r="AC123" s="457"/>
      <c r="AD123" s="457"/>
      <c r="AE123" s="457">
        <f>+SUM(N123:AC123)</f>
        <v>2.9</v>
      </c>
      <c r="AF123" s="456"/>
      <c r="AG123" s="471">
        <f>+(AE123/L123)</f>
        <v>0.72499999999999998</v>
      </c>
      <c r="AH123" s="462">
        <f t="shared" si="5"/>
        <v>0.72499999999999998</v>
      </c>
      <c r="AI123" s="456"/>
      <c r="AJ123" s="794"/>
      <c r="AK123" s="522"/>
      <c r="AL123" s="522"/>
      <c r="AM123" s="522"/>
      <c r="AN123" s="522"/>
      <c r="AO123" s="522"/>
      <c r="AP123" s="522"/>
      <c r="AQ123" s="522"/>
      <c r="AR123" s="522"/>
      <c r="AS123" s="794"/>
      <c r="AT123" s="725"/>
    </row>
    <row r="124" spans="1:46" ht="47.25" customHeight="1" x14ac:dyDescent="0.2">
      <c r="A124" s="729"/>
      <c r="B124" s="763"/>
      <c r="C124" s="770"/>
      <c r="D124" s="718"/>
      <c r="E124" s="744"/>
      <c r="F124" s="744"/>
      <c r="G124" s="744"/>
      <c r="H124" s="744"/>
      <c r="I124" s="744"/>
      <c r="J124" s="496"/>
      <c r="K124" s="496"/>
      <c r="L124" s="496"/>
      <c r="M124" s="496"/>
      <c r="N124" s="496"/>
      <c r="O124" s="456"/>
      <c r="P124" s="456"/>
      <c r="Q124" s="456"/>
      <c r="R124" s="456"/>
      <c r="S124" s="456"/>
      <c r="T124" s="456"/>
      <c r="U124" s="456"/>
      <c r="V124" s="456"/>
      <c r="W124" s="456"/>
      <c r="X124" s="456"/>
      <c r="Y124" s="456"/>
      <c r="Z124" s="456"/>
      <c r="AA124" s="456"/>
      <c r="AB124" s="456"/>
      <c r="AC124" s="456"/>
      <c r="AD124" s="456"/>
      <c r="AE124" s="457"/>
      <c r="AF124" s="456"/>
      <c r="AG124" s="516">
        <f>AVERAGE(AG122:AG123)</f>
        <v>0.64999999999999991</v>
      </c>
      <c r="AH124" s="462">
        <f t="shared" si="5"/>
        <v>0.64999999999999991</v>
      </c>
      <c r="AI124" s="456"/>
      <c r="AJ124" s="456"/>
      <c r="AK124" s="456"/>
      <c r="AL124" s="456"/>
      <c r="AM124" s="456"/>
      <c r="AN124" s="456"/>
      <c r="AO124" s="456"/>
      <c r="AP124" s="456"/>
      <c r="AQ124" s="456"/>
      <c r="AR124" s="456"/>
      <c r="AS124" s="456"/>
      <c r="AT124" s="456"/>
    </row>
    <row r="125" spans="1:46" ht="56.25" customHeight="1" x14ac:dyDescent="0.2">
      <c r="A125" s="729"/>
      <c r="B125" s="763"/>
      <c r="C125" s="771"/>
      <c r="D125" s="506"/>
      <c r="E125" s="517"/>
      <c r="F125" s="517"/>
      <c r="G125" s="517"/>
      <c r="H125" s="517"/>
      <c r="I125" s="517"/>
      <c r="J125" s="496"/>
      <c r="K125" s="496"/>
      <c r="L125" s="496"/>
      <c r="M125" s="496"/>
      <c r="N125" s="496"/>
      <c r="O125" s="456"/>
      <c r="P125" s="456"/>
      <c r="Q125" s="456"/>
      <c r="R125" s="456"/>
      <c r="S125" s="456"/>
      <c r="T125" s="456"/>
      <c r="U125" s="456"/>
      <c r="V125" s="456"/>
      <c r="W125" s="456"/>
      <c r="X125" s="456"/>
      <c r="Y125" s="456"/>
      <c r="Z125" s="456"/>
      <c r="AA125" s="456"/>
      <c r="AB125" s="456"/>
      <c r="AC125" s="456"/>
      <c r="AD125" s="456"/>
      <c r="AE125" s="457"/>
      <c r="AF125" s="456"/>
      <c r="AG125" s="509">
        <f>+(AG116+AG119+AG121+AG124)/4</f>
        <v>0.890625</v>
      </c>
      <c r="AH125" s="462">
        <f t="shared" si="5"/>
        <v>0.890625</v>
      </c>
      <c r="AI125" s="456"/>
      <c r="AJ125" s="456"/>
      <c r="AK125" s="456"/>
      <c r="AL125" s="456"/>
      <c r="AM125" s="456"/>
      <c r="AN125" s="456"/>
      <c r="AO125" s="456"/>
      <c r="AP125" s="456"/>
      <c r="AQ125" s="456"/>
      <c r="AR125" s="456"/>
      <c r="AS125" s="456"/>
      <c r="AT125" s="456"/>
    </row>
    <row r="126" spans="1:46" ht="95.25" customHeight="1" x14ac:dyDescent="0.2">
      <c r="A126" s="729"/>
      <c r="B126" s="763"/>
      <c r="C126" s="772" t="s">
        <v>1117</v>
      </c>
      <c r="D126" s="707" t="s">
        <v>1118</v>
      </c>
      <c r="E126" s="707" t="s">
        <v>1120</v>
      </c>
      <c r="F126" s="707" t="s">
        <v>1119</v>
      </c>
      <c r="G126" s="719">
        <v>0.3</v>
      </c>
      <c r="H126" s="719">
        <v>0</v>
      </c>
      <c r="I126" s="707" t="s">
        <v>1121</v>
      </c>
      <c r="J126" s="454" t="s">
        <v>1122</v>
      </c>
      <c r="K126" s="454" t="s">
        <v>1123</v>
      </c>
      <c r="L126" s="455">
        <v>3</v>
      </c>
      <c r="M126" s="455">
        <v>0</v>
      </c>
      <c r="N126" s="455"/>
      <c r="O126" s="456"/>
      <c r="P126" s="457">
        <v>0</v>
      </c>
      <c r="Q126" s="457">
        <v>0</v>
      </c>
      <c r="R126" s="457">
        <v>0</v>
      </c>
      <c r="S126" s="457">
        <v>0</v>
      </c>
      <c r="T126" s="457">
        <v>0</v>
      </c>
      <c r="U126" s="457">
        <v>0</v>
      </c>
      <c r="V126" s="457"/>
      <c r="W126" s="457"/>
      <c r="X126" s="457">
        <v>0</v>
      </c>
      <c r="Y126" s="457"/>
      <c r="Z126" s="457"/>
      <c r="AA126" s="457"/>
      <c r="AB126" s="457"/>
      <c r="AC126" s="457"/>
      <c r="AD126" s="457"/>
      <c r="AE126" s="457">
        <f t="shared" ref="AE126:AE133" si="6">+SUM(N126:AC126)</f>
        <v>0</v>
      </c>
      <c r="AF126" s="456"/>
      <c r="AG126" s="471">
        <f t="shared" ref="AG126:AG133" si="7">+(AE126/L126)</f>
        <v>0</v>
      </c>
      <c r="AH126" s="462">
        <f t="shared" si="5"/>
        <v>0</v>
      </c>
      <c r="AI126" s="456"/>
      <c r="AJ126" s="456"/>
      <c r="AK126" s="456"/>
      <c r="AL126" s="456"/>
      <c r="AM126" s="456"/>
      <c r="AN126" s="456"/>
      <c r="AO126" s="456"/>
      <c r="AP126" s="456"/>
      <c r="AQ126" s="456"/>
      <c r="AR126" s="456"/>
      <c r="AS126" s="456"/>
      <c r="AT126" s="456"/>
    </row>
    <row r="127" spans="1:46" ht="33.75" x14ac:dyDescent="0.2">
      <c r="A127" s="729"/>
      <c r="B127" s="763"/>
      <c r="C127" s="773"/>
      <c r="D127" s="708"/>
      <c r="E127" s="708"/>
      <c r="F127" s="708"/>
      <c r="G127" s="720"/>
      <c r="H127" s="720"/>
      <c r="I127" s="708"/>
      <c r="J127" s="454" t="s">
        <v>1124</v>
      </c>
      <c r="K127" s="454" t="s">
        <v>1123</v>
      </c>
      <c r="L127" s="465">
        <v>2</v>
      </c>
      <c r="M127" s="465">
        <v>0</v>
      </c>
      <c r="N127" s="465"/>
      <c r="O127" s="456"/>
      <c r="P127" s="457">
        <v>0</v>
      </c>
      <c r="Q127" s="457">
        <v>0</v>
      </c>
      <c r="R127" s="457">
        <v>0</v>
      </c>
      <c r="S127" s="457">
        <v>0</v>
      </c>
      <c r="T127" s="457">
        <v>0</v>
      </c>
      <c r="U127" s="457">
        <v>0.53</v>
      </c>
      <c r="V127" s="457"/>
      <c r="W127" s="457"/>
      <c r="X127" s="457">
        <v>0</v>
      </c>
      <c r="Y127" s="457"/>
      <c r="Z127" s="457"/>
      <c r="AA127" s="457"/>
      <c r="AB127" s="457"/>
      <c r="AC127" s="457"/>
      <c r="AD127" s="457"/>
      <c r="AE127" s="457">
        <f t="shared" si="6"/>
        <v>0.53</v>
      </c>
      <c r="AF127" s="456"/>
      <c r="AG127" s="471">
        <f t="shared" si="7"/>
        <v>0.26500000000000001</v>
      </c>
      <c r="AH127" s="462">
        <f t="shared" si="5"/>
        <v>0.26500000000000001</v>
      </c>
      <c r="AI127" s="456"/>
      <c r="AJ127" s="456"/>
      <c r="AK127" s="456"/>
      <c r="AL127" s="456"/>
      <c r="AM127" s="456"/>
      <c r="AN127" s="456"/>
      <c r="AO127" s="456"/>
      <c r="AP127" s="456"/>
      <c r="AQ127" s="456"/>
      <c r="AR127" s="456"/>
      <c r="AS127" s="456"/>
      <c r="AT127" s="456"/>
    </row>
    <row r="128" spans="1:46" ht="33.75" x14ac:dyDescent="0.2">
      <c r="A128" s="729"/>
      <c r="B128" s="763"/>
      <c r="C128" s="773"/>
      <c r="D128" s="708"/>
      <c r="E128" s="708"/>
      <c r="F128" s="708"/>
      <c r="G128" s="720"/>
      <c r="H128" s="720"/>
      <c r="I128" s="708"/>
      <c r="J128" s="454" t="s">
        <v>1125</v>
      </c>
      <c r="K128" s="454" t="s">
        <v>1126</v>
      </c>
      <c r="L128" s="465">
        <v>1</v>
      </c>
      <c r="M128" s="465">
        <v>0</v>
      </c>
      <c r="N128" s="465"/>
      <c r="O128" s="456"/>
      <c r="P128" s="457">
        <v>0</v>
      </c>
      <c r="Q128" s="457">
        <v>0</v>
      </c>
      <c r="R128" s="457">
        <v>0</v>
      </c>
      <c r="S128" s="457">
        <v>0</v>
      </c>
      <c r="T128" s="457">
        <v>0</v>
      </c>
      <c r="U128" s="457">
        <v>0</v>
      </c>
      <c r="V128" s="457"/>
      <c r="W128" s="457"/>
      <c r="X128" s="457"/>
      <c r="Y128" s="457"/>
      <c r="Z128" s="457"/>
      <c r="AA128" s="457"/>
      <c r="AB128" s="457"/>
      <c r="AC128" s="457"/>
      <c r="AD128" s="457"/>
      <c r="AE128" s="457">
        <f t="shared" si="6"/>
        <v>0</v>
      </c>
      <c r="AF128" s="456"/>
      <c r="AG128" s="471">
        <f t="shared" si="7"/>
        <v>0</v>
      </c>
      <c r="AH128" s="462">
        <f t="shared" si="5"/>
        <v>0</v>
      </c>
      <c r="AI128" s="456"/>
      <c r="AJ128" s="456"/>
      <c r="AK128" s="456"/>
      <c r="AL128" s="456"/>
      <c r="AM128" s="456"/>
      <c r="AN128" s="456"/>
      <c r="AO128" s="456"/>
      <c r="AP128" s="456"/>
      <c r="AQ128" s="456"/>
      <c r="AR128" s="456"/>
      <c r="AS128" s="456"/>
      <c r="AT128" s="456"/>
    </row>
    <row r="129" spans="1:46" ht="33.75" x14ac:dyDescent="0.2">
      <c r="A129" s="729"/>
      <c r="B129" s="763"/>
      <c r="C129" s="773"/>
      <c r="D129" s="708"/>
      <c r="E129" s="708"/>
      <c r="F129" s="708"/>
      <c r="G129" s="720"/>
      <c r="H129" s="720"/>
      <c r="I129" s="708"/>
      <c r="J129" s="454" t="s">
        <v>1127</v>
      </c>
      <c r="K129" s="454" t="s">
        <v>1128</v>
      </c>
      <c r="L129" s="465">
        <v>1</v>
      </c>
      <c r="M129" s="465">
        <v>1</v>
      </c>
      <c r="N129" s="465"/>
      <c r="O129" s="456"/>
      <c r="P129" s="457">
        <v>0</v>
      </c>
      <c r="Q129" s="457">
        <v>0</v>
      </c>
      <c r="R129" s="457">
        <v>0</v>
      </c>
      <c r="S129" s="457">
        <v>0</v>
      </c>
      <c r="T129" s="457">
        <v>0</v>
      </c>
      <c r="U129" s="457">
        <v>0</v>
      </c>
      <c r="V129" s="457"/>
      <c r="W129" s="457"/>
      <c r="X129" s="457">
        <v>0</v>
      </c>
      <c r="Y129" s="457">
        <v>0.3</v>
      </c>
      <c r="Z129" s="457"/>
      <c r="AA129" s="457"/>
      <c r="AB129" s="457"/>
      <c r="AC129" s="457"/>
      <c r="AD129" s="457"/>
      <c r="AE129" s="457">
        <f t="shared" si="6"/>
        <v>0.3</v>
      </c>
      <c r="AF129" s="456"/>
      <c r="AG129" s="471">
        <f t="shared" si="7"/>
        <v>0.3</v>
      </c>
      <c r="AH129" s="462">
        <f t="shared" si="5"/>
        <v>0.3</v>
      </c>
      <c r="AI129" s="456"/>
      <c r="AJ129" s="456"/>
      <c r="AK129" s="456"/>
      <c r="AL129" s="456"/>
      <c r="AM129" s="456"/>
      <c r="AN129" s="456"/>
      <c r="AO129" s="456"/>
      <c r="AP129" s="456"/>
      <c r="AQ129" s="456"/>
      <c r="AR129" s="456"/>
      <c r="AS129" s="456"/>
      <c r="AT129" s="456"/>
    </row>
    <row r="130" spans="1:46" ht="33.75" x14ac:dyDescent="0.2">
      <c r="A130" s="729"/>
      <c r="B130" s="763"/>
      <c r="C130" s="773"/>
      <c r="D130" s="708"/>
      <c r="E130" s="708"/>
      <c r="F130" s="708"/>
      <c r="G130" s="720"/>
      <c r="H130" s="720"/>
      <c r="I130" s="708"/>
      <c r="J130" s="454" t="s">
        <v>1129</v>
      </c>
      <c r="K130" s="454" t="s">
        <v>1130</v>
      </c>
      <c r="L130" s="465">
        <v>1</v>
      </c>
      <c r="M130" s="465">
        <v>0</v>
      </c>
      <c r="N130" s="465"/>
      <c r="O130" s="456"/>
      <c r="P130" s="457">
        <v>0</v>
      </c>
      <c r="Q130" s="457">
        <v>0</v>
      </c>
      <c r="R130" s="457">
        <v>0</v>
      </c>
      <c r="S130" s="457">
        <v>0</v>
      </c>
      <c r="T130" s="519">
        <v>0.33</v>
      </c>
      <c r="U130" s="457">
        <v>0</v>
      </c>
      <c r="V130" s="457">
        <v>0</v>
      </c>
      <c r="W130" s="457">
        <v>0</v>
      </c>
      <c r="X130" s="457">
        <v>0</v>
      </c>
      <c r="Y130" s="457">
        <v>0.3</v>
      </c>
      <c r="Z130" s="457"/>
      <c r="AA130" s="457"/>
      <c r="AB130" s="457"/>
      <c r="AC130" s="457"/>
      <c r="AD130" s="457"/>
      <c r="AE130" s="457">
        <f>+SUM(N130:AC130)+Y130</f>
        <v>0.92999999999999994</v>
      </c>
      <c r="AF130" s="456"/>
      <c r="AG130" s="471">
        <f t="shared" si="7"/>
        <v>0.92999999999999994</v>
      </c>
      <c r="AH130" s="462">
        <f t="shared" si="5"/>
        <v>0.92999999999999994</v>
      </c>
      <c r="AI130" s="456"/>
      <c r="AJ130" s="456"/>
      <c r="AK130" s="456"/>
      <c r="AL130" s="456"/>
      <c r="AM130" s="456"/>
      <c r="AN130" s="456"/>
      <c r="AO130" s="456"/>
      <c r="AP130" s="456"/>
      <c r="AQ130" s="456"/>
      <c r="AR130" s="456"/>
      <c r="AS130" s="456"/>
      <c r="AT130" s="456"/>
    </row>
    <row r="131" spans="1:46" ht="56.25" x14ac:dyDescent="0.2">
      <c r="A131" s="729"/>
      <c r="B131" s="763"/>
      <c r="C131" s="773"/>
      <c r="D131" s="708"/>
      <c r="E131" s="708"/>
      <c r="F131" s="708"/>
      <c r="G131" s="720"/>
      <c r="H131" s="720"/>
      <c r="I131" s="708"/>
      <c r="J131" s="454" t="s">
        <v>1131</v>
      </c>
      <c r="K131" s="454" t="s">
        <v>1132</v>
      </c>
      <c r="L131" s="465">
        <v>1</v>
      </c>
      <c r="M131" s="465">
        <v>0</v>
      </c>
      <c r="N131" s="465"/>
      <c r="O131" s="456"/>
      <c r="P131" s="457">
        <v>0</v>
      </c>
      <c r="Q131" s="457">
        <v>0</v>
      </c>
      <c r="R131" s="457">
        <v>0</v>
      </c>
      <c r="S131" s="457">
        <v>0</v>
      </c>
      <c r="T131" s="457">
        <v>0</v>
      </c>
      <c r="U131" s="457">
        <v>0</v>
      </c>
      <c r="V131" s="457">
        <v>0</v>
      </c>
      <c r="W131" s="457">
        <v>0</v>
      </c>
      <c r="X131" s="457">
        <v>0</v>
      </c>
      <c r="Y131" s="457">
        <v>0</v>
      </c>
      <c r="Z131" s="457"/>
      <c r="AA131" s="457"/>
      <c r="AB131" s="457"/>
      <c r="AC131" s="457"/>
      <c r="AD131" s="457"/>
      <c r="AE131" s="457">
        <f t="shared" si="6"/>
        <v>0</v>
      </c>
      <c r="AF131" s="456"/>
      <c r="AG131" s="471">
        <f t="shared" si="7"/>
        <v>0</v>
      </c>
      <c r="AH131" s="462">
        <f t="shared" si="5"/>
        <v>0</v>
      </c>
      <c r="AI131" s="456"/>
      <c r="AJ131" s="456"/>
      <c r="AK131" s="456"/>
      <c r="AL131" s="456"/>
      <c r="AM131" s="456"/>
      <c r="AN131" s="456"/>
      <c r="AO131" s="456"/>
      <c r="AP131" s="456"/>
      <c r="AQ131" s="456"/>
      <c r="AR131" s="456"/>
      <c r="AS131" s="456"/>
      <c r="AT131" s="456"/>
    </row>
    <row r="132" spans="1:46" ht="45" x14ac:dyDescent="0.2">
      <c r="A132" s="729"/>
      <c r="B132" s="763"/>
      <c r="C132" s="773"/>
      <c r="D132" s="708"/>
      <c r="E132" s="708"/>
      <c r="F132" s="708"/>
      <c r="G132" s="720"/>
      <c r="H132" s="720"/>
      <c r="I132" s="708"/>
      <c r="J132" s="454" t="s">
        <v>1133</v>
      </c>
      <c r="K132" s="454" t="s">
        <v>1134</v>
      </c>
      <c r="L132" s="465">
        <v>1</v>
      </c>
      <c r="M132" s="465">
        <v>0</v>
      </c>
      <c r="N132" s="465"/>
      <c r="O132" s="456"/>
      <c r="P132" s="457">
        <v>0</v>
      </c>
      <c r="Q132" s="457">
        <v>0</v>
      </c>
      <c r="R132" s="457">
        <v>0</v>
      </c>
      <c r="S132" s="457">
        <v>0</v>
      </c>
      <c r="T132" s="457">
        <v>0</v>
      </c>
      <c r="U132" s="457">
        <v>0</v>
      </c>
      <c r="V132" s="457">
        <v>0</v>
      </c>
      <c r="W132" s="457">
        <v>0</v>
      </c>
      <c r="X132" s="457">
        <v>0</v>
      </c>
      <c r="Y132" s="457">
        <v>1</v>
      </c>
      <c r="Z132" s="457"/>
      <c r="AA132" s="457"/>
      <c r="AB132" s="457"/>
      <c r="AC132" s="457"/>
      <c r="AD132" s="457"/>
      <c r="AE132" s="457">
        <f t="shared" si="6"/>
        <v>1</v>
      </c>
      <c r="AF132" s="456"/>
      <c r="AG132" s="471">
        <f t="shared" si="7"/>
        <v>1</v>
      </c>
      <c r="AH132" s="462">
        <f t="shared" ref="AH132:AH195" si="8">+AG132</f>
        <v>1</v>
      </c>
      <c r="AI132" s="456"/>
      <c r="AJ132" s="456"/>
      <c r="AK132" s="456"/>
      <c r="AL132" s="456"/>
      <c r="AM132" s="456"/>
      <c r="AN132" s="456"/>
      <c r="AO132" s="456"/>
      <c r="AP132" s="456"/>
      <c r="AQ132" s="456"/>
      <c r="AR132" s="456"/>
      <c r="AS132" s="456"/>
      <c r="AT132" s="456"/>
    </row>
    <row r="133" spans="1:46" ht="33.75" x14ac:dyDescent="0.2">
      <c r="A133" s="729"/>
      <c r="B133" s="763"/>
      <c r="C133" s="773"/>
      <c r="D133" s="708"/>
      <c r="E133" s="708"/>
      <c r="F133" s="708"/>
      <c r="G133" s="720"/>
      <c r="H133" s="720"/>
      <c r="I133" s="708"/>
      <c r="J133" s="454" t="s">
        <v>1135</v>
      </c>
      <c r="K133" s="454" t="s">
        <v>1136</v>
      </c>
      <c r="L133" s="465">
        <v>1</v>
      </c>
      <c r="M133" s="465">
        <v>0</v>
      </c>
      <c r="N133" s="465"/>
      <c r="O133" s="456"/>
      <c r="P133" s="457">
        <v>0</v>
      </c>
      <c r="Q133" s="457">
        <v>0</v>
      </c>
      <c r="R133" s="457">
        <v>0</v>
      </c>
      <c r="S133" s="457">
        <v>0</v>
      </c>
      <c r="T133" s="457">
        <v>0</v>
      </c>
      <c r="U133" s="457">
        <v>0</v>
      </c>
      <c r="V133" s="457">
        <v>0</v>
      </c>
      <c r="W133" s="457">
        <v>0</v>
      </c>
      <c r="X133" s="457">
        <v>0</v>
      </c>
      <c r="Y133" s="457">
        <v>0</v>
      </c>
      <c r="Z133" s="457"/>
      <c r="AA133" s="457"/>
      <c r="AB133" s="457"/>
      <c r="AC133" s="457"/>
      <c r="AD133" s="457"/>
      <c r="AE133" s="457">
        <f t="shared" si="6"/>
        <v>0</v>
      </c>
      <c r="AF133" s="456"/>
      <c r="AG133" s="471">
        <f t="shared" si="7"/>
        <v>0</v>
      </c>
      <c r="AH133" s="462">
        <f t="shared" si="8"/>
        <v>0</v>
      </c>
      <c r="AI133" s="456"/>
      <c r="AJ133" s="456"/>
      <c r="AK133" s="456"/>
      <c r="AL133" s="456"/>
      <c r="AM133" s="456"/>
      <c r="AN133" s="456"/>
      <c r="AO133" s="456"/>
      <c r="AP133" s="456"/>
      <c r="AQ133" s="456"/>
      <c r="AR133" s="456"/>
      <c r="AS133" s="456"/>
      <c r="AT133" s="456"/>
    </row>
    <row r="134" spans="1:46" ht="41.25" customHeight="1" x14ac:dyDescent="0.2">
      <c r="A134" s="729"/>
      <c r="B134" s="763"/>
      <c r="C134" s="773"/>
      <c r="D134" s="708"/>
      <c r="E134" s="708"/>
      <c r="F134" s="708"/>
      <c r="G134" s="720"/>
      <c r="H134" s="720"/>
      <c r="I134" s="709"/>
      <c r="J134" s="454"/>
      <c r="K134" s="454"/>
      <c r="L134" s="465"/>
      <c r="M134" s="465"/>
      <c r="N134" s="465"/>
      <c r="O134" s="456"/>
      <c r="P134" s="456"/>
      <c r="Q134" s="456"/>
      <c r="R134" s="456"/>
      <c r="S134" s="456"/>
      <c r="T134" s="456"/>
      <c r="U134" s="456"/>
      <c r="V134" s="456"/>
      <c r="W134" s="456"/>
      <c r="X134" s="456"/>
      <c r="Y134" s="456"/>
      <c r="Z134" s="456"/>
      <c r="AA134" s="456"/>
      <c r="AB134" s="456"/>
      <c r="AC134" s="456"/>
      <c r="AD134" s="456"/>
      <c r="AE134" s="457"/>
      <c r="AF134" s="456"/>
      <c r="AG134" s="492">
        <f>AVERAGE(AG126:AG133)</f>
        <v>0.31187500000000001</v>
      </c>
      <c r="AH134" s="462">
        <f t="shared" si="8"/>
        <v>0.31187500000000001</v>
      </c>
      <c r="AI134" s="456"/>
      <c r="AJ134" s="456"/>
      <c r="AK134" s="456"/>
      <c r="AL134" s="456"/>
      <c r="AM134" s="456"/>
      <c r="AN134" s="456"/>
      <c r="AO134" s="456"/>
      <c r="AP134" s="456"/>
      <c r="AQ134" s="456"/>
      <c r="AR134" s="456"/>
      <c r="AS134" s="456"/>
      <c r="AT134" s="456"/>
    </row>
    <row r="135" spans="1:46" ht="45" customHeight="1" x14ac:dyDescent="0.2">
      <c r="A135" s="729"/>
      <c r="B135" s="763"/>
      <c r="C135" s="773"/>
      <c r="D135" s="708"/>
      <c r="E135" s="708"/>
      <c r="F135" s="708"/>
      <c r="G135" s="720"/>
      <c r="H135" s="720"/>
      <c r="I135" s="707" t="s">
        <v>1137</v>
      </c>
      <c r="J135" s="454" t="s">
        <v>1138</v>
      </c>
      <c r="K135" s="454" t="s">
        <v>1139</v>
      </c>
      <c r="L135" s="465">
        <v>1</v>
      </c>
      <c r="M135" s="465">
        <v>1</v>
      </c>
      <c r="N135" s="465"/>
      <c r="O135" s="456"/>
      <c r="P135" s="457">
        <v>0</v>
      </c>
      <c r="Q135" s="457">
        <v>0</v>
      </c>
      <c r="R135" s="457">
        <v>0</v>
      </c>
      <c r="S135" s="457">
        <v>0.8</v>
      </c>
      <c r="T135" s="457">
        <v>0</v>
      </c>
      <c r="U135" s="457">
        <v>0</v>
      </c>
      <c r="V135" s="457">
        <v>0.1</v>
      </c>
      <c r="W135" s="457">
        <v>0</v>
      </c>
      <c r="X135" s="457">
        <v>0</v>
      </c>
      <c r="Y135" s="457">
        <v>0</v>
      </c>
      <c r="Z135" s="457">
        <v>0</v>
      </c>
      <c r="AA135" s="457">
        <v>0</v>
      </c>
      <c r="AB135" s="457"/>
      <c r="AC135" s="457"/>
      <c r="AD135" s="457"/>
      <c r="AE135" s="457">
        <f>+SUM(N135:AC135)</f>
        <v>0.9</v>
      </c>
      <c r="AF135" s="456"/>
      <c r="AG135" s="471">
        <f>+(AE135/L135)</f>
        <v>0.9</v>
      </c>
      <c r="AH135" s="462">
        <f t="shared" si="8"/>
        <v>0.9</v>
      </c>
      <c r="AI135" s="456"/>
      <c r="AJ135" s="511">
        <v>149800000</v>
      </c>
      <c r="AK135" s="511"/>
      <c r="AL135" s="511"/>
      <c r="AM135" s="511"/>
      <c r="AN135" s="511"/>
      <c r="AO135" s="511"/>
      <c r="AP135" s="511"/>
      <c r="AQ135" s="511"/>
      <c r="AR135" s="511"/>
      <c r="AS135" s="511">
        <v>149100000</v>
      </c>
      <c r="AT135" s="523">
        <f>+AS135/AJ135</f>
        <v>0.99532710280373837</v>
      </c>
    </row>
    <row r="136" spans="1:46" ht="45" x14ac:dyDescent="0.2">
      <c r="A136" s="729"/>
      <c r="B136" s="763"/>
      <c r="C136" s="773"/>
      <c r="D136" s="708"/>
      <c r="E136" s="708"/>
      <c r="F136" s="708"/>
      <c r="G136" s="720"/>
      <c r="H136" s="720"/>
      <c r="I136" s="708"/>
      <c r="J136" s="454" t="s">
        <v>1140</v>
      </c>
      <c r="K136" s="454" t="s">
        <v>1141</v>
      </c>
      <c r="L136" s="465">
        <v>1000</v>
      </c>
      <c r="M136" s="465">
        <v>129.27000000000001</v>
      </c>
      <c r="N136" s="465"/>
      <c r="O136" s="456"/>
      <c r="P136" s="457">
        <v>0</v>
      </c>
      <c r="Q136" s="457">
        <v>0</v>
      </c>
      <c r="R136" s="457">
        <v>487.5</v>
      </c>
      <c r="S136" s="457">
        <v>0</v>
      </c>
      <c r="T136" s="457">
        <v>90</v>
      </c>
      <c r="U136" s="457">
        <v>559</v>
      </c>
      <c r="V136" s="457"/>
      <c r="W136" s="457"/>
      <c r="X136" s="457">
        <v>0</v>
      </c>
      <c r="Y136" s="457">
        <v>425</v>
      </c>
      <c r="Z136" s="457"/>
      <c r="AA136" s="457"/>
      <c r="AB136" s="457"/>
      <c r="AC136" s="457"/>
      <c r="AD136" s="457"/>
      <c r="AE136" s="457">
        <f>+U136+Y136</f>
        <v>984</v>
      </c>
      <c r="AF136" s="456"/>
      <c r="AG136" s="471">
        <f>+(AE136/L136)</f>
        <v>0.98399999999999999</v>
      </c>
      <c r="AH136" s="462">
        <f t="shared" si="8"/>
        <v>0.98399999999999999</v>
      </c>
      <c r="AI136" s="456"/>
      <c r="AJ136" s="456"/>
      <c r="AK136" s="456"/>
      <c r="AL136" s="456"/>
      <c r="AM136" s="456"/>
      <c r="AN136" s="456"/>
      <c r="AO136" s="456"/>
      <c r="AP136" s="456"/>
      <c r="AQ136" s="456"/>
      <c r="AR136" s="456"/>
      <c r="AS136" s="456"/>
      <c r="AT136" s="456"/>
    </row>
    <row r="137" spans="1:46" ht="33.75" x14ac:dyDescent="0.2">
      <c r="A137" s="729"/>
      <c r="B137" s="763"/>
      <c r="C137" s="773"/>
      <c r="D137" s="708"/>
      <c r="E137" s="708"/>
      <c r="F137" s="708"/>
      <c r="G137" s="720"/>
      <c r="H137" s="720"/>
      <c r="I137" s="708"/>
      <c r="J137" s="454" t="s">
        <v>2171</v>
      </c>
      <c r="K137" s="454" t="s">
        <v>1142</v>
      </c>
      <c r="L137" s="465">
        <v>3000</v>
      </c>
      <c r="M137" s="465">
        <v>1125</v>
      </c>
      <c r="N137" s="465"/>
      <c r="O137" s="456"/>
      <c r="P137" s="457">
        <v>0</v>
      </c>
      <c r="Q137" s="457">
        <v>0</v>
      </c>
      <c r="R137" s="524">
        <v>484</v>
      </c>
      <c r="S137" s="524">
        <v>669</v>
      </c>
      <c r="T137" s="524">
        <v>822</v>
      </c>
      <c r="U137" s="480">
        <v>505</v>
      </c>
      <c r="V137" s="457"/>
      <c r="W137" s="457"/>
      <c r="X137" s="457">
        <v>0</v>
      </c>
      <c r="Y137" s="457">
        <v>800</v>
      </c>
      <c r="Z137" s="457"/>
      <c r="AA137" s="457"/>
      <c r="AB137" s="457"/>
      <c r="AC137" s="457"/>
      <c r="AD137" s="457"/>
      <c r="AE137" s="457">
        <f>+SUM(N137:AC137)</f>
        <v>3280</v>
      </c>
      <c r="AF137" s="456"/>
      <c r="AG137" s="471">
        <v>1</v>
      </c>
      <c r="AH137" s="462">
        <f t="shared" si="8"/>
        <v>1</v>
      </c>
      <c r="AI137" s="456"/>
      <c r="AJ137" s="456"/>
      <c r="AK137" s="456"/>
      <c r="AL137" s="456"/>
      <c r="AM137" s="456"/>
      <c r="AN137" s="456"/>
      <c r="AO137" s="456"/>
      <c r="AP137" s="456"/>
      <c r="AQ137" s="456"/>
      <c r="AR137" s="456"/>
      <c r="AS137" s="456"/>
      <c r="AT137" s="456"/>
    </row>
    <row r="138" spans="1:46" ht="56.25" x14ac:dyDescent="0.2">
      <c r="A138" s="729"/>
      <c r="B138" s="763"/>
      <c r="C138" s="773"/>
      <c r="D138" s="708"/>
      <c r="E138" s="708"/>
      <c r="F138" s="708"/>
      <c r="G138" s="720"/>
      <c r="H138" s="720"/>
      <c r="I138" s="708"/>
      <c r="J138" s="454" t="s">
        <v>1143</v>
      </c>
      <c r="K138" s="454" t="s">
        <v>1144</v>
      </c>
      <c r="L138" s="465">
        <v>1000</v>
      </c>
      <c r="M138" s="465">
        <v>50</v>
      </c>
      <c r="N138" s="465"/>
      <c r="O138" s="456"/>
      <c r="P138" s="457">
        <v>0</v>
      </c>
      <c r="Q138" s="457">
        <v>0</v>
      </c>
      <c r="R138" s="457">
        <v>30</v>
      </c>
      <c r="S138" s="457">
        <v>0</v>
      </c>
      <c r="T138" s="457">
        <v>259</v>
      </c>
      <c r="U138" s="457">
        <v>559</v>
      </c>
      <c r="V138" s="457"/>
      <c r="W138" s="457"/>
      <c r="X138" s="457">
        <v>0</v>
      </c>
      <c r="Y138" s="457">
        <v>250</v>
      </c>
      <c r="Z138" s="457"/>
      <c r="AA138" s="457"/>
      <c r="AB138" s="457"/>
      <c r="AC138" s="457"/>
      <c r="AD138" s="457"/>
      <c r="AE138" s="457">
        <f>+SUM(N138:AC138)</f>
        <v>1098</v>
      </c>
      <c r="AF138" s="456"/>
      <c r="AG138" s="471">
        <v>1</v>
      </c>
      <c r="AH138" s="462">
        <f t="shared" si="8"/>
        <v>1</v>
      </c>
      <c r="AI138" s="456"/>
      <c r="AJ138" s="456"/>
      <c r="AK138" s="456"/>
      <c r="AL138" s="456"/>
      <c r="AM138" s="456"/>
      <c r="AN138" s="456"/>
      <c r="AO138" s="456"/>
      <c r="AP138" s="456"/>
      <c r="AQ138" s="456"/>
      <c r="AR138" s="456"/>
      <c r="AS138" s="456"/>
      <c r="AT138" s="456"/>
    </row>
    <row r="139" spans="1:46" ht="43.5" customHeight="1" x14ac:dyDescent="0.2">
      <c r="A139" s="729"/>
      <c r="B139" s="763"/>
      <c r="C139" s="773"/>
      <c r="D139" s="708"/>
      <c r="E139" s="708"/>
      <c r="F139" s="708"/>
      <c r="G139" s="720"/>
      <c r="H139" s="720"/>
      <c r="I139" s="709"/>
      <c r="J139" s="454"/>
      <c r="K139" s="454"/>
      <c r="L139" s="455"/>
      <c r="M139" s="455"/>
      <c r="N139" s="455"/>
      <c r="O139" s="456"/>
      <c r="P139" s="456"/>
      <c r="Q139" s="456"/>
      <c r="R139" s="456"/>
      <c r="S139" s="456"/>
      <c r="T139" s="456"/>
      <c r="U139" s="456"/>
      <c r="V139" s="456"/>
      <c r="W139" s="456"/>
      <c r="X139" s="456"/>
      <c r="Y139" s="456"/>
      <c r="Z139" s="456"/>
      <c r="AA139" s="456"/>
      <c r="AB139" s="456"/>
      <c r="AC139" s="456"/>
      <c r="AD139" s="456"/>
      <c r="AE139" s="457"/>
      <c r="AF139" s="456"/>
      <c r="AG139" s="492">
        <f>AVERAGE(AG135:AG138)</f>
        <v>0.97099999999999997</v>
      </c>
      <c r="AH139" s="462">
        <f t="shared" si="8"/>
        <v>0.97099999999999997</v>
      </c>
      <c r="AI139" s="456"/>
      <c r="AJ139" s="456"/>
      <c r="AK139" s="456"/>
      <c r="AL139" s="456"/>
      <c r="AM139" s="456"/>
      <c r="AN139" s="456"/>
      <c r="AO139" s="456"/>
      <c r="AP139" s="456"/>
      <c r="AQ139" s="456"/>
      <c r="AR139" s="456"/>
      <c r="AS139" s="456"/>
      <c r="AT139" s="456"/>
    </row>
    <row r="140" spans="1:46" ht="45" x14ac:dyDescent="0.2">
      <c r="A140" s="729"/>
      <c r="B140" s="763"/>
      <c r="C140" s="773"/>
      <c r="D140" s="708"/>
      <c r="E140" s="708"/>
      <c r="F140" s="708"/>
      <c r="G140" s="720"/>
      <c r="H140" s="720"/>
      <c r="I140" s="707" t="s">
        <v>1145</v>
      </c>
      <c r="J140" s="454" t="s">
        <v>1146</v>
      </c>
      <c r="K140" s="454" t="s">
        <v>1147</v>
      </c>
      <c r="L140" s="454">
        <v>1</v>
      </c>
      <c r="M140" s="454">
        <v>1</v>
      </c>
      <c r="N140" s="454"/>
      <c r="O140" s="456"/>
      <c r="P140" s="457">
        <v>1</v>
      </c>
      <c r="Q140" s="457">
        <v>1</v>
      </c>
      <c r="R140" s="457">
        <v>0</v>
      </c>
      <c r="S140" s="457">
        <v>0</v>
      </c>
      <c r="T140" s="457">
        <v>0</v>
      </c>
      <c r="U140" s="457">
        <v>0</v>
      </c>
      <c r="V140" s="457"/>
      <c r="W140" s="457"/>
      <c r="X140" s="457">
        <v>0</v>
      </c>
      <c r="Y140" s="457">
        <v>0</v>
      </c>
      <c r="Z140" s="457"/>
      <c r="AA140" s="457"/>
      <c r="AB140" s="457"/>
      <c r="AC140" s="457"/>
      <c r="AD140" s="457"/>
      <c r="AE140" s="457">
        <f>+Q140</f>
        <v>1</v>
      </c>
      <c r="AF140" s="456"/>
      <c r="AG140" s="471">
        <f t="shared" ref="AG140:AG145" si="9">+(AE140/L140)</f>
        <v>1</v>
      </c>
      <c r="AH140" s="462">
        <f t="shared" si="8"/>
        <v>1</v>
      </c>
      <c r="AI140" s="456"/>
      <c r="AJ140" s="456"/>
      <c r="AK140" s="456"/>
      <c r="AL140" s="456"/>
      <c r="AM140" s="456"/>
      <c r="AN140" s="456"/>
      <c r="AO140" s="456"/>
      <c r="AP140" s="456"/>
      <c r="AQ140" s="456"/>
      <c r="AR140" s="456"/>
      <c r="AS140" s="456"/>
      <c r="AT140" s="456"/>
    </row>
    <row r="141" spans="1:46" ht="33.75" x14ac:dyDescent="0.2">
      <c r="A141" s="729"/>
      <c r="B141" s="763"/>
      <c r="C141" s="773"/>
      <c r="D141" s="708"/>
      <c r="E141" s="708"/>
      <c r="F141" s="708"/>
      <c r="G141" s="720"/>
      <c r="H141" s="720"/>
      <c r="I141" s="708"/>
      <c r="J141" s="454" t="s">
        <v>1148</v>
      </c>
      <c r="K141" s="454" t="s">
        <v>1149</v>
      </c>
      <c r="L141" s="454">
        <v>80</v>
      </c>
      <c r="M141" s="454">
        <v>44</v>
      </c>
      <c r="N141" s="454"/>
      <c r="O141" s="456"/>
      <c r="P141" s="457">
        <v>8</v>
      </c>
      <c r="Q141" s="457">
        <v>48</v>
      </c>
      <c r="R141" s="457">
        <v>0</v>
      </c>
      <c r="S141" s="457">
        <v>0</v>
      </c>
      <c r="T141" s="457">
        <v>0</v>
      </c>
      <c r="U141" s="457">
        <v>40</v>
      </c>
      <c r="V141" s="457"/>
      <c r="W141" s="457"/>
      <c r="X141" s="457">
        <v>0</v>
      </c>
      <c r="Y141" s="457"/>
      <c r="Z141" s="457"/>
      <c r="AA141" s="457"/>
      <c r="AB141" s="457"/>
      <c r="AC141" s="457"/>
      <c r="AD141" s="457"/>
      <c r="AE141" s="457">
        <f>+SUM(N141:AC141)</f>
        <v>96</v>
      </c>
      <c r="AF141" s="456"/>
      <c r="AG141" s="471">
        <v>1</v>
      </c>
      <c r="AH141" s="462">
        <f t="shared" si="8"/>
        <v>1</v>
      </c>
      <c r="AI141" s="456"/>
      <c r="AJ141" s="456"/>
      <c r="AK141" s="456"/>
      <c r="AL141" s="456"/>
      <c r="AM141" s="456"/>
      <c r="AN141" s="456"/>
      <c r="AO141" s="456"/>
      <c r="AP141" s="456"/>
      <c r="AQ141" s="456"/>
      <c r="AR141" s="456"/>
      <c r="AS141" s="456"/>
      <c r="AT141" s="456"/>
    </row>
    <row r="142" spans="1:46" ht="78.75" x14ac:dyDescent="0.2">
      <c r="A142" s="729"/>
      <c r="B142" s="763"/>
      <c r="C142" s="773"/>
      <c r="D142" s="708"/>
      <c r="E142" s="708"/>
      <c r="F142" s="708"/>
      <c r="G142" s="720"/>
      <c r="H142" s="720"/>
      <c r="I142" s="708"/>
      <c r="J142" s="454" t="s">
        <v>1150</v>
      </c>
      <c r="K142" s="454" t="s">
        <v>1151</v>
      </c>
      <c r="L142" s="454">
        <v>25</v>
      </c>
      <c r="M142" s="454">
        <v>10</v>
      </c>
      <c r="N142" s="454"/>
      <c r="O142" s="456"/>
      <c r="P142" s="457">
        <v>1</v>
      </c>
      <c r="Q142" s="457">
        <v>0</v>
      </c>
      <c r="R142" s="457">
        <v>0</v>
      </c>
      <c r="S142" s="457">
        <v>0</v>
      </c>
      <c r="T142" s="457">
        <v>0</v>
      </c>
      <c r="U142" s="457">
        <v>8</v>
      </c>
      <c r="V142" s="457"/>
      <c r="W142" s="457"/>
      <c r="X142" s="457">
        <v>1</v>
      </c>
      <c r="Y142" s="457">
        <v>7</v>
      </c>
      <c r="Z142" s="457"/>
      <c r="AA142" s="457"/>
      <c r="AB142" s="457"/>
      <c r="AC142" s="457"/>
      <c r="AD142" s="457"/>
      <c r="AE142" s="457">
        <f>+SUM(N142:AC142)</f>
        <v>17</v>
      </c>
      <c r="AF142" s="456"/>
      <c r="AG142" s="471">
        <f t="shared" si="9"/>
        <v>0.68</v>
      </c>
      <c r="AH142" s="462">
        <f t="shared" si="8"/>
        <v>0.68</v>
      </c>
      <c r="AI142" s="456"/>
      <c r="AJ142" s="456"/>
      <c r="AK142" s="456"/>
      <c r="AL142" s="456"/>
      <c r="AM142" s="456"/>
      <c r="AN142" s="456"/>
      <c r="AO142" s="456"/>
      <c r="AP142" s="456"/>
      <c r="AQ142" s="456"/>
      <c r="AR142" s="456"/>
      <c r="AS142" s="456"/>
      <c r="AT142" s="456"/>
    </row>
    <row r="143" spans="1:46" ht="33.75" x14ac:dyDescent="0.2">
      <c r="A143" s="729"/>
      <c r="B143" s="763"/>
      <c r="C143" s="773"/>
      <c r="D143" s="708"/>
      <c r="E143" s="708"/>
      <c r="F143" s="708"/>
      <c r="G143" s="720"/>
      <c r="H143" s="720"/>
      <c r="I143" s="708"/>
      <c r="J143" s="454" t="s">
        <v>1152</v>
      </c>
      <c r="K143" s="454" t="s">
        <v>1153</v>
      </c>
      <c r="L143" s="454">
        <v>2023</v>
      </c>
      <c r="M143" s="454">
        <v>2023</v>
      </c>
      <c r="N143" s="454"/>
      <c r="O143" s="456"/>
      <c r="P143" s="457">
        <v>0</v>
      </c>
      <c r="Q143" s="457">
        <v>1715</v>
      </c>
      <c r="R143" s="457">
        <v>0</v>
      </c>
      <c r="S143" s="457">
        <v>1569</v>
      </c>
      <c r="T143" s="457">
        <v>1650</v>
      </c>
      <c r="U143" s="457">
        <v>1440</v>
      </c>
      <c r="V143" s="457"/>
      <c r="W143" s="457"/>
      <c r="X143" s="457">
        <v>88</v>
      </c>
      <c r="Y143" s="457">
        <v>0</v>
      </c>
      <c r="Z143" s="457"/>
      <c r="AA143" s="457"/>
      <c r="AB143" s="457"/>
      <c r="AC143" s="457"/>
      <c r="AD143" s="457"/>
      <c r="AE143" s="457">
        <f>+T143+Q143+U143</f>
        <v>4805</v>
      </c>
      <c r="AF143" s="456"/>
      <c r="AG143" s="471">
        <v>1</v>
      </c>
      <c r="AH143" s="462">
        <f t="shared" si="8"/>
        <v>1</v>
      </c>
      <c r="AI143" s="456"/>
      <c r="AJ143" s="456"/>
      <c r="AK143" s="456"/>
      <c r="AL143" s="456"/>
      <c r="AM143" s="456"/>
      <c r="AN143" s="456"/>
      <c r="AO143" s="456"/>
      <c r="AP143" s="456"/>
      <c r="AQ143" s="456"/>
      <c r="AR143" s="456"/>
      <c r="AS143" s="456"/>
      <c r="AT143" s="456"/>
    </row>
    <row r="144" spans="1:46" ht="56.25" x14ac:dyDescent="0.2">
      <c r="A144" s="729"/>
      <c r="B144" s="763"/>
      <c r="C144" s="773"/>
      <c r="D144" s="708"/>
      <c r="E144" s="708"/>
      <c r="F144" s="708"/>
      <c r="G144" s="720"/>
      <c r="H144" s="720"/>
      <c r="I144" s="708"/>
      <c r="J144" s="454" t="s">
        <v>1154</v>
      </c>
      <c r="K144" s="454" t="s">
        <v>1155</v>
      </c>
      <c r="L144" s="454">
        <v>1</v>
      </c>
      <c r="M144" s="454">
        <v>0</v>
      </c>
      <c r="N144" s="454"/>
      <c r="O144" s="456"/>
      <c r="P144" s="457">
        <v>0</v>
      </c>
      <c r="Q144" s="457">
        <v>0</v>
      </c>
      <c r="R144" s="457">
        <v>0</v>
      </c>
      <c r="S144" s="457">
        <v>0</v>
      </c>
      <c r="T144" s="457">
        <v>0</v>
      </c>
      <c r="U144" s="457">
        <v>0</v>
      </c>
      <c r="V144" s="457"/>
      <c r="W144" s="457"/>
      <c r="X144" s="457">
        <v>0</v>
      </c>
      <c r="Y144" s="457">
        <v>0</v>
      </c>
      <c r="Z144" s="457"/>
      <c r="AA144" s="457"/>
      <c r="AB144" s="457"/>
      <c r="AC144" s="457"/>
      <c r="AD144" s="457"/>
      <c r="AE144" s="457">
        <f>+SUM(N144:AC144)</f>
        <v>0</v>
      </c>
      <c r="AF144" s="456"/>
      <c r="AG144" s="471">
        <f t="shared" si="9"/>
        <v>0</v>
      </c>
      <c r="AH144" s="462">
        <f t="shared" si="8"/>
        <v>0</v>
      </c>
      <c r="AI144" s="456"/>
      <c r="AJ144" s="456"/>
      <c r="AK144" s="456"/>
      <c r="AL144" s="456"/>
      <c r="AM144" s="456"/>
      <c r="AN144" s="456"/>
      <c r="AO144" s="456"/>
      <c r="AP144" s="456"/>
      <c r="AQ144" s="456"/>
      <c r="AR144" s="456"/>
      <c r="AS144" s="456"/>
      <c r="AT144" s="456"/>
    </row>
    <row r="145" spans="1:46" ht="45" x14ac:dyDescent="0.2">
      <c r="A145" s="729"/>
      <c r="B145" s="763"/>
      <c r="C145" s="773"/>
      <c r="D145" s="708"/>
      <c r="E145" s="708"/>
      <c r="F145" s="708"/>
      <c r="G145" s="720"/>
      <c r="H145" s="720"/>
      <c r="I145" s="708"/>
      <c r="J145" s="454" t="s">
        <v>1156</v>
      </c>
      <c r="K145" s="454" t="s">
        <v>1157</v>
      </c>
      <c r="L145" s="525">
        <v>1</v>
      </c>
      <c r="M145" s="525">
        <v>1</v>
      </c>
      <c r="N145" s="525"/>
      <c r="O145" s="456"/>
      <c r="P145" s="523">
        <v>1</v>
      </c>
      <c r="Q145" s="523">
        <v>1</v>
      </c>
      <c r="R145" s="523">
        <v>1</v>
      </c>
      <c r="S145" s="523">
        <v>0</v>
      </c>
      <c r="T145" s="523">
        <v>0</v>
      </c>
      <c r="U145" s="523">
        <v>0</v>
      </c>
      <c r="V145" s="523"/>
      <c r="W145" s="523"/>
      <c r="X145" s="523">
        <v>0</v>
      </c>
      <c r="Y145" s="523">
        <v>0</v>
      </c>
      <c r="Z145" s="523"/>
      <c r="AA145" s="523"/>
      <c r="AB145" s="523"/>
      <c r="AC145" s="523"/>
      <c r="AD145" s="523"/>
      <c r="AE145" s="519">
        <f>+Q145</f>
        <v>1</v>
      </c>
      <c r="AF145" s="456"/>
      <c r="AG145" s="471">
        <f t="shared" si="9"/>
        <v>1</v>
      </c>
      <c r="AH145" s="462">
        <f t="shared" si="8"/>
        <v>1</v>
      </c>
      <c r="AI145" s="456"/>
      <c r="AJ145" s="456"/>
      <c r="AK145" s="456"/>
      <c r="AL145" s="456"/>
      <c r="AM145" s="456"/>
      <c r="AN145" s="456"/>
      <c r="AO145" s="456"/>
      <c r="AP145" s="456"/>
      <c r="AQ145" s="456"/>
      <c r="AR145" s="456"/>
      <c r="AS145" s="456"/>
      <c r="AT145" s="456"/>
    </row>
    <row r="146" spans="1:46" ht="28.5" customHeight="1" x14ac:dyDescent="0.2">
      <c r="A146" s="729"/>
      <c r="B146" s="763"/>
      <c r="C146" s="773"/>
      <c r="D146" s="708"/>
      <c r="E146" s="708"/>
      <c r="F146" s="708"/>
      <c r="G146" s="720"/>
      <c r="H146" s="720"/>
      <c r="I146" s="709"/>
      <c r="J146" s="454"/>
      <c r="K146" s="454"/>
      <c r="L146" s="525"/>
      <c r="M146" s="525"/>
      <c r="N146" s="525"/>
      <c r="O146" s="456"/>
      <c r="P146" s="456"/>
      <c r="Q146" s="456"/>
      <c r="R146" s="456"/>
      <c r="S146" s="456"/>
      <c r="T146" s="456"/>
      <c r="U146" s="456"/>
      <c r="V146" s="456"/>
      <c r="W146" s="456"/>
      <c r="X146" s="456"/>
      <c r="Y146" s="456"/>
      <c r="Z146" s="456"/>
      <c r="AA146" s="456"/>
      <c r="AB146" s="456"/>
      <c r="AC146" s="456"/>
      <c r="AD146" s="456"/>
      <c r="AE146" s="457"/>
      <c r="AF146" s="456"/>
      <c r="AG146" s="526">
        <f>AVERAGE(AG140:AG145)</f>
        <v>0.77999999999999992</v>
      </c>
      <c r="AH146" s="462">
        <f t="shared" si="8"/>
        <v>0.77999999999999992</v>
      </c>
      <c r="AI146" s="456"/>
      <c r="AJ146" s="456"/>
      <c r="AK146" s="456"/>
      <c r="AL146" s="456"/>
      <c r="AM146" s="456"/>
      <c r="AN146" s="456"/>
      <c r="AO146" s="456"/>
      <c r="AP146" s="456"/>
      <c r="AQ146" s="456"/>
      <c r="AR146" s="456"/>
      <c r="AS146" s="456"/>
      <c r="AT146" s="456"/>
    </row>
    <row r="147" spans="1:46" ht="36" customHeight="1" x14ac:dyDescent="0.2">
      <c r="A147" s="729"/>
      <c r="B147" s="763"/>
      <c r="C147" s="773"/>
      <c r="D147" s="709"/>
      <c r="E147" s="709"/>
      <c r="F147" s="709"/>
      <c r="G147" s="721"/>
      <c r="H147" s="721"/>
      <c r="I147" s="496"/>
      <c r="J147" s="454"/>
      <c r="K147" s="454"/>
      <c r="L147" s="525"/>
      <c r="M147" s="525"/>
      <c r="N147" s="525"/>
      <c r="O147" s="456"/>
      <c r="P147" s="456"/>
      <c r="Q147" s="456"/>
      <c r="R147" s="456"/>
      <c r="S147" s="456"/>
      <c r="T147" s="456"/>
      <c r="U147" s="456"/>
      <c r="V147" s="456"/>
      <c r="W147" s="456"/>
      <c r="X147" s="456"/>
      <c r="Y147" s="456"/>
      <c r="Z147" s="456"/>
      <c r="AA147" s="456"/>
      <c r="AB147" s="456"/>
      <c r="AC147" s="456"/>
      <c r="AD147" s="456"/>
      <c r="AE147" s="457"/>
      <c r="AF147" s="456"/>
      <c r="AG147" s="516">
        <f>( AG134 +AG139+AG146)/3</f>
        <v>0.68762500000000004</v>
      </c>
      <c r="AH147" s="462">
        <f t="shared" si="8"/>
        <v>0.68762500000000004</v>
      </c>
      <c r="AI147" s="456"/>
      <c r="AJ147" s="456"/>
      <c r="AK147" s="456"/>
      <c r="AL147" s="456"/>
      <c r="AM147" s="456"/>
      <c r="AN147" s="456"/>
      <c r="AO147" s="456"/>
      <c r="AP147" s="456"/>
      <c r="AQ147" s="456"/>
      <c r="AR147" s="456"/>
      <c r="AS147" s="456"/>
      <c r="AT147" s="456"/>
    </row>
    <row r="148" spans="1:46" ht="92.25" customHeight="1" x14ac:dyDescent="0.2">
      <c r="A148" s="729"/>
      <c r="B148" s="763"/>
      <c r="C148" s="773"/>
      <c r="D148" s="707" t="s">
        <v>1158</v>
      </c>
      <c r="E148" s="736" t="s">
        <v>1160</v>
      </c>
      <c r="F148" s="736" t="s">
        <v>1159</v>
      </c>
      <c r="G148" s="736">
        <v>5.41</v>
      </c>
      <c r="H148" s="736">
        <v>32.299999999999997</v>
      </c>
      <c r="I148" s="707" t="s">
        <v>1166</v>
      </c>
      <c r="J148" s="736" t="s">
        <v>1162</v>
      </c>
      <c r="K148" s="736" t="s">
        <v>1163</v>
      </c>
      <c r="L148" s="454">
        <v>17.71</v>
      </c>
      <c r="M148" s="454">
        <v>5.41</v>
      </c>
      <c r="N148" s="454"/>
      <c r="O148" s="456"/>
      <c r="P148" s="457">
        <v>5.6520000000000001</v>
      </c>
      <c r="Q148" s="457">
        <v>5.6520000000000001</v>
      </c>
      <c r="R148" s="457">
        <v>5.9020000000000001</v>
      </c>
      <c r="S148" s="457">
        <v>0</v>
      </c>
      <c r="T148" s="457">
        <v>5.9340000000000002</v>
      </c>
      <c r="U148" s="457">
        <v>16.05</v>
      </c>
      <c r="V148" s="457"/>
      <c r="W148" s="457"/>
      <c r="X148" s="457">
        <v>18.5</v>
      </c>
      <c r="Y148" s="457"/>
      <c r="Z148" s="457"/>
      <c r="AA148" s="457"/>
      <c r="AB148" s="457"/>
      <c r="AC148" s="457"/>
      <c r="AD148" s="457"/>
      <c r="AE148" s="457">
        <f>+X148</f>
        <v>18.5</v>
      </c>
      <c r="AF148" s="456"/>
      <c r="AG148" s="471">
        <v>1</v>
      </c>
      <c r="AH148" s="462">
        <f t="shared" si="8"/>
        <v>1</v>
      </c>
      <c r="AI148" s="456"/>
      <c r="AJ148" s="456"/>
      <c r="AK148" s="456"/>
      <c r="AL148" s="456"/>
      <c r="AM148" s="456"/>
      <c r="AN148" s="456"/>
      <c r="AO148" s="456"/>
      <c r="AP148" s="456"/>
      <c r="AQ148" s="456"/>
      <c r="AR148" s="456"/>
      <c r="AS148" s="456"/>
      <c r="AT148" s="456"/>
    </row>
    <row r="149" spans="1:46" ht="92.25" customHeight="1" x14ac:dyDescent="0.2">
      <c r="A149" s="729"/>
      <c r="B149" s="763"/>
      <c r="C149" s="773"/>
      <c r="D149" s="708"/>
      <c r="E149" s="737"/>
      <c r="F149" s="737"/>
      <c r="G149" s="737"/>
      <c r="H149" s="737"/>
      <c r="I149" s="709"/>
      <c r="J149" s="737"/>
      <c r="K149" s="737"/>
      <c r="L149" s="454"/>
      <c r="M149" s="454"/>
      <c r="N149" s="454"/>
      <c r="O149" s="456"/>
      <c r="P149" s="456"/>
      <c r="Q149" s="456"/>
      <c r="R149" s="456"/>
      <c r="S149" s="456"/>
      <c r="T149" s="456"/>
      <c r="U149" s="456"/>
      <c r="V149" s="456"/>
      <c r="W149" s="456"/>
      <c r="X149" s="456"/>
      <c r="Y149" s="456"/>
      <c r="Z149" s="456"/>
      <c r="AA149" s="456"/>
      <c r="AB149" s="456"/>
      <c r="AC149" s="456"/>
      <c r="AD149" s="456"/>
      <c r="AE149" s="457">
        <f>+SUM(N149:AC149)</f>
        <v>0</v>
      </c>
      <c r="AF149" s="456"/>
      <c r="AG149" s="492">
        <f>+AG148</f>
        <v>1</v>
      </c>
      <c r="AH149" s="462">
        <f t="shared" si="8"/>
        <v>1</v>
      </c>
      <c r="AI149" s="456"/>
      <c r="AJ149" s="527"/>
      <c r="AK149" s="456"/>
      <c r="AL149" s="456"/>
      <c r="AM149" s="456"/>
      <c r="AN149" s="456"/>
      <c r="AO149" s="456"/>
      <c r="AP149" s="456"/>
      <c r="AQ149" s="456"/>
      <c r="AR149" s="456"/>
      <c r="AS149" s="456"/>
      <c r="AT149" s="456"/>
    </row>
    <row r="150" spans="1:46" ht="180" customHeight="1" x14ac:dyDescent="0.2">
      <c r="A150" s="729"/>
      <c r="B150" s="763"/>
      <c r="C150" s="773"/>
      <c r="D150" s="708"/>
      <c r="E150" s="761" t="s">
        <v>1161</v>
      </c>
      <c r="F150" s="761" t="s">
        <v>1159</v>
      </c>
      <c r="G150" s="761">
        <v>2.5499999999999998</v>
      </c>
      <c r="H150" s="761">
        <v>5.41</v>
      </c>
      <c r="I150" s="718" t="s">
        <v>1167</v>
      </c>
      <c r="J150" s="761" t="s">
        <v>1164</v>
      </c>
      <c r="K150" s="761" t="s">
        <v>1165</v>
      </c>
      <c r="L150" s="761">
        <v>5.41</v>
      </c>
      <c r="M150" s="761">
        <v>2.5499999999999998</v>
      </c>
      <c r="N150" s="736"/>
      <c r="O150" s="744"/>
      <c r="P150" s="707">
        <f>2.55</f>
        <v>2.5499999999999998</v>
      </c>
      <c r="Q150" s="707">
        <v>2.5499999999999998</v>
      </c>
      <c r="R150" s="457">
        <v>2.62</v>
      </c>
      <c r="S150" s="457">
        <v>0</v>
      </c>
      <c r="T150" s="456"/>
      <c r="U150" s="457">
        <v>3.24</v>
      </c>
      <c r="V150" s="456"/>
      <c r="W150" s="456"/>
      <c r="X150" s="457">
        <v>3.38</v>
      </c>
      <c r="Y150" s="567">
        <v>3.47</v>
      </c>
      <c r="Z150" s="456"/>
      <c r="AA150" s="456"/>
      <c r="AB150" s="456"/>
      <c r="AC150" s="456"/>
      <c r="AD150" s="456"/>
      <c r="AE150" s="801">
        <f>+Y150</f>
        <v>3.47</v>
      </c>
      <c r="AF150" s="456"/>
      <c r="AG150" s="471">
        <f>+AE150/L150</f>
        <v>0.64140480591497229</v>
      </c>
      <c r="AH150" s="462">
        <f t="shared" si="8"/>
        <v>0.64140480591497229</v>
      </c>
      <c r="AI150" s="456"/>
      <c r="AJ150" s="456"/>
      <c r="AK150" s="456"/>
      <c r="AL150" s="456"/>
      <c r="AM150" s="456"/>
      <c r="AN150" s="456"/>
      <c r="AO150" s="456"/>
      <c r="AP150" s="456"/>
      <c r="AQ150" s="456"/>
      <c r="AR150" s="456"/>
      <c r="AS150" s="456"/>
      <c r="AT150" s="456"/>
    </row>
    <row r="151" spans="1:46" ht="51" customHeight="1" x14ac:dyDescent="0.2">
      <c r="A151" s="729"/>
      <c r="B151" s="763"/>
      <c r="C151" s="773"/>
      <c r="D151" s="708"/>
      <c r="E151" s="761"/>
      <c r="F151" s="761"/>
      <c r="G151" s="761"/>
      <c r="H151" s="761"/>
      <c r="I151" s="718"/>
      <c r="J151" s="761"/>
      <c r="K151" s="761"/>
      <c r="L151" s="761"/>
      <c r="M151" s="761"/>
      <c r="N151" s="737"/>
      <c r="O151" s="744"/>
      <c r="P151" s="709"/>
      <c r="Q151" s="709"/>
      <c r="R151" s="456"/>
      <c r="S151" s="456"/>
      <c r="T151" s="456"/>
      <c r="U151" s="456"/>
      <c r="V151" s="456"/>
      <c r="W151" s="456"/>
      <c r="X151" s="456"/>
      <c r="Y151" s="456"/>
      <c r="Z151" s="456"/>
      <c r="AA151" s="456"/>
      <c r="AB151" s="456"/>
      <c r="AC151" s="456"/>
      <c r="AD151" s="456"/>
      <c r="AE151" s="802"/>
      <c r="AF151" s="456"/>
      <c r="AG151" s="492">
        <f>+AG150</f>
        <v>0.64140480591497229</v>
      </c>
      <c r="AH151" s="462">
        <f t="shared" si="8"/>
        <v>0.64140480591497229</v>
      </c>
      <c r="AI151" s="456"/>
      <c r="AJ151" s="456"/>
      <c r="AK151" s="456"/>
      <c r="AL151" s="456"/>
      <c r="AM151" s="456"/>
      <c r="AN151" s="456"/>
      <c r="AO151" s="456"/>
      <c r="AP151" s="456"/>
      <c r="AQ151" s="456"/>
      <c r="AR151" s="456"/>
      <c r="AS151" s="456"/>
      <c r="AT151" s="456"/>
    </row>
    <row r="152" spans="1:46" ht="63.75" customHeight="1" x14ac:dyDescent="0.2">
      <c r="A152" s="729"/>
      <c r="B152" s="763"/>
      <c r="C152" s="773"/>
      <c r="D152" s="709"/>
      <c r="E152" s="480"/>
      <c r="F152" s="480"/>
      <c r="G152" s="480"/>
      <c r="H152" s="480"/>
      <c r="I152" s="483"/>
      <c r="J152" s="480"/>
      <c r="K152" s="480"/>
      <c r="L152" s="480"/>
      <c r="M152" s="480"/>
      <c r="N152" s="480"/>
      <c r="O152" s="456"/>
      <c r="P152" s="456"/>
      <c r="Q152" s="456"/>
      <c r="R152" s="456"/>
      <c r="S152" s="456"/>
      <c r="T152" s="456"/>
      <c r="U152" s="456"/>
      <c r="V152" s="456"/>
      <c r="W152" s="456"/>
      <c r="X152" s="456"/>
      <c r="Y152" s="456"/>
      <c r="Z152" s="456"/>
      <c r="AA152" s="456"/>
      <c r="AB152" s="456"/>
      <c r="AC152" s="456"/>
      <c r="AD152" s="456"/>
      <c r="AE152" s="456"/>
      <c r="AF152" s="456"/>
      <c r="AG152" s="516">
        <f>( AG149 +AG151)/3</f>
        <v>0.54713493530499069</v>
      </c>
      <c r="AH152" s="462">
        <f t="shared" si="8"/>
        <v>0.54713493530499069</v>
      </c>
      <c r="AI152" s="456"/>
      <c r="AJ152" s="456"/>
      <c r="AK152" s="456"/>
      <c r="AL152" s="456"/>
      <c r="AM152" s="456"/>
      <c r="AN152" s="456"/>
      <c r="AO152" s="456"/>
      <c r="AP152" s="456"/>
      <c r="AQ152" s="456"/>
      <c r="AR152" s="456"/>
      <c r="AS152" s="456"/>
      <c r="AT152" s="456"/>
    </row>
    <row r="153" spans="1:46" ht="54.75" customHeight="1" x14ac:dyDescent="0.2">
      <c r="A153" s="729"/>
      <c r="B153" s="763"/>
      <c r="C153" s="774"/>
      <c r="D153" s="504"/>
      <c r="E153" s="478"/>
      <c r="F153" s="478"/>
      <c r="G153" s="478"/>
      <c r="H153" s="478"/>
      <c r="I153" s="506"/>
      <c r="J153" s="454"/>
      <c r="K153" s="454"/>
      <c r="L153" s="454"/>
      <c r="M153" s="454"/>
      <c r="N153" s="454"/>
      <c r="O153" s="528"/>
      <c r="P153" s="528"/>
      <c r="Q153" s="528"/>
      <c r="R153" s="456"/>
      <c r="S153" s="456"/>
      <c r="T153" s="456"/>
      <c r="U153" s="456"/>
      <c r="V153" s="456"/>
      <c r="W153" s="456"/>
      <c r="X153" s="456"/>
      <c r="Y153" s="456"/>
      <c r="Z153" s="456"/>
      <c r="AA153" s="456"/>
      <c r="AB153" s="456"/>
      <c r="AC153" s="456"/>
      <c r="AD153" s="456"/>
      <c r="AE153" s="456"/>
      <c r="AF153" s="456"/>
      <c r="AG153" s="509">
        <f>+(AG147+AG152)/2</f>
        <v>0.61737996765249537</v>
      </c>
      <c r="AH153" s="462">
        <f t="shared" si="8"/>
        <v>0.61737996765249537</v>
      </c>
      <c r="AI153" s="456"/>
      <c r="AJ153" s="456"/>
      <c r="AK153" s="456"/>
      <c r="AL153" s="456"/>
      <c r="AM153" s="456"/>
      <c r="AN153" s="456"/>
      <c r="AO153" s="456"/>
      <c r="AP153" s="456"/>
      <c r="AQ153" s="456"/>
      <c r="AR153" s="456"/>
      <c r="AS153" s="456"/>
      <c r="AT153" s="456"/>
    </row>
    <row r="154" spans="1:46" ht="97.5" customHeight="1" x14ac:dyDescent="0.2">
      <c r="A154" s="729"/>
      <c r="B154" s="763"/>
      <c r="C154" s="765" t="s">
        <v>1168</v>
      </c>
      <c r="D154" s="718" t="s">
        <v>1169</v>
      </c>
      <c r="E154" s="718" t="s">
        <v>1171</v>
      </c>
      <c r="F154" s="718" t="s">
        <v>1170</v>
      </c>
      <c r="G154" s="718">
        <v>1</v>
      </c>
      <c r="H154" s="718" t="s">
        <v>956</v>
      </c>
      <c r="I154" s="760" t="s">
        <v>2142</v>
      </c>
      <c r="J154" s="454" t="s">
        <v>1172</v>
      </c>
      <c r="K154" s="454" t="s">
        <v>1172</v>
      </c>
      <c r="L154" s="454">
        <v>1</v>
      </c>
      <c r="M154" s="454">
        <v>0</v>
      </c>
      <c r="N154" s="454"/>
      <c r="O154" s="456"/>
      <c r="P154" s="457">
        <v>0</v>
      </c>
      <c r="Q154" s="457">
        <v>0</v>
      </c>
      <c r="R154" s="457">
        <v>0</v>
      </c>
      <c r="S154" s="457">
        <v>0</v>
      </c>
      <c r="T154" s="457">
        <v>0</v>
      </c>
      <c r="U154" s="457">
        <v>0</v>
      </c>
      <c r="V154" s="487"/>
      <c r="W154" s="487">
        <v>0</v>
      </c>
      <c r="X154" s="487">
        <v>0</v>
      </c>
      <c r="Y154" s="457">
        <v>0.3</v>
      </c>
      <c r="Z154" s="457">
        <v>0</v>
      </c>
      <c r="AA154" s="457">
        <v>0.1</v>
      </c>
      <c r="AB154" s="457"/>
      <c r="AC154" s="457"/>
      <c r="AD154" s="457"/>
      <c r="AE154" s="457">
        <f>+SUM(N154:AC154)</f>
        <v>0.4</v>
      </c>
      <c r="AF154" s="456"/>
      <c r="AG154" s="471">
        <f t="shared" ref="AG154:AG161" si="10">+(AE154/L154)</f>
        <v>0.4</v>
      </c>
      <c r="AH154" s="462">
        <f t="shared" si="8"/>
        <v>0.4</v>
      </c>
      <c r="AI154" s="456"/>
      <c r="AJ154" s="456"/>
      <c r="AK154" s="456"/>
      <c r="AL154" s="456"/>
      <c r="AM154" s="456"/>
      <c r="AN154" s="456"/>
      <c r="AO154" s="456"/>
      <c r="AP154" s="456"/>
      <c r="AQ154" s="456"/>
      <c r="AR154" s="456"/>
      <c r="AS154" s="484">
        <v>53238270</v>
      </c>
      <c r="AT154" s="484">
        <v>45000000</v>
      </c>
    </row>
    <row r="155" spans="1:46" ht="33.75" x14ac:dyDescent="0.2">
      <c r="A155" s="729"/>
      <c r="B155" s="763"/>
      <c r="C155" s="765"/>
      <c r="D155" s="718"/>
      <c r="E155" s="718"/>
      <c r="F155" s="718"/>
      <c r="G155" s="718"/>
      <c r="H155" s="718"/>
      <c r="I155" s="760"/>
      <c r="J155" s="454" t="s">
        <v>1173</v>
      </c>
      <c r="K155" s="454" t="s">
        <v>1174</v>
      </c>
      <c r="L155" s="454">
        <v>1</v>
      </c>
      <c r="M155" s="454">
        <v>0</v>
      </c>
      <c r="N155" s="454"/>
      <c r="O155" s="456"/>
      <c r="P155" s="457">
        <v>0</v>
      </c>
      <c r="Q155" s="457">
        <v>0</v>
      </c>
      <c r="R155" s="457">
        <v>0</v>
      </c>
      <c r="S155" s="457">
        <v>0</v>
      </c>
      <c r="T155" s="457">
        <v>0</v>
      </c>
      <c r="U155" s="457">
        <v>0</v>
      </c>
      <c r="V155" s="487"/>
      <c r="W155" s="487">
        <v>0</v>
      </c>
      <c r="X155" s="487">
        <v>0</v>
      </c>
      <c r="Y155" s="457">
        <v>0</v>
      </c>
      <c r="Z155" s="457">
        <v>0</v>
      </c>
      <c r="AA155" s="457">
        <v>0</v>
      </c>
      <c r="AB155" s="457"/>
      <c r="AC155" s="457"/>
      <c r="AD155" s="457"/>
      <c r="AE155" s="457">
        <f t="shared" ref="AE155:AE216" si="11">+SUM(N155:AC155)</f>
        <v>0</v>
      </c>
      <c r="AF155" s="456"/>
      <c r="AG155" s="471">
        <f t="shared" si="10"/>
        <v>0</v>
      </c>
      <c r="AH155" s="462">
        <f t="shared" si="8"/>
        <v>0</v>
      </c>
      <c r="AI155" s="456"/>
      <c r="AJ155" s="456"/>
      <c r="AK155" s="456"/>
      <c r="AL155" s="456"/>
      <c r="AM155" s="456"/>
      <c r="AN155" s="456"/>
      <c r="AO155" s="456"/>
      <c r="AP155" s="456"/>
      <c r="AQ155" s="456"/>
      <c r="AR155" s="456"/>
      <c r="AS155" s="456"/>
      <c r="AT155" s="456"/>
    </row>
    <row r="156" spans="1:46" ht="90" x14ac:dyDescent="0.2">
      <c r="A156" s="729"/>
      <c r="B156" s="763"/>
      <c r="C156" s="765"/>
      <c r="D156" s="718"/>
      <c r="E156" s="718"/>
      <c r="F156" s="718"/>
      <c r="G156" s="718"/>
      <c r="H156" s="718"/>
      <c r="I156" s="760"/>
      <c r="J156" s="454" t="s">
        <v>1175</v>
      </c>
      <c r="K156" s="454" t="s">
        <v>1176</v>
      </c>
      <c r="L156" s="454">
        <v>1</v>
      </c>
      <c r="M156" s="454">
        <v>0</v>
      </c>
      <c r="N156" s="454"/>
      <c r="O156" s="456"/>
      <c r="P156" s="457">
        <v>0</v>
      </c>
      <c r="Q156" s="457">
        <v>0</v>
      </c>
      <c r="R156" s="457">
        <v>0</v>
      </c>
      <c r="S156" s="457">
        <v>0</v>
      </c>
      <c r="T156" s="457">
        <v>0</v>
      </c>
      <c r="U156" s="457">
        <v>0</v>
      </c>
      <c r="V156" s="487"/>
      <c r="W156" s="487">
        <v>0</v>
      </c>
      <c r="X156" s="487">
        <v>0</v>
      </c>
      <c r="Y156" s="457">
        <v>0</v>
      </c>
      <c r="Z156" s="457"/>
      <c r="AA156" s="457">
        <v>0</v>
      </c>
      <c r="AB156" s="457"/>
      <c r="AC156" s="457"/>
      <c r="AD156" s="457"/>
      <c r="AE156" s="457">
        <f t="shared" si="11"/>
        <v>0</v>
      </c>
      <c r="AF156" s="456"/>
      <c r="AG156" s="471">
        <v>0</v>
      </c>
      <c r="AH156" s="462">
        <f t="shared" si="8"/>
        <v>0</v>
      </c>
      <c r="AI156" s="456"/>
      <c r="AJ156" s="456"/>
      <c r="AK156" s="456"/>
      <c r="AL156" s="456"/>
      <c r="AM156" s="456"/>
      <c r="AN156" s="456"/>
      <c r="AO156" s="456"/>
      <c r="AP156" s="456"/>
      <c r="AQ156" s="456"/>
      <c r="AR156" s="456"/>
      <c r="AS156" s="456"/>
      <c r="AT156" s="456"/>
    </row>
    <row r="157" spans="1:46" ht="56.25" x14ac:dyDescent="0.2">
      <c r="A157" s="729"/>
      <c r="B157" s="763"/>
      <c r="C157" s="765"/>
      <c r="D157" s="718"/>
      <c r="E157" s="718"/>
      <c r="F157" s="718"/>
      <c r="G157" s="718"/>
      <c r="H157" s="718"/>
      <c r="I157" s="760"/>
      <c r="J157" s="454" t="s">
        <v>1177</v>
      </c>
      <c r="K157" s="454" t="s">
        <v>1178</v>
      </c>
      <c r="L157" s="454">
        <v>2</v>
      </c>
      <c r="M157" s="454">
        <v>0</v>
      </c>
      <c r="N157" s="454"/>
      <c r="O157" s="456"/>
      <c r="P157" s="457">
        <v>0</v>
      </c>
      <c r="Q157" s="457">
        <v>0</v>
      </c>
      <c r="R157" s="457">
        <v>0</v>
      </c>
      <c r="S157" s="457">
        <v>0</v>
      </c>
      <c r="T157" s="457">
        <v>0</v>
      </c>
      <c r="U157" s="457">
        <v>0</v>
      </c>
      <c r="V157" s="487"/>
      <c r="W157" s="487">
        <v>0</v>
      </c>
      <c r="X157" s="487">
        <v>0</v>
      </c>
      <c r="Y157" s="457">
        <v>0</v>
      </c>
      <c r="Z157" s="457">
        <v>0</v>
      </c>
      <c r="AA157" s="457">
        <v>0</v>
      </c>
      <c r="AB157" s="457"/>
      <c r="AC157" s="457"/>
      <c r="AD157" s="457"/>
      <c r="AE157" s="457">
        <f t="shared" si="11"/>
        <v>0</v>
      </c>
      <c r="AF157" s="456"/>
      <c r="AG157" s="471">
        <f t="shared" si="10"/>
        <v>0</v>
      </c>
      <c r="AH157" s="462">
        <f t="shared" si="8"/>
        <v>0</v>
      </c>
      <c r="AI157" s="456"/>
      <c r="AJ157" s="456"/>
      <c r="AK157" s="456"/>
      <c r="AL157" s="456"/>
      <c r="AM157" s="456"/>
      <c r="AN157" s="456"/>
      <c r="AO157" s="456"/>
      <c r="AP157" s="456"/>
      <c r="AQ157" s="456"/>
      <c r="AR157" s="456"/>
      <c r="AS157" s="456"/>
      <c r="AT157" s="456"/>
    </row>
    <row r="158" spans="1:46" ht="101.25" x14ac:dyDescent="0.2">
      <c r="A158" s="729"/>
      <c r="B158" s="763"/>
      <c r="C158" s="765"/>
      <c r="D158" s="718"/>
      <c r="E158" s="718"/>
      <c r="F158" s="718"/>
      <c r="G158" s="718"/>
      <c r="H158" s="718"/>
      <c r="I158" s="760"/>
      <c r="J158" s="454" t="s">
        <v>1179</v>
      </c>
      <c r="K158" s="454" t="s">
        <v>1180</v>
      </c>
      <c r="L158" s="454">
        <v>50000</v>
      </c>
      <c r="M158" s="454">
        <v>3500</v>
      </c>
      <c r="N158" s="454"/>
      <c r="O158" s="456"/>
      <c r="P158" s="457">
        <v>5</v>
      </c>
      <c r="Q158" s="457">
        <v>0</v>
      </c>
      <c r="R158" s="457">
        <v>0</v>
      </c>
      <c r="S158" s="457">
        <v>50</v>
      </c>
      <c r="T158" s="457">
        <v>20</v>
      </c>
      <c r="U158" s="457">
        <v>90</v>
      </c>
      <c r="V158" s="487"/>
      <c r="W158" s="487">
        <v>19</v>
      </c>
      <c r="X158" s="487">
        <v>0</v>
      </c>
      <c r="Y158" s="457">
        <v>260</v>
      </c>
      <c r="Z158" s="579">
        <v>120</v>
      </c>
      <c r="AA158" s="579">
        <v>521</v>
      </c>
      <c r="AB158" s="457"/>
      <c r="AC158" s="457"/>
      <c r="AD158" s="457"/>
      <c r="AE158" s="457">
        <f t="shared" si="11"/>
        <v>1085</v>
      </c>
      <c r="AF158" s="456"/>
      <c r="AG158" s="461">
        <f>+(AE158/L158)</f>
        <v>2.1700000000000001E-2</v>
      </c>
      <c r="AH158" s="462">
        <f t="shared" si="8"/>
        <v>2.1700000000000001E-2</v>
      </c>
      <c r="AI158" s="456"/>
      <c r="AJ158" s="456"/>
      <c r="AK158" s="456"/>
      <c r="AL158" s="456"/>
      <c r="AM158" s="456"/>
      <c r="AN158" s="456"/>
      <c r="AO158" s="456"/>
      <c r="AP158" s="456"/>
      <c r="AQ158" s="456"/>
      <c r="AR158" s="456"/>
      <c r="AS158" s="456"/>
      <c r="AT158" s="456"/>
    </row>
    <row r="159" spans="1:46" ht="45" x14ac:dyDescent="0.2">
      <c r="A159" s="729"/>
      <c r="B159" s="763"/>
      <c r="C159" s="765"/>
      <c r="D159" s="718"/>
      <c r="E159" s="718"/>
      <c r="F159" s="718"/>
      <c r="G159" s="718"/>
      <c r="H159" s="718"/>
      <c r="I159" s="760"/>
      <c r="J159" s="454" t="s">
        <v>1181</v>
      </c>
      <c r="K159" s="454" t="s">
        <v>1182</v>
      </c>
      <c r="L159" s="454">
        <v>120</v>
      </c>
      <c r="M159" s="454">
        <v>120</v>
      </c>
      <c r="N159" s="454"/>
      <c r="O159" s="456"/>
      <c r="P159" s="457">
        <v>0</v>
      </c>
      <c r="Q159" s="457">
        <v>123</v>
      </c>
      <c r="R159" s="457">
        <v>0</v>
      </c>
      <c r="S159" s="457">
        <v>120</v>
      </c>
      <c r="T159" s="457">
        <v>0</v>
      </c>
      <c r="U159" s="457">
        <v>0</v>
      </c>
      <c r="V159" s="487"/>
      <c r="W159" s="487">
        <v>120</v>
      </c>
      <c r="X159" s="487">
        <v>0</v>
      </c>
      <c r="Y159" s="457">
        <v>120</v>
      </c>
      <c r="Z159" s="457">
        <v>120</v>
      </c>
      <c r="AA159" s="457">
        <v>120</v>
      </c>
      <c r="AB159" s="457"/>
      <c r="AC159" s="457"/>
      <c r="AD159" s="457"/>
      <c r="AE159" s="457">
        <f t="shared" si="11"/>
        <v>723</v>
      </c>
      <c r="AF159" s="456"/>
      <c r="AG159" s="471">
        <v>1</v>
      </c>
      <c r="AH159" s="462">
        <f t="shared" si="8"/>
        <v>1</v>
      </c>
      <c r="AI159" s="456"/>
      <c r="AJ159" s="456"/>
      <c r="AK159" s="456"/>
      <c r="AL159" s="456"/>
      <c r="AM159" s="456"/>
      <c r="AN159" s="456"/>
      <c r="AO159" s="456"/>
      <c r="AP159" s="456"/>
      <c r="AQ159" s="456"/>
      <c r="AR159" s="456"/>
      <c r="AS159" s="456"/>
      <c r="AT159" s="456"/>
    </row>
    <row r="160" spans="1:46" ht="90" x14ac:dyDescent="0.2">
      <c r="A160" s="729"/>
      <c r="B160" s="763"/>
      <c r="C160" s="765"/>
      <c r="D160" s="718"/>
      <c r="E160" s="718"/>
      <c r="F160" s="718"/>
      <c r="G160" s="718"/>
      <c r="H160" s="718"/>
      <c r="I160" s="760"/>
      <c r="J160" s="454" t="s">
        <v>1183</v>
      </c>
      <c r="K160" s="454" t="s">
        <v>1184</v>
      </c>
      <c r="L160" s="454">
        <v>771</v>
      </c>
      <c r="M160" s="454">
        <v>80</v>
      </c>
      <c r="N160" s="454"/>
      <c r="O160" s="456"/>
      <c r="P160" s="457">
        <v>0</v>
      </c>
      <c r="Q160" s="457">
        <v>0</v>
      </c>
      <c r="R160" s="457">
        <v>0</v>
      </c>
      <c r="S160" s="457">
        <v>0</v>
      </c>
      <c r="T160" s="457">
        <v>0</v>
      </c>
      <c r="U160" s="457">
        <v>0</v>
      </c>
      <c r="V160" s="487"/>
      <c r="W160" s="487">
        <v>0</v>
      </c>
      <c r="X160" s="487">
        <v>0</v>
      </c>
      <c r="Y160" s="457">
        <v>19</v>
      </c>
      <c r="Z160" s="457">
        <v>0</v>
      </c>
      <c r="AA160" s="457">
        <v>0</v>
      </c>
      <c r="AB160" s="457"/>
      <c r="AC160" s="457"/>
      <c r="AD160" s="457"/>
      <c r="AE160" s="457">
        <f t="shared" si="11"/>
        <v>19</v>
      </c>
      <c r="AF160" s="456"/>
      <c r="AG160" s="471">
        <f t="shared" si="10"/>
        <v>2.464332036316472E-2</v>
      </c>
      <c r="AH160" s="462">
        <f t="shared" si="8"/>
        <v>2.464332036316472E-2</v>
      </c>
      <c r="AI160" s="456"/>
      <c r="AJ160" s="456"/>
      <c r="AK160" s="456"/>
      <c r="AL160" s="456"/>
      <c r="AM160" s="456"/>
      <c r="AN160" s="456"/>
      <c r="AO160" s="456"/>
      <c r="AP160" s="456"/>
      <c r="AQ160" s="456"/>
      <c r="AR160" s="456"/>
      <c r="AS160" s="456"/>
      <c r="AT160" s="456"/>
    </row>
    <row r="161" spans="1:46" ht="56.25" x14ac:dyDescent="0.2">
      <c r="A161" s="729"/>
      <c r="B161" s="763"/>
      <c r="C161" s="765"/>
      <c r="D161" s="718"/>
      <c r="E161" s="718"/>
      <c r="F161" s="718"/>
      <c r="G161" s="718"/>
      <c r="H161" s="718"/>
      <c r="I161" s="760"/>
      <c r="J161" s="454" t="s">
        <v>1185</v>
      </c>
      <c r="K161" s="454" t="s">
        <v>1186</v>
      </c>
      <c r="L161" s="454">
        <v>80</v>
      </c>
      <c r="M161" s="454">
        <v>0</v>
      </c>
      <c r="N161" s="454"/>
      <c r="O161" s="456"/>
      <c r="P161" s="457">
        <v>0</v>
      </c>
      <c r="Q161" s="457">
        <v>5</v>
      </c>
      <c r="R161" s="457">
        <v>0</v>
      </c>
      <c r="S161" s="457">
        <v>0</v>
      </c>
      <c r="T161" s="457">
        <v>3</v>
      </c>
      <c r="U161" s="457">
        <v>0</v>
      </c>
      <c r="V161" s="487"/>
      <c r="W161" s="487">
        <v>7</v>
      </c>
      <c r="X161" s="487">
        <v>0</v>
      </c>
      <c r="Y161" s="457">
        <v>5</v>
      </c>
      <c r="Z161" s="457">
        <v>1</v>
      </c>
      <c r="AA161" s="457">
        <v>6</v>
      </c>
      <c r="AB161" s="457"/>
      <c r="AC161" s="457"/>
      <c r="AD161" s="457"/>
      <c r="AE161" s="457">
        <f t="shared" si="11"/>
        <v>27</v>
      </c>
      <c r="AF161" s="456"/>
      <c r="AG161" s="471">
        <f t="shared" si="10"/>
        <v>0.33750000000000002</v>
      </c>
      <c r="AH161" s="462">
        <f t="shared" si="8"/>
        <v>0.33750000000000002</v>
      </c>
      <c r="AI161" s="456"/>
      <c r="AJ161" s="456"/>
      <c r="AK161" s="456"/>
      <c r="AL161" s="456"/>
      <c r="AM161" s="456"/>
      <c r="AN161" s="456"/>
      <c r="AO161" s="456"/>
      <c r="AP161" s="456"/>
      <c r="AQ161" s="456"/>
      <c r="AR161" s="456"/>
      <c r="AS161" s="456"/>
      <c r="AT161" s="456"/>
    </row>
    <row r="162" spans="1:46" ht="37.5" customHeight="1" x14ac:dyDescent="0.2">
      <c r="A162" s="729"/>
      <c r="B162" s="763"/>
      <c r="C162" s="765"/>
      <c r="D162" s="718"/>
      <c r="E162" s="718"/>
      <c r="F162" s="718"/>
      <c r="G162" s="718"/>
      <c r="H162" s="718"/>
      <c r="I162" s="760"/>
      <c r="J162" s="454"/>
      <c r="K162" s="454"/>
      <c r="L162" s="454"/>
      <c r="M162" s="454"/>
      <c r="N162" s="454"/>
      <c r="O162" s="456"/>
      <c r="P162" s="456"/>
      <c r="Q162" s="456"/>
      <c r="R162" s="456"/>
      <c r="S162" s="456"/>
      <c r="T162" s="456"/>
      <c r="U162" s="456"/>
      <c r="V162" s="456"/>
      <c r="W162" s="456"/>
      <c r="X162" s="456"/>
      <c r="Y162" s="456"/>
      <c r="Z162" s="456"/>
      <c r="AA162" s="456"/>
      <c r="AB162" s="456"/>
      <c r="AC162" s="456"/>
      <c r="AD162" s="456"/>
      <c r="AE162" s="457"/>
      <c r="AF162" s="456"/>
      <c r="AG162" s="516">
        <f>AVERAGE(AG154:AG161)</f>
        <v>0.22298041504539556</v>
      </c>
      <c r="AH162" s="462">
        <f t="shared" si="8"/>
        <v>0.22298041504539556</v>
      </c>
      <c r="AI162" s="456"/>
      <c r="AJ162" s="456"/>
      <c r="AK162" s="456"/>
      <c r="AL162" s="456"/>
      <c r="AM162" s="456"/>
      <c r="AN162" s="456"/>
      <c r="AO162" s="456"/>
      <c r="AP162" s="456"/>
      <c r="AQ162" s="456"/>
      <c r="AR162" s="456"/>
      <c r="AS162" s="456"/>
      <c r="AT162" s="456"/>
    </row>
    <row r="163" spans="1:46" ht="37.5" customHeight="1" x14ac:dyDescent="0.2">
      <c r="A163" s="729"/>
      <c r="B163" s="763"/>
      <c r="C163" s="765"/>
      <c r="D163" s="718"/>
      <c r="E163" s="718"/>
      <c r="F163" s="718"/>
      <c r="G163" s="718"/>
      <c r="H163" s="718"/>
      <c r="I163" s="760"/>
      <c r="J163" s="454"/>
      <c r="K163" s="454"/>
      <c r="L163" s="454"/>
      <c r="M163" s="454"/>
      <c r="N163" s="454"/>
      <c r="O163" s="456"/>
      <c r="P163" s="456"/>
      <c r="Q163" s="456"/>
      <c r="R163" s="456"/>
      <c r="S163" s="456"/>
      <c r="T163" s="456"/>
      <c r="U163" s="456"/>
      <c r="V163" s="456"/>
      <c r="W163" s="456"/>
      <c r="X163" s="456"/>
      <c r="Y163" s="456"/>
      <c r="Z163" s="456"/>
      <c r="AA163" s="456"/>
      <c r="AB163" s="456"/>
      <c r="AC163" s="456"/>
      <c r="AD163" s="456"/>
      <c r="AE163" s="457"/>
      <c r="AF163" s="456"/>
      <c r="AG163" s="529">
        <f>+AG162</f>
        <v>0.22298041504539556</v>
      </c>
      <c r="AH163" s="462">
        <f t="shared" si="8"/>
        <v>0.22298041504539556</v>
      </c>
      <c r="AI163" s="456"/>
      <c r="AJ163" s="456"/>
      <c r="AK163" s="456"/>
      <c r="AL163" s="456"/>
      <c r="AM163" s="456"/>
      <c r="AN163" s="456"/>
      <c r="AO163" s="456"/>
      <c r="AP163" s="456"/>
      <c r="AQ163" s="456"/>
      <c r="AR163" s="456"/>
      <c r="AS163" s="456"/>
      <c r="AT163" s="456"/>
    </row>
    <row r="164" spans="1:46" ht="36" customHeight="1" x14ac:dyDescent="0.2">
      <c r="A164" s="729"/>
      <c r="B164" s="764"/>
      <c r="C164" s="530"/>
      <c r="D164" s="506"/>
      <c r="E164" s="506"/>
      <c r="F164" s="506"/>
      <c r="G164" s="506"/>
      <c r="H164" s="506"/>
      <c r="I164" s="506"/>
      <c r="J164" s="454"/>
      <c r="K164" s="454"/>
      <c r="L164" s="454"/>
      <c r="M164" s="454"/>
      <c r="N164" s="454"/>
      <c r="O164" s="456"/>
      <c r="P164" s="456"/>
      <c r="Q164" s="456"/>
      <c r="R164" s="456"/>
      <c r="S164" s="456"/>
      <c r="T164" s="456"/>
      <c r="U164" s="456"/>
      <c r="V164" s="456"/>
      <c r="W164" s="456"/>
      <c r="X164" s="456"/>
      <c r="Y164" s="456"/>
      <c r="Z164" s="456"/>
      <c r="AA164" s="456"/>
      <c r="AB164" s="456"/>
      <c r="AC164" s="456"/>
      <c r="AD164" s="456"/>
      <c r="AE164" s="457"/>
      <c r="AF164" s="456"/>
      <c r="AG164" s="531">
        <f>+(AG113 +AG125+AG163+AG153)/4</f>
        <v>0.64922782715595417</v>
      </c>
      <c r="AH164" s="462">
        <f t="shared" si="8"/>
        <v>0.64922782715595417</v>
      </c>
      <c r="AI164" s="456"/>
      <c r="AJ164" s="456"/>
      <c r="AK164" s="456"/>
      <c r="AL164" s="456"/>
      <c r="AM164" s="456"/>
      <c r="AN164" s="456"/>
      <c r="AO164" s="456"/>
      <c r="AP164" s="456"/>
      <c r="AQ164" s="456"/>
      <c r="AR164" s="456"/>
      <c r="AS164" s="456"/>
      <c r="AT164" s="456"/>
    </row>
    <row r="165" spans="1:46" ht="82.5" customHeight="1" x14ac:dyDescent="0.2">
      <c r="A165" s="729"/>
      <c r="B165" s="726" t="s">
        <v>2112</v>
      </c>
      <c r="C165" s="738" t="s">
        <v>2113</v>
      </c>
      <c r="D165" s="781" t="s">
        <v>1187</v>
      </c>
      <c r="E165" s="736" t="s">
        <v>1189</v>
      </c>
      <c r="F165" s="736" t="s">
        <v>1188</v>
      </c>
      <c r="G165" s="736">
        <v>1</v>
      </c>
      <c r="H165" s="736">
        <v>1</v>
      </c>
      <c r="I165" s="707" t="s">
        <v>1190</v>
      </c>
      <c r="J165" s="454" t="s">
        <v>1191</v>
      </c>
      <c r="K165" s="454" t="s">
        <v>1192</v>
      </c>
      <c r="L165" s="454">
        <v>1</v>
      </c>
      <c r="M165" s="532">
        <v>1</v>
      </c>
      <c r="N165" s="532"/>
      <c r="O165" s="456"/>
      <c r="P165" s="457">
        <v>0</v>
      </c>
      <c r="Q165" s="457">
        <v>0.2</v>
      </c>
      <c r="R165" s="457"/>
      <c r="S165" s="457">
        <v>0.6</v>
      </c>
      <c r="T165" s="457">
        <v>0</v>
      </c>
      <c r="U165" s="457">
        <v>0</v>
      </c>
      <c r="V165" s="457">
        <v>0</v>
      </c>
      <c r="W165" s="457">
        <v>0</v>
      </c>
      <c r="X165" s="457">
        <v>0</v>
      </c>
      <c r="Y165" s="457">
        <v>0</v>
      </c>
      <c r="Z165" s="457">
        <v>0</v>
      </c>
      <c r="AA165" s="457">
        <v>0</v>
      </c>
      <c r="AB165" s="457"/>
      <c r="AC165" s="457"/>
      <c r="AD165" s="457"/>
      <c r="AE165" s="457">
        <f t="shared" si="11"/>
        <v>0.8</v>
      </c>
      <c r="AF165" s="456"/>
      <c r="AG165" s="533">
        <f>+(AE165/L165)</f>
        <v>0.8</v>
      </c>
      <c r="AH165" s="462">
        <f t="shared" si="8"/>
        <v>0.8</v>
      </c>
      <c r="AI165" s="456"/>
      <c r="AJ165" s="790">
        <v>2509128371</v>
      </c>
      <c r="AK165" s="457"/>
      <c r="AL165" s="457"/>
      <c r="AM165" s="457"/>
      <c r="AN165" s="457"/>
      <c r="AO165" s="457"/>
      <c r="AP165" s="457"/>
      <c r="AQ165" s="457"/>
      <c r="AR165" s="457"/>
      <c r="AS165" s="790">
        <v>867911575</v>
      </c>
      <c r="AT165" s="723">
        <f>+AS165/AJ165</f>
        <v>0.34590162266353014</v>
      </c>
    </row>
    <row r="166" spans="1:46" ht="45" customHeight="1" x14ac:dyDescent="0.2">
      <c r="A166" s="729"/>
      <c r="B166" s="727"/>
      <c r="C166" s="739"/>
      <c r="D166" s="781"/>
      <c r="E166" s="743"/>
      <c r="F166" s="743"/>
      <c r="G166" s="743"/>
      <c r="H166" s="743"/>
      <c r="I166" s="708"/>
      <c r="J166" s="454" t="s">
        <v>1193</v>
      </c>
      <c r="K166" s="454" t="s">
        <v>1194</v>
      </c>
      <c r="L166" s="454">
        <v>1</v>
      </c>
      <c r="M166" s="532">
        <v>1</v>
      </c>
      <c r="N166" s="532"/>
      <c r="O166" s="456"/>
      <c r="P166" s="457">
        <v>0</v>
      </c>
      <c r="Q166" s="457">
        <v>0</v>
      </c>
      <c r="R166" s="457"/>
      <c r="S166" s="457">
        <v>0</v>
      </c>
      <c r="T166" s="457">
        <v>0</v>
      </c>
      <c r="U166" s="457">
        <v>0</v>
      </c>
      <c r="V166" s="457">
        <v>0</v>
      </c>
      <c r="W166" s="457">
        <v>0.2</v>
      </c>
      <c r="X166" s="457">
        <v>0.3</v>
      </c>
      <c r="Y166" s="457">
        <v>0</v>
      </c>
      <c r="Z166" s="457">
        <v>0</v>
      </c>
      <c r="AA166" s="457">
        <v>0</v>
      </c>
      <c r="AB166" s="457"/>
      <c r="AC166" s="457"/>
      <c r="AD166" s="457"/>
      <c r="AE166" s="457">
        <f t="shared" si="11"/>
        <v>0.5</v>
      </c>
      <c r="AF166" s="456"/>
      <c r="AG166" s="471">
        <f>+(AE166/L166)</f>
        <v>0.5</v>
      </c>
      <c r="AH166" s="462">
        <f t="shared" si="8"/>
        <v>0.5</v>
      </c>
      <c r="AI166" s="456"/>
      <c r="AJ166" s="792"/>
      <c r="AK166" s="456"/>
      <c r="AL166" s="456"/>
      <c r="AM166" s="456"/>
      <c r="AN166" s="456"/>
      <c r="AO166" s="456"/>
      <c r="AP166" s="456"/>
      <c r="AQ166" s="456"/>
      <c r="AR166" s="456"/>
      <c r="AS166" s="792"/>
      <c r="AT166" s="724"/>
    </row>
    <row r="167" spans="1:46" ht="33.75" x14ac:dyDescent="0.2">
      <c r="A167" s="729"/>
      <c r="B167" s="727"/>
      <c r="C167" s="739"/>
      <c r="D167" s="781"/>
      <c r="E167" s="743"/>
      <c r="F167" s="743"/>
      <c r="G167" s="743"/>
      <c r="H167" s="743"/>
      <c r="I167" s="708"/>
      <c r="J167" s="454" t="s">
        <v>1195</v>
      </c>
      <c r="K167" s="454" t="s">
        <v>1196</v>
      </c>
      <c r="L167" s="454">
        <v>1</v>
      </c>
      <c r="M167" s="532">
        <v>1</v>
      </c>
      <c r="N167" s="532"/>
      <c r="O167" s="456"/>
      <c r="P167" s="457">
        <v>0</v>
      </c>
      <c r="Q167" s="457">
        <v>0</v>
      </c>
      <c r="R167" s="457"/>
      <c r="S167" s="457">
        <v>0</v>
      </c>
      <c r="T167" s="457">
        <v>0</v>
      </c>
      <c r="U167" s="457">
        <v>0</v>
      </c>
      <c r="V167" s="457">
        <v>0</v>
      </c>
      <c r="W167" s="457">
        <v>0</v>
      </c>
      <c r="X167" s="457">
        <v>0</v>
      </c>
      <c r="Y167" s="457">
        <v>0</v>
      </c>
      <c r="Z167" s="457">
        <v>0</v>
      </c>
      <c r="AA167" s="457">
        <v>0</v>
      </c>
      <c r="AB167" s="457"/>
      <c r="AC167" s="457"/>
      <c r="AD167" s="457"/>
      <c r="AE167" s="457">
        <f t="shared" si="11"/>
        <v>0</v>
      </c>
      <c r="AF167" s="456"/>
      <c r="AG167" s="471">
        <f>+(AE167/L167)</f>
        <v>0</v>
      </c>
      <c r="AH167" s="462">
        <f t="shared" si="8"/>
        <v>0</v>
      </c>
      <c r="AI167" s="456"/>
      <c r="AJ167" s="792"/>
      <c r="AK167" s="456"/>
      <c r="AL167" s="456"/>
      <c r="AM167" s="456"/>
      <c r="AN167" s="456"/>
      <c r="AO167" s="456"/>
      <c r="AP167" s="456"/>
      <c r="AQ167" s="456"/>
      <c r="AR167" s="456"/>
      <c r="AS167" s="792"/>
      <c r="AT167" s="724"/>
    </row>
    <row r="168" spans="1:46" ht="60" customHeight="1" x14ac:dyDescent="0.2">
      <c r="A168" s="729"/>
      <c r="B168" s="727"/>
      <c r="C168" s="739"/>
      <c r="D168" s="781"/>
      <c r="E168" s="737"/>
      <c r="F168" s="737"/>
      <c r="G168" s="737"/>
      <c r="H168" s="737"/>
      <c r="I168" s="709"/>
      <c r="J168" s="454"/>
      <c r="K168" s="454"/>
      <c r="L168" s="454"/>
      <c r="M168" s="532"/>
      <c r="N168" s="532"/>
      <c r="O168" s="456"/>
      <c r="P168" s="456"/>
      <c r="Q168" s="456"/>
      <c r="R168" s="456"/>
      <c r="S168" s="456"/>
      <c r="T168" s="456"/>
      <c r="U168" s="456"/>
      <c r="V168" s="456"/>
      <c r="W168" s="456"/>
      <c r="X168" s="456"/>
      <c r="Y168" s="456"/>
      <c r="Z168" s="456"/>
      <c r="AA168" s="456"/>
      <c r="AB168" s="456"/>
      <c r="AC168" s="456"/>
      <c r="AD168" s="456"/>
      <c r="AE168" s="457"/>
      <c r="AF168" s="456"/>
      <c r="AG168" s="498">
        <f>AVERAGE(AG165:AG167)</f>
        <v>0.43333333333333335</v>
      </c>
      <c r="AH168" s="462">
        <f t="shared" si="8"/>
        <v>0.43333333333333335</v>
      </c>
      <c r="AI168" s="456"/>
      <c r="AJ168" s="792"/>
      <c r="AK168" s="456"/>
      <c r="AL168" s="456"/>
      <c r="AM168" s="456"/>
      <c r="AN168" s="456"/>
      <c r="AO168" s="456"/>
      <c r="AP168" s="456"/>
      <c r="AQ168" s="456"/>
      <c r="AR168" s="456"/>
      <c r="AS168" s="792"/>
      <c r="AT168" s="724"/>
    </row>
    <row r="169" spans="1:46" ht="78.75" x14ac:dyDescent="0.2">
      <c r="A169" s="729"/>
      <c r="B169" s="727"/>
      <c r="C169" s="739"/>
      <c r="D169" s="781"/>
      <c r="E169" s="736" t="s">
        <v>1189</v>
      </c>
      <c r="F169" s="736" t="s">
        <v>1188</v>
      </c>
      <c r="G169" s="736">
        <v>1</v>
      </c>
      <c r="H169" s="736">
        <v>1</v>
      </c>
      <c r="I169" s="707" t="s">
        <v>2073</v>
      </c>
      <c r="J169" s="454" t="s">
        <v>1197</v>
      </c>
      <c r="K169" s="454" t="s">
        <v>1198</v>
      </c>
      <c r="L169" s="465">
        <v>1</v>
      </c>
      <c r="M169" s="532">
        <v>0</v>
      </c>
      <c r="N169" s="532"/>
      <c r="O169" s="456"/>
      <c r="P169" s="457">
        <v>0</v>
      </c>
      <c r="Q169" s="457">
        <v>0</v>
      </c>
      <c r="R169" s="457"/>
      <c r="S169" s="457">
        <v>0</v>
      </c>
      <c r="T169" s="457">
        <v>0</v>
      </c>
      <c r="U169" s="457">
        <v>0</v>
      </c>
      <c r="V169" s="457">
        <v>0</v>
      </c>
      <c r="W169" s="457">
        <v>0</v>
      </c>
      <c r="X169" s="457">
        <v>0</v>
      </c>
      <c r="Y169" s="457">
        <v>0.4</v>
      </c>
      <c r="Z169" s="457"/>
      <c r="AA169" s="457">
        <v>0.5</v>
      </c>
      <c r="AB169" s="457"/>
      <c r="AC169" s="457"/>
      <c r="AD169" s="457"/>
      <c r="AE169" s="457">
        <f t="shared" si="11"/>
        <v>0.9</v>
      </c>
      <c r="AF169" s="456"/>
      <c r="AG169" s="471">
        <f>+(AE169/L169)</f>
        <v>0.9</v>
      </c>
      <c r="AH169" s="462">
        <f t="shared" si="8"/>
        <v>0.9</v>
      </c>
      <c r="AI169" s="456"/>
      <c r="AJ169" s="792"/>
      <c r="AK169" s="456"/>
      <c r="AL169" s="456"/>
      <c r="AM169" s="456"/>
      <c r="AN169" s="456"/>
      <c r="AO169" s="456"/>
      <c r="AP169" s="456"/>
      <c r="AQ169" s="456"/>
      <c r="AR169" s="456"/>
      <c r="AS169" s="792"/>
      <c r="AT169" s="724"/>
    </row>
    <row r="170" spans="1:46" ht="57.75" customHeight="1" x14ac:dyDescent="0.2">
      <c r="A170" s="729"/>
      <c r="B170" s="727"/>
      <c r="C170" s="739"/>
      <c r="D170" s="781"/>
      <c r="E170" s="737"/>
      <c r="F170" s="737"/>
      <c r="G170" s="737"/>
      <c r="H170" s="737"/>
      <c r="I170" s="709"/>
      <c r="J170" s="454"/>
      <c r="K170" s="454"/>
      <c r="L170" s="465"/>
      <c r="M170" s="532"/>
      <c r="N170" s="532"/>
      <c r="O170" s="456"/>
      <c r="P170" s="456"/>
      <c r="Q170" s="456"/>
      <c r="R170" s="456"/>
      <c r="S170" s="456"/>
      <c r="T170" s="456"/>
      <c r="U170" s="456"/>
      <c r="V170" s="456"/>
      <c r="W170" s="456"/>
      <c r="X170" s="456"/>
      <c r="Y170" s="456"/>
      <c r="Z170" s="456"/>
      <c r="AA170" s="456"/>
      <c r="AB170" s="456"/>
      <c r="AC170" s="456"/>
      <c r="AD170" s="456"/>
      <c r="AE170" s="457"/>
      <c r="AF170" s="456"/>
      <c r="AG170" s="492">
        <f>+AG169</f>
        <v>0.9</v>
      </c>
      <c r="AH170" s="462">
        <f t="shared" si="8"/>
        <v>0.9</v>
      </c>
      <c r="AI170" s="456"/>
      <c r="AJ170" s="792"/>
      <c r="AK170" s="456"/>
      <c r="AL170" s="456"/>
      <c r="AM170" s="456"/>
      <c r="AN170" s="456"/>
      <c r="AO170" s="456"/>
      <c r="AP170" s="456"/>
      <c r="AQ170" s="456"/>
      <c r="AR170" s="456"/>
      <c r="AS170" s="792"/>
      <c r="AT170" s="724"/>
    </row>
    <row r="171" spans="1:46" ht="78.75" x14ac:dyDescent="0.2">
      <c r="A171" s="729"/>
      <c r="B171" s="727"/>
      <c r="C171" s="739"/>
      <c r="D171" s="781"/>
      <c r="E171" s="736" t="s">
        <v>1200</v>
      </c>
      <c r="F171" s="736" t="s">
        <v>1199</v>
      </c>
      <c r="G171" s="736">
        <v>3</v>
      </c>
      <c r="H171" s="736">
        <v>1</v>
      </c>
      <c r="I171" s="707" t="s">
        <v>1207</v>
      </c>
      <c r="J171" s="454" t="s">
        <v>1201</v>
      </c>
      <c r="K171" s="454" t="s">
        <v>1202</v>
      </c>
      <c r="L171" s="465">
        <v>1</v>
      </c>
      <c r="M171" s="532">
        <v>1</v>
      </c>
      <c r="N171" s="532"/>
      <c r="O171" s="456"/>
      <c r="P171" s="457">
        <v>0</v>
      </c>
      <c r="Q171" s="457">
        <v>0</v>
      </c>
      <c r="R171" s="457"/>
      <c r="S171" s="457">
        <v>0.6</v>
      </c>
      <c r="T171" s="457">
        <v>0</v>
      </c>
      <c r="U171" s="457">
        <v>0</v>
      </c>
      <c r="V171" s="457"/>
      <c r="W171" s="457">
        <v>0.15</v>
      </c>
      <c r="X171" s="457">
        <v>0.05</v>
      </c>
      <c r="Y171" s="457"/>
      <c r="Z171" s="457"/>
      <c r="AA171" s="457">
        <v>0.1</v>
      </c>
      <c r="AB171" s="457"/>
      <c r="AC171" s="457"/>
      <c r="AD171" s="457"/>
      <c r="AE171" s="457">
        <f t="shared" si="11"/>
        <v>0.9</v>
      </c>
      <c r="AF171" s="456"/>
      <c r="AG171" s="471">
        <f>+(AE171/L171)</f>
        <v>0.9</v>
      </c>
      <c r="AH171" s="462">
        <f t="shared" si="8"/>
        <v>0.9</v>
      </c>
      <c r="AI171" s="456"/>
      <c r="AJ171" s="792"/>
      <c r="AK171" s="456"/>
      <c r="AL171" s="456"/>
      <c r="AM171" s="456"/>
      <c r="AN171" s="456"/>
      <c r="AO171" s="456"/>
      <c r="AP171" s="456"/>
      <c r="AQ171" s="456"/>
      <c r="AR171" s="456"/>
      <c r="AS171" s="792"/>
      <c r="AT171" s="724"/>
    </row>
    <row r="172" spans="1:46" ht="57.75" customHeight="1" x14ac:dyDescent="0.2">
      <c r="A172" s="729"/>
      <c r="B172" s="727"/>
      <c r="C172" s="739"/>
      <c r="D172" s="781"/>
      <c r="E172" s="743"/>
      <c r="F172" s="743"/>
      <c r="G172" s="743"/>
      <c r="H172" s="743"/>
      <c r="I172" s="709"/>
      <c r="J172" s="454"/>
      <c r="K172" s="454"/>
      <c r="L172" s="455"/>
      <c r="M172" s="532"/>
      <c r="N172" s="532"/>
      <c r="O172" s="456"/>
      <c r="P172" s="456"/>
      <c r="Q172" s="456"/>
      <c r="R172" s="456"/>
      <c r="S172" s="456"/>
      <c r="T172" s="456"/>
      <c r="U172" s="456"/>
      <c r="V172" s="456"/>
      <c r="W172" s="456"/>
      <c r="X172" s="456"/>
      <c r="Y172" s="456"/>
      <c r="Z172" s="456"/>
      <c r="AA172" s="456"/>
      <c r="AB172" s="456"/>
      <c r="AC172" s="456"/>
      <c r="AD172" s="456"/>
      <c r="AE172" s="457"/>
      <c r="AF172" s="456"/>
      <c r="AG172" s="492">
        <f>+AG171</f>
        <v>0.9</v>
      </c>
      <c r="AH172" s="462">
        <f t="shared" si="8"/>
        <v>0.9</v>
      </c>
      <c r="AI172" s="456"/>
      <c r="AJ172" s="791"/>
      <c r="AK172" s="456"/>
      <c r="AL172" s="456"/>
      <c r="AM172" s="456"/>
      <c r="AN172" s="456"/>
      <c r="AO172" s="456"/>
      <c r="AP172" s="456"/>
      <c r="AQ172" s="456"/>
      <c r="AR172" s="456"/>
      <c r="AS172" s="791"/>
      <c r="AT172" s="725"/>
    </row>
    <row r="173" spans="1:46" ht="60" customHeight="1" x14ac:dyDescent="0.2">
      <c r="A173" s="729"/>
      <c r="B173" s="727"/>
      <c r="C173" s="739"/>
      <c r="D173" s="781"/>
      <c r="E173" s="743"/>
      <c r="F173" s="743"/>
      <c r="G173" s="743"/>
      <c r="H173" s="743"/>
      <c r="I173" s="718" t="s">
        <v>2074</v>
      </c>
      <c r="J173" s="454" t="s">
        <v>1203</v>
      </c>
      <c r="K173" s="454" t="s">
        <v>1204</v>
      </c>
      <c r="L173" s="454">
        <v>1</v>
      </c>
      <c r="M173" s="532">
        <v>0</v>
      </c>
      <c r="N173" s="532"/>
      <c r="O173" s="456"/>
      <c r="P173" s="457">
        <v>0</v>
      </c>
      <c r="Q173" s="457">
        <v>0</v>
      </c>
      <c r="R173" s="457"/>
      <c r="S173" s="457">
        <v>0.5</v>
      </c>
      <c r="T173" s="457">
        <v>0</v>
      </c>
      <c r="U173" s="457">
        <v>0</v>
      </c>
      <c r="V173" s="457">
        <v>0.1</v>
      </c>
      <c r="W173" s="457">
        <v>0.2</v>
      </c>
      <c r="X173" s="457">
        <v>0</v>
      </c>
      <c r="Y173" s="457">
        <v>0</v>
      </c>
      <c r="Z173" s="457">
        <v>0</v>
      </c>
      <c r="AA173" s="457">
        <v>0</v>
      </c>
      <c r="AB173" s="457"/>
      <c r="AC173" s="457"/>
      <c r="AD173" s="457"/>
      <c r="AE173" s="457">
        <f>+Q173</f>
        <v>0</v>
      </c>
      <c r="AF173" s="456"/>
      <c r="AG173" s="471">
        <v>0.7</v>
      </c>
      <c r="AH173" s="462">
        <f t="shared" si="8"/>
        <v>0.7</v>
      </c>
      <c r="AI173" s="456"/>
      <c r="AJ173" s="796">
        <v>2509128371</v>
      </c>
      <c r="AK173" s="456"/>
      <c r="AL173" s="456"/>
      <c r="AM173" s="456"/>
      <c r="AN173" s="456"/>
      <c r="AO173" s="456"/>
      <c r="AP173" s="456"/>
      <c r="AQ173" s="456"/>
      <c r="AR173" s="456"/>
      <c r="AS173" s="796">
        <v>867911575</v>
      </c>
      <c r="AT173" s="723">
        <f>+AS173/AJ173</f>
        <v>0.34590162266353014</v>
      </c>
    </row>
    <row r="174" spans="1:46" ht="56.25" x14ac:dyDescent="0.2">
      <c r="A174" s="729"/>
      <c r="B174" s="727"/>
      <c r="C174" s="739"/>
      <c r="D174" s="781"/>
      <c r="E174" s="743"/>
      <c r="F174" s="743"/>
      <c r="G174" s="743"/>
      <c r="H174" s="743"/>
      <c r="I174" s="718"/>
      <c r="J174" s="454" t="s">
        <v>1205</v>
      </c>
      <c r="K174" s="454" t="s">
        <v>1206</v>
      </c>
      <c r="L174" s="454">
        <v>1</v>
      </c>
      <c r="M174" s="532">
        <v>0</v>
      </c>
      <c r="N174" s="532"/>
      <c r="O174" s="456"/>
      <c r="P174" s="457">
        <v>0</v>
      </c>
      <c r="Q174" s="457">
        <v>0</v>
      </c>
      <c r="R174" s="457"/>
      <c r="S174" s="457">
        <v>0.5</v>
      </c>
      <c r="T174" s="457">
        <v>0</v>
      </c>
      <c r="U174" s="457">
        <v>0</v>
      </c>
      <c r="V174" s="457">
        <v>0.1</v>
      </c>
      <c r="W174" s="457">
        <v>0.2</v>
      </c>
      <c r="X174" s="457">
        <v>0</v>
      </c>
      <c r="Y174" s="457">
        <v>0</v>
      </c>
      <c r="Z174" s="457">
        <v>0</v>
      </c>
      <c r="AA174" s="457">
        <v>0</v>
      </c>
      <c r="AB174" s="457"/>
      <c r="AC174" s="457"/>
      <c r="AD174" s="457"/>
      <c r="AE174" s="457">
        <f>+Q174</f>
        <v>0</v>
      </c>
      <c r="AF174" s="456"/>
      <c r="AG174" s="471">
        <v>0.7</v>
      </c>
      <c r="AH174" s="462">
        <f t="shared" si="8"/>
        <v>0.7</v>
      </c>
      <c r="AI174" s="456"/>
      <c r="AJ174" s="797"/>
      <c r="AK174" s="456"/>
      <c r="AL174" s="456"/>
      <c r="AM174" s="456"/>
      <c r="AN174" s="456"/>
      <c r="AO174" s="456"/>
      <c r="AP174" s="456"/>
      <c r="AQ174" s="456"/>
      <c r="AR174" s="456"/>
      <c r="AS174" s="799"/>
      <c r="AT174" s="724"/>
    </row>
    <row r="175" spans="1:46" ht="57.75" customHeight="1" x14ac:dyDescent="0.2">
      <c r="A175" s="729"/>
      <c r="B175" s="727"/>
      <c r="C175" s="739"/>
      <c r="D175" s="781"/>
      <c r="E175" s="743"/>
      <c r="F175" s="743"/>
      <c r="G175" s="743"/>
      <c r="H175" s="743"/>
      <c r="I175" s="718"/>
      <c r="J175" s="454"/>
      <c r="K175" s="454"/>
      <c r="L175" s="454"/>
      <c r="M175" s="534"/>
      <c r="N175" s="534"/>
      <c r="O175" s="456"/>
      <c r="P175" s="456"/>
      <c r="Q175" s="456"/>
      <c r="R175" s="456"/>
      <c r="S175" s="456"/>
      <c r="T175" s="456"/>
      <c r="U175" s="456"/>
      <c r="V175" s="456"/>
      <c r="W175" s="456"/>
      <c r="X175" s="456"/>
      <c r="Y175" s="456"/>
      <c r="Z175" s="456"/>
      <c r="AA175" s="456"/>
      <c r="AB175" s="456"/>
      <c r="AC175" s="456"/>
      <c r="AD175" s="456"/>
      <c r="AE175" s="457"/>
      <c r="AF175" s="456"/>
      <c r="AG175" s="492">
        <f>AVERAGE(AG173:AG174)</f>
        <v>0.7</v>
      </c>
      <c r="AH175" s="462">
        <f t="shared" si="8"/>
        <v>0.7</v>
      </c>
      <c r="AI175" s="456"/>
      <c r="AJ175" s="798"/>
      <c r="AK175" s="456"/>
      <c r="AL175" s="456"/>
      <c r="AM175" s="456"/>
      <c r="AN175" s="456"/>
      <c r="AO175" s="456"/>
      <c r="AP175" s="456"/>
      <c r="AQ175" s="456"/>
      <c r="AR175" s="456"/>
      <c r="AS175" s="800"/>
      <c r="AT175" s="725"/>
    </row>
    <row r="176" spans="1:46" ht="123.75" x14ac:dyDescent="0.2">
      <c r="A176" s="729"/>
      <c r="B176" s="727"/>
      <c r="C176" s="739"/>
      <c r="D176" s="781"/>
      <c r="E176" s="743"/>
      <c r="F176" s="743"/>
      <c r="G176" s="743"/>
      <c r="H176" s="743"/>
      <c r="I176" s="707" t="s">
        <v>1210</v>
      </c>
      <c r="J176" s="454" t="s">
        <v>1208</v>
      </c>
      <c r="K176" s="454" t="s">
        <v>1209</v>
      </c>
      <c r="L176" s="454">
        <v>1</v>
      </c>
      <c r="M176" s="454">
        <v>0</v>
      </c>
      <c r="N176" s="454"/>
      <c r="O176" s="456"/>
      <c r="P176" s="457"/>
      <c r="Q176" s="457">
        <v>0</v>
      </c>
      <c r="R176" s="457"/>
      <c r="S176" s="457">
        <v>1</v>
      </c>
      <c r="T176" s="457">
        <v>0</v>
      </c>
      <c r="U176" s="457">
        <v>0</v>
      </c>
      <c r="V176" s="457">
        <v>1</v>
      </c>
      <c r="W176" s="457">
        <v>0</v>
      </c>
      <c r="X176" s="457">
        <v>0</v>
      </c>
      <c r="Y176" s="457">
        <v>0</v>
      </c>
      <c r="Z176" s="457">
        <v>0</v>
      </c>
      <c r="AA176" s="457">
        <v>0</v>
      </c>
      <c r="AB176" s="457"/>
      <c r="AC176" s="457"/>
      <c r="AD176" s="457"/>
      <c r="AE176" s="457">
        <v>1</v>
      </c>
      <c r="AF176" s="456"/>
      <c r="AG176" s="471">
        <f>+(AE176/L176)</f>
        <v>1</v>
      </c>
      <c r="AH176" s="462">
        <f t="shared" si="8"/>
        <v>1</v>
      </c>
      <c r="AI176" s="456"/>
      <c r="AJ176" s="456"/>
      <c r="AK176" s="456"/>
      <c r="AL176" s="456"/>
      <c r="AM176" s="456"/>
      <c r="AN176" s="456"/>
      <c r="AO176" s="456"/>
      <c r="AP176" s="456"/>
      <c r="AQ176" s="456"/>
      <c r="AR176" s="456"/>
      <c r="AS176" s="456"/>
      <c r="AT176" s="456"/>
    </row>
    <row r="177" spans="1:46" ht="47.25" customHeight="1" x14ac:dyDescent="0.2">
      <c r="A177" s="729"/>
      <c r="B177" s="727"/>
      <c r="C177" s="530"/>
      <c r="D177" s="781"/>
      <c r="E177" s="743"/>
      <c r="F177" s="743"/>
      <c r="G177" s="743"/>
      <c r="H177" s="743"/>
      <c r="I177" s="709"/>
      <c r="J177" s="454"/>
      <c r="K177" s="454"/>
      <c r="L177" s="454"/>
      <c r="M177" s="454"/>
      <c r="N177" s="454"/>
      <c r="O177" s="456"/>
      <c r="P177" s="456"/>
      <c r="Q177" s="456"/>
      <c r="R177" s="456"/>
      <c r="S177" s="456"/>
      <c r="T177" s="456"/>
      <c r="U177" s="456"/>
      <c r="V177" s="456"/>
      <c r="W177" s="456"/>
      <c r="X177" s="456"/>
      <c r="Y177" s="456"/>
      <c r="Z177" s="456"/>
      <c r="AA177" s="456"/>
      <c r="AB177" s="456"/>
      <c r="AC177" s="456"/>
      <c r="AD177" s="456"/>
      <c r="AE177" s="457"/>
      <c r="AF177" s="456"/>
      <c r="AG177" s="492">
        <f>+AG176</f>
        <v>1</v>
      </c>
      <c r="AH177" s="462">
        <f t="shared" si="8"/>
        <v>1</v>
      </c>
      <c r="AI177" s="456"/>
      <c r="AJ177" s="456"/>
      <c r="AK177" s="456"/>
      <c r="AL177" s="456"/>
      <c r="AM177" s="456"/>
      <c r="AN177" s="456"/>
      <c r="AO177" s="456"/>
      <c r="AP177" s="456"/>
      <c r="AQ177" s="456"/>
      <c r="AR177" s="456"/>
      <c r="AS177" s="456"/>
      <c r="AT177" s="456"/>
    </row>
    <row r="178" spans="1:46" ht="47.25" customHeight="1" x14ac:dyDescent="0.2">
      <c r="A178" s="729"/>
      <c r="B178" s="727"/>
      <c r="C178" s="530"/>
      <c r="D178" s="781"/>
      <c r="E178" s="737"/>
      <c r="F178" s="737"/>
      <c r="G178" s="737"/>
      <c r="H178" s="737"/>
      <c r="I178" s="535"/>
      <c r="J178" s="454"/>
      <c r="K178" s="454"/>
      <c r="L178" s="454"/>
      <c r="M178" s="454"/>
      <c r="N178" s="454"/>
      <c r="O178" s="456"/>
      <c r="P178" s="456"/>
      <c r="Q178" s="456"/>
      <c r="R178" s="456"/>
      <c r="S178" s="456"/>
      <c r="T178" s="456"/>
      <c r="U178" s="456"/>
      <c r="V178" s="456"/>
      <c r="W178" s="456"/>
      <c r="X178" s="456"/>
      <c r="Y178" s="456"/>
      <c r="Z178" s="456"/>
      <c r="AA178" s="456"/>
      <c r="AB178" s="456"/>
      <c r="AC178" s="456"/>
      <c r="AD178" s="456"/>
      <c r="AE178" s="457"/>
      <c r="AF178" s="456"/>
      <c r="AG178" s="516">
        <f>(AG172+AG175+AG177+AG170+AG168)/5</f>
        <v>0.78666666666666674</v>
      </c>
      <c r="AH178" s="462">
        <f t="shared" si="8"/>
        <v>0.78666666666666674</v>
      </c>
      <c r="AI178" s="456"/>
      <c r="AJ178" s="456"/>
      <c r="AK178" s="456"/>
      <c r="AL178" s="456"/>
      <c r="AM178" s="456"/>
      <c r="AN178" s="456"/>
      <c r="AO178" s="456"/>
      <c r="AP178" s="456"/>
      <c r="AQ178" s="456"/>
      <c r="AR178" s="456"/>
      <c r="AS178" s="456"/>
      <c r="AT178" s="456"/>
    </row>
    <row r="179" spans="1:46" ht="54.75" customHeight="1" x14ac:dyDescent="0.2">
      <c r="A179" s="729"/>
      <c r="B179" s="727"/>
      <c r="C179" s="530"/>
      <c r="D179" s="506"/>
      <c r="E179" s="454"/>
      <c r="F179" s="454"/>
      <c r="G179" s="454"/>
      <c r="H179" s="454"/>
      <c r="I179" s="535"/>
      <c r="J179" s="454"/>
      <c r="K179" s="454"/>
      <c r="L179" s="454"/>
      <c r="M179" s="454"/>
      <c r="N179" s="454"/>
      <c r="O179" s="456"/>
      <c r="P179" s="456"/>
      <c r="Q179" s="456"/>
      <c r="R179" s="456"/>
      <c r="S179" s="456"/>
      <c r="T179" s="456"/>
      <c r="U179" s="456"/>
      <c r="V179" s="456"/>
      <c r="W179" s="456"/>
      <c r="X179" s="456"/>
      <c r="Y179" s="456"/>
      <c r="Z179" s="456"/>
      <c r="AA179" s="456"/>
      <c r="AB179" s="456"/>
      <c r="AC179" s="456"/>
      <c r="AD179" s="456"/>
      <c r="AE179" s="457"/>
      <c r="AF179" s="456"/>
      <c r="AG179" s="529">
        <f>+AG178</f>
        <v>0.78666666666666674</v>
      </c>
      <c r="AH179" s="462">
        <f t="shared" si="8"/>
        <v>0.78666666666666674</v>
      </c>
      <c r="AI179" s="456"/>
      <c r="AJ179" s="456"/>
      <c r="AK179" s="456"/>
      <c r="AL179" s="456"/>
      <c r="AM179" s="456"/>
      <c r="AN179" s="456"/>
      <c r="AO179" s="456"/>
      <c r="AP179" s="456"/>
      <c r="AQ179" s="456"/>
      <c r="AR179" s="456"/>
      <c r="AS179" s="456"/>
      <c r="AT179" s="456"/>
    </row>
    <row r="180" spans="1:46" ht="103.5" customHeight="1" x14ac:dyDescent="0.2">
      <c r="A180" s="729"/>
      <c r="B180" s="727"/>
      <c r="C180" s="778" t="s">
        <v>1211</v>
      </c>
      <c r="D180" s="707" t="s">
        <v>1212</v>
      </c>
      <c r="E180" s="454" t="s">
        <v>1216</v>
      </c>
      <c r="F180" s="454" t="s">
        <v>1213</v>
      </c>
      <c r="G180" s="454">
        <v>0.19</v>
      </c>
      <c r="H180" s="464" t="s">
        <v>1214</v>
      </c>
      <c r="I180" s="707" t="s">
        <v>1227</v>
      </c>
      <c r="J180" s="483" t="s">
        <v>1219</v>
      </c>
      <c r="K180" s="483" t="s">
        <v>1220</v>
      </c>
      <c r="L180" s="483">
        <v>113</v>
      </c>
      <c r="M180" s="483">
        <v>1787</v>
      </c>
      <c r="N180" s="483"/>
      <c r="O180" s="456"/>
      <c r="P180" s="457"/>
      <c r="Q180" s="457"/>
      <c r="R180" s="457">
        <v>0</v>
      </c>
      <c r="S180" s="457">
        <v>0</v>
      </c>
      <c r="T180" s="457"/>
      <c r="U180" s="457"/>
      <c r="V180" s="457"/>
      <c r="W180" s="457"/>
      <c r="X180" s="457">
        <v>25.15</v>
      </c>
      <c r="Y180" s="457">
        <v>29.35</v>
      </c>
      <c r="Z180" s="457">
        <v>0</v>
      </c>
      <c r="AA180" s="457">
        <v>0</v>
      </c>
      <c r="AB180" s="457"/>
      <c r="AC180" s="457"/>
      <c r="AD180" s="457"/>
      <c r="AE180" s="457">
        <f t="shared" si="11"/>
        <v>54.5</v>
      </c>
      <c r="AF180" s="456"/>
      <c r="AG180" s="471">
        <f>+(AE180/113)</f>
        <v>0.48230088495575218</v>
      </c>
      <c r="AH180" s="462">
        <f t="shared" si="8"/>
        <v>0.48230088495575218</v>
      </c>
      <c r="AI180" s="456"/>
      <c r="AJ180" s="456"/>
      <c r="AK180" s="456"/>
      <c r="AL180" s="456"/>
      <c r="AM180" s="456"/>
      <c r="AN180" s="456"/>
      <c r="AO180" s="456"/>
      <c r="AP180" s="456"/>
      <c r="AQ180" s="456"/>
      <c r="AR180" s="456"/>
      <c r="AS180" s="456"/>
      <c r="AT180" s="456"/>
    </row>
    <row r="181" spans="1:46" ht="75" customHeight="1" x14ac:dyDescent="0.2">
      <c r="A181" s="729"/>
      <c r="B181" s="727"/>
      <c r="C181" s="779"/>
      <c r="D181" s="708"/>
      <c r="E181" s="454" t="s">
        <v>1217</v>
      </c>
      <c r="F181" s="454" t="s">
        <v>1213</v>
      </c>
      <c r="G181" s="454">
        <v>0.03</v>
      </c>
      <c r="H181" s="464" t="s">
        <v>1214</v>
      </c>
      <c r="I181" s="708"/>
      <c r="J181" s="483" t="s">
        <v>1221</v>
      </c>
      <c r="K181" s="483" t="s">
        <v>1222</v>
      </c>
      <c r="L181" s="483">
        <v>17</v>
      </c>
      <c r="M181" s="483">
        <v>1787</v>
      </c>
      <c r="N181" s="483"/>
      <c r="O181" s="456"/>
      <c r="P181" s="457">
        <v>2</v>
      </c>
      <c r="Q181" s="457"/>
      <c r="R181" s="457">
        <v>0</v>
      </c>
      <c r="S181" s="457">
        <v>0</v>
      </c>
      <c r="T181" s="457">
        <v>3.2</v>
      </c>
      <c r="U181" s="457">
        <v>2.5</v>
      </c>
      <c r="V181" s="457"/>
      <c r="W181" s="457"/>
      <c r="X181" s="457">
        <v>4.5</v>
      </c>
      <c r="Y181" s="457">
        <v>0</v>
      </c>
      <c r="Z181" s="457"/>
      <c r="AA181" s="457"/>
      <c r="AB181" s="457"/>
      <c r="AC181" s="457"/>
      <c r="AD181" s="457"/>
      <c r="AE181" s="457">
        <f t="shared" si="11"/>
        <v>12.2</v>
      </c>
      <c r="AF181" s="456"/>
      <c r="AG181" s="471">
        <f>+(AE181/L181)</f>
        <v>0.71764705882352942</v>
      </c>
      <c r="AH181" s="462">
        <f t="shared" si="8"/>
        <v>0.71764705882352942</v>
      </c>
      <c r="AI181" s="456"/>
      <c r="AJ181" s="456"/>
      <c r="AK181" s="456"/>
      <c r="AL181" s="456"/>
      <c r="AM181" s="456"/>
      <c r="AN181" s="456"/>
      <c r="AO181" s="456"/>
      <c r="AP181" s="456"/>
      <c r="AQ181" s="456"/>
      <c r="AR181" s="456"/>
      <c r="AS181" s="456"/>
      <c r="AT181" s="456"/>
    </row>
    <row r="182" spans="1:46" ht="168.75" x14ac:dyDescent="0.2">
      <c r="A182" s="729"/>
      <c r="B182" s="727"/>
      <c r="C182" s="779"/>
      <c r="D182" s="708"/>
      <c r="E182" s="454" t="s">
        <v>1218</v>
      </c>
      <c r="F182" s="454" t="s">
        <v>1215</v>
      </c>
      <c r="G182" s="454">
        <v>0.03</v>
      </c>
      <c r="H182" s="464" t="s">
        <v>1214</v>
      </c>
      <c r="I182" s="708"/>
      <c r="J182" s="483" t="s">
        <v>1223</v>
      </c>
      <c r="K182" s="483" t="s">
        <v>1224</v>
      </c>
      <c r="L182" s="483">
        <v>17</v>
      </c>
      <c r="M182" s="483">
        <v>1787</v>
      </c>
      <c r="N182" s="483"/>
      <c r="O182" s="456"/>
      <c r="P182" s="457">
        <v>0</v>
      </c>
      <c r="Q182" s="457"/>
      <c r="R182" s="457">
        <v>0</v>
      </c>
      <c r="S182" s="457">
        <v>0</v>
      </c>
      <c r="T182" s="457">
        <v>0</v>
      </c>
      <c r="U182" s="457">
        <v>0</v>
      </c>
      <c r="V182" s="457"/>
      <c r="W182" s="457"/>
      <c r="X182" s="457">
        <v>4.7</v>
      </c>
      <c r="Y182" s="457">
        <v>4.5</v>
      </c>
      <c r="Z182" s="457">
        <v>0</v>
      </c>
      <c r="AA182" s="457">
        <v>0</v>
      </c>
      <c r="AB182" s="457"/>
      <c r="AC182" s="457"/>
      <c r="AD182" s="457">
        <v>0</v>
      </c>
      <c r="AE182" s="457">
        <f t="shared" si="11"/>
        <v>9.1999999999999993</v>
      </c>
      <c r="AF182" s="456"/>
      <c r="AG182" s="471">
        <f>+(AE182/L182)</f>
        <v>0.54117647058823526</v>
      </c>
      <c r="AH182" s="462">
        <f t="shared" si="8"/>
        <v>0.54117647058823526</v>
      </c>
      <c r="AI182" s="456"/>
      <c r="AJ182" s="456"/>
      <c r="AK182" s="456"/>
      <c r="AL182" s="456"/>
      <c r="AM182" s="456"/>
      <c r="AN182" s="456"/>
      <c r="AO182" s="456"/>
      <c r="AP182" s="456"/>
      <c r="AQ182" s="456"/>
      <c r="AR182" s="456"/>
      <c r="AS182" s="456"/>
      <c r="AT182" s="456"/>
    </row>
    <row r="183" spans="1:46" ht="150" customHeight="1" x14ac:dyDescent="0.2">
      <c r="A183" s="729"/>
      <c r="B183" s="727"/>
      <c r="C183" s="779"/>
      <c r="D183" s="708"/>
      <c r="E183" s="736" t="s">
        <v>1232</v>
      </c>
      <c r="F183" s="736" t="s">
        <v>1231</v>
      </c>
      <c r="G183" s="736">
        <v>0.01</v>
      </c>
      <c r="H183" s="736" t="s">
        <v>1214</v>
      </c>
      <c r="I183" s="708"/>
      <c r="J183" s="483" t="s">
        <v>1225</v>
      </c>
      <c r="K183" s="483" t="s">
        <v>1226</v>
      </c>
      <c r="L183" s="483">
        <v>1</v>
      </c>
      <c r="M183" s="483">
        <v>0</v>
      </c>
      <c r="N183" s="483"/>
      <c r="O183" s="456"/>
      <c r="P183" s="457">
        <v>0</v>
      </c>
      <c r="Q183" s="457"/>
      <c r="R183" s="457">
        <v>0</v>
      </c>
      <c r="S183" s="457">
        <v>0</v>
      </c>
      <c r="T183" s="457">
        <v>0.2</v>
      </c>
      <c r="U183" s="457">
        <v>0.1</v>
      </c>
      <c r="V183" s="457">
        <v>0</v>
      </c>
      <c r="W183" s="457">
        <v>0</v>
      </c>
      <c r="X183" s="457">
        <v>0</v>
      </c>
      <c r="Y183" s="457">
        <v>0</v>
      </c>
      <c r="Z183" s="457">
        <v>0</v>
      </c>
      <c r="AA183" s="457">
        <v>0</v>
      </c>
      <c r="AB183" s="457"/>
      <c r="AC183" s="457"/>
      <c r="AD183" s="457">
        <v>0</v>
      </c>
      <c r="AE183" s="457">
        <f t="shared" si="11"/>
        <v>0.30000000000000004</v>
      </c>
      <c r="AF183" s="456"/>
      <c r="AG183" s="471">
        <f>+(AE183/L183)</f>
        <v>0.30000000000000004</v>
      </c>
      <c r="AH183" s="462">
        <f t="shared" si="8"/>
        <v>0.30000000000000004</v>
      </c>
      <c r="AI183" s="456"/>
      <c r="AJ183" s="456"/>
      <c r="AK183" s="456"/>
      <c r="AL183" s="456"/>
      <c r="AM183" s="456"/>
      <c r="AN183" s="456"/>
      <c r="AO183" s="456"/>
      <c r="AP183" s="456"/>
      <c r="AQ183" s="456"/>
      <c r="AR183" s="456"/>
      <c r="AS183" s="456"/>
      <c r="AT183" s="456"/>
    </row>
    <row r="184" spans="1:46" ht="33.75" x14ac:dyDescent="0.2">
      <c r="A184" s="729"/>
      <c r="B184" s="727"/>
      <c r="C184" s="779"/>
      <c r="D184" s="708"/>
      <c r="E184" s="737"/>
      <c r="F184" s="737"/>
      <c r="G184" s="737"/>
      <c r="H184" s="737"/>
      <c r="I184" s="708"/>
      <c r="J184" s="483" t="s">
        <v>1229</v>
      </c>
      <c r="K184" s="483" t="s">
        <v>1230</v>
      </c>
      <c r="L184" s="483">
        <v>1</v>
      </c>
      <c r="M184" s="483">
        <v>0</v>
      </c>
      <c r="N184" s="483"/>
      <c r="O184" s="456"/>
      <c r="P184" s="457">
        <v>0</v>
      </c>
      <c r="Q184" s="457"/>
      <c r="R184" s="457">
        <v>0</v>
      </c>
      <c r="S184" s="457">
        <v>0</v>
      </c>
      <c r="T184" s="457">
        <v>0</v>
      </c>
      <c r="U184" s="457">
        <v>0</v>
      </c>
      <c r="V184" s="457">
        <v>0</v>
      </c>
      <c r="W184" s="457">
        <v>0</v>
      </c>
      <c r="X184" s="457">
        <v>0</v>
      </c>
      <c r="Y184" s="457">
        <v>0</v>
      </c>
      <c r="Z184" s="457">
        <v>0</v>
      </c>
      <c r="AA184" s="457">
        <v>0</v>
      </c>
      <c r="AB184" s="457"/>
      <c r="AC184" s="457"/>
      <c r="AD184" s="457">
        <v>0</v>
      </c>
      <c r="AE184" s="457">
        <f t="shared" si="11"/>
        <v>0</v>
      </c>
      <c r="AF184" s="456"/>
      <c r="AG184" s="471">
        <f>+(AE184/L184)</f>
        <v>0</v>
      </c>
      <c r="AH184" s="462">
        <f t="shared" si="8"/>
        <v>0</v>
      </c>
      <c r="AI184" s="456"/>
      <c r="AJ184" s="456"/>
      <c r="AK184" s="456"/>
      <c r="AL184" s="456"/>
      <c r="AM184" s="456"/>
      <c r="AN184" s="456"/>
      <c r="AO184" s="456"/>
      <c r="AP184" s="456"/>
      <c r="AQ184" s="456"/>
      <c r="AR184" s="456"/>
      <c r="AS184" s="456"/>
      <c r="AT184" s="456"/>
    </row>
    <row r="185" spans="1:46" ht="45" customHeight="1" x14ac:dyDescent="0.2">
      <c r="A185" s="729"/>
      <c r="B185" s="727"/>
      <c r="C185" s="779"/>
      <c r="D185" s="708"/>
      <c r="E185" s="478"/>
      <c r="F185" s="478"/>
      <c r="G185" s="478"/>
      <c r="H185" s="478"/>
      <c r="I185" s="709"/>
      <c r="J185" s="483"/>
      <c r="K185" s="483"/>
      <c r="L185" s="483"/>
      <c r="M185" s="483"/>
      <c r="N185" s="483"/>
      <c r="O185" s="456"/>
      <c r="P185" s="456"/>
      <c r="Q185" s="456"/>
      <c r="R185" s="456"/>
      <c r="S185" s="456"/>
      <c r="T185" s="456"/>
      <c r="U185" s="456"/>
      <c r="V185" s="456"/>
      <c r="W185" s="456"/>
      <c r="X185" s="456"/>
      <c r="Y185" s="456"/>
      <c r="Z185" s="456"/>
      <c r="AA185" s="456"/>
      <c r="AB185" s="456"/>
      <c r="AC185" s="456"/>
      <c r="AD185" s="456"/>
      <c r="AE185" s="457"/>
      <c r="AF185" s="456"/>
      <c r="AG185" s="492">
        <f>AVERAGE(AG180:AG184)</f>
        <v>0.40822488287350345</v>
      </c>
      <c r="AH185" s="462">
        <f t="shared" si="8"/>
        <v>0.40822488287350345</v>
      </c>
      <c r="AI185" s="456"/>
      <c r="AJ185" s="456"/>
      <c r="AK185" s="456"/>
      <c r="AL185" s="456"/>
      <c r="AM185" s="456"/>
      <c r="AN185" s="456"/>
      <c r="AO185" s="456"/>
      <c r="AP185" s="456"/>
      <c r="AQ185" s="456"/>
      <c r="AR185" s="456"/>
      <c r="AS185" s="456"/>
      <c r="AT185" s="456"/>
    </row>
    <row r="186" spans="1:46" ht="42.75" customHeight="1" x14ac:dyDescent="0.2">
      <c r="A186" s="729"/>
      <c r="B186" s="727"/>
      <c r="C186" s="779"/>
      <c r="D186" s="708"/>
      <c r="E186" s="761" t="s">
        <v>1234</v>
      </c>
      <c r="F186" s="761" t="s">
        <v>1233</v>
      </c>
      <c r="G186" s="761">
        <v>46.25</v>
      </c>
      <c r="H186" s="761">
        <v>37</v>
      </c>
      <c r="I186" s="707" t="s">
        <v>1228</v>
      </c>
      <c r="J186" s="483" t="s">
        <v>1235</v>
      </c>
      <c r="K186" s="483" t="s">
        <v>1236</v>
      </c>
      <c r="L186" s="480">
        <v>46.25</v>
      </c>
      <c r="M186" s="483">
        <v>37</v>
      </c>
      <c r="N186" s="483"/>
      <c r="O186" s="456"/>
      <c r="P186" s="457">
        <v>0</v>
      </c>
      <c r="Q186" s="457">
        <v>0</v>
      </c>
      <c r="R186" s="457">
        <v>0</v>
      </c>
      <c r="S186" s="457">
        <v>0</v>
      </c>
      <c r="T186" s="457">
        <v>0</v>
      </c>
      <c r="U186" s="457">
        <v>37</v>
      </c>
      <c r="V186" s="457">
        <v>0</v>
      </c>
      <c r="W186" s="457">
        <v>0</v>
      </c>
      <c r="X186" s="457">
        <v>0</v>
      </c>
      <c r="Y186" s="457">
        <v>0</v>
      </c>
      <c r="Z186" s="457">
        <v>0</v>
      </c>
      <c r="AA186" s="457">
        <v>0</v>
      </c>
      <c r="AB186" s="457"/>
      <c r="AC186" s="457"/>
      <c r="AD186" s="457"/>
      <c r="AE186" s="457">
        <f t="shared" si="11"/>
        <v>37</v>
      </c>
      <c r="AF186" s="456"/>
      <c r="AG186" s="471">
        <f>+(AE186/L186)</f>
        <v>0.8</v>
      </c>
      <c r="AH186" s="462">
        <f t="shared" si="8"/>
        <v>0.8</v>
      </c>
      <c r="AI186" s="456"/>
      <c r="AJ186" s="456"/>
      <c r="AK186" s="456"/>
      <c r="AL186" s="456"/>
      <c r="AM186" s="456"/>
      <c r="AN186" s="456"/>
      <c r="AO186" s="456"/>
      <c r="AP186" s="456"/>
      <c r="AQ186" s="456"/>
      <c r="AR186" s="456"/>
      <c r="AS186" s="456"/>
      <c r="AT186" s="456"/>
    </row>
    <row r="187" spans="1:46" ht="65.25" customHeight="1" x14ac:dyDescent="0.2">
      <c r="A187" s="729"/>
      <c r="B187" s="727"/>
      <c r="C187" s="779"/>
      <c r="D187" s="708"/>
      <c r="E187" s="761"/>
      <c r="F187" s="761"/>
      <c r="G187" s="761"/>
      <c r="H187" s="761"/>
      <c r="I187" s="709"/>
      <c r="J187" s="483"/>
      <c r="K187" s="483"/>
      <c r="L187" s="480"/>
      <c r="M187" s="483"/>
      <c r="N187" s="483"/>
      <c r="O187" s="456"/>
      <c r="P187" s="456"/>
      <c r="Q187" s="456"/>
      <c r="R187" s="456"/>
      <c r="S187" s="456"/>
      <c r="T187" s="456"/>
      <c r="U187" s="456"/>
      <c r="V187" s="456"/>
      <c r="W187" s="456"/>
      <c r="X187" s="456"/>
      <c r="Y187" s="456"/>
      <c r="Z187" s="456"/>
      <c r="AA187" s="456"/>
      <c r="AB187" s="456"/>
      <c r="AC187" s="456"/>
      <c r="AD187" s="456"/>
      <c r="AE187" s="457">
        <f t="shared" si="11"/>
        <v>0</v>
      </c>
      <c r="AF187" s="456"/>
      <c r="AG187" s="492">
        <f>+AG186</f>
        <v>0.8</v>
      </c>
      <c r="AH187" s="462">
        <f t="shared" si="8"/>
        <v>0.8</v>
      </c>
      <c r="AI187" s="456"/>
      <c r="AJ187" s="456"/>
      <c r="AK187" s="456"/>
      <c r="AL187" s="456"/>
      <c r="AM187" s="456"/>
      <c r="AN187" s="456"/>
      <c r="AO187" s="456"/>
      <c r="AP187" s="456"/>
      <c r="AQ187" s="456"/>
      <c r="AR187" s="456"/>
      <c r="AS187" s="456"/>
      <c r="AT187" s="456"/>
    </row>
    <row r="188" spans="1:46" ht="33.75" x14ac:dyDescent="0.2">
      <c r="A188" s="729"/>
      <c r="B188" s="727"/>
      <c r="C188" s="779"/>
      <c r="D188" s="708"/>
      <c r="E188" s="761"/>
      <c r="F188" s="761"/>
      <c r="G188" s="761"/>
      <c r="H188" s="761"/>
      <c r="I188" s="707" t="s">
        <v>1241</v>
      </c>
      <c r="J188" s="483" t="s">
        <v>1237</v>
      </c>
      <c r="K188" s="483" t="s">
        <v>1238</v>
      </c>
      <c r="L188" s="480">
        <v>5.96</v>
      </c>
      <c r="M188" s="483">
        <v>3.96</v>
      </c>
      <c r="N188" s="483"/>
      <c r="O188" s="456"/>
      <c r="P188" s="457">
        <v>0</v>
      </c>
      <c r="Q188" s="457">
        <v>0</v>
      </c>
      <c r="R188" s="457">
        <v>0</v>
      </c>
      <c r="S188" s="457">
        <v>0</v>
      </c>
      <c r="T188" s="457">
        <v>0</v>
      </c>
      <c r="U188" s="457">
        <v>3.96</v>
      </c>
      <c r="V188" s="457"/>
      <c r="W188" s="457"/>
      <c r="X188" s="457">
        <v>0</v>
      </c>
      <c r="Y188" s="457">
        <v>0</v>
      </c>
      <c r="Z188" s="457">
        <v>0</v>
      </c>
      <c r="AA188" s="457">
        <v>0</v>
      </c>
      <c r="AB188" s="457"/>
      <c r="AC188" s="457"/>
      <c r="AD188" s="457"/>
      <c r="AE188" s="457">
        <f t="shared" si="11"/>
        <v>3.96</v>
      </c>
      <c r="AF188" s="456"/>
      <c r="AG188" s="471">
        <f>+(AE188/L188)</f>
        <v>0.66442953020134232</v>
      </c>
      <c r="AH188" s="462">
        <f t="shared" si="8"/>
        <v>0.66442953020134232</v>
      </c>
      <c r="AI188" s="456"/>
      <c r="AJ188" s="456"/>
      <c r="AK188" s="456"/>
      <c r="AL188" s="456"/>
      <c r="AM188" s="456"/>
      <c r="AN188" s="456"/>
      <c r="AO188" s="456"/>
      <c r="AP188" s="456"/>
      <c r="AQ188" s="456"/>
      <c r="AR188" s="456"/>
      <c r="AS188" s="456"/>
      <c r="AT188" s="456"/>
    </row>
    <row r="189" spans="1:46" ht="52.5" customHeight="1" x14ac:dyDescent="0.2">
      <c r="A189" s="729"/>
      <c r="B189" s="727"/>
      <c r="C189" s="779"/>
      <c r="D189" s="708"/>
      <c r="E189" s="761"/>
      <c r="F189" s="761"/>
      <c r="G189" s="761"/>
      <c r="H189" s="761"/>
      <c r="I189" s="709"/>
      <c r="J189" s="483"/>
      <c r="K189" s="483"/>
      <c r="L189" s="480"/>
      <c r="M189" s="483"/>
      <c r="N189" s="483"/>
      <c r="O189" s="456"/>
      <c r="P189" s="456"/>
      <c r="Q189" s="456"/>
      <c r="R189" s="456"/>
      <c r="S189" s="456"/>
      <c r="T189" s="456"/>
      <c r="U189" s="456"/>
      <c r="V189" s="456"/>
      <c r="W189" s="456"/>
      <c r="X189" s="456"/>
      <c r="Y189" s="456"/>
      <c r="Z189" s="456"/>
      <c r="AA189" s="456"/>
      <c r="AB189" s="456"/>
      <c r="AC189" s="456"/>
      <c r="AD189" s="456"/>
      <c r="AE189" s="457">
        <f t="shared" si="11"/>
        <v>0</v>
      </c>
      <c r="AF189" s="456"/>
      <c r="AG189" s="492">
        <f>+AG188</f>
        <v>0.66442953020134232</v>
      </c>
      <c r="AH189" s="462">
        <f t="shared" si="8"/>
        <v>0.66442953020134232</v>
      </c>
      <c r="AI189" s="456"/>
      <c r="AJ189" s="456"/>
      <c r="AK189" s="456"/>
      <c r="AL189" s="456"/>
      <c r="AM189" s="456"/>
      <c r="AN189" s="456"/>
      <c r="AO189" s="456"/>
      <c r="AP189" s="456"/>
      <c r="AQ189" s="456"/>
      <c r="AR189" s="456"/>
      <c r="AS189" s="456"/>
      <c r="AT189" s="456"/>
    </row>
    <row r="190" spans="1:46" ht="67.5" x14ac:dyDescent="0.2">
      <c r="A190" s="729"/>
      <c r="B190" s="727"/>
      <c r="C190" s="779"/>
      <c r="D190" s="708"/>
      <c r="E190" s="761"/>
      <c r="F190" s="761"/>
      <c r="G190" s="761"/>
      <c r="H190" s="761"/>
      <c r="I190" s="707" t="s">
        <v>1242</v>
      </c>
      <c r="J190" s="483" t="s">
        <v>1239</v>
      </c>
      <c r="K190" s="483" t="s">
        <v>1240</v>
      </c>
      <c r="L190" s="483">
        <v>6500</v>
      </c>
      <c r="M190" s="483">
        <v>2500</v>
      </c>
      <c r="N190" s="483"/>
      <c r="O190" s="456"/>
      <c r="P190" s="457">
        <v>70</v>
      </c>
      <c r="Q190" s="457">
        <v>70</v>
      </c>
      <c r="R190" s="457">
        <v>70</v>
      </c>
      <c r="S190" s="457">
        <v>0</v>
      </c>
      <c r="T190" s="457">
        <v>0</v>
      </c>
      <c r="U190" s="457">
        <v>5050</v>
      </c>
      <c r="V190" s="457"/>
      <c r="W190" s="457"/>
      <c r="X190" s="457">
        <v>0</v>
      </c>
      <c r="Y190" s="457">
        <v>0</v>
      </c>
      <c r="Z190" s="457">
        <v>0</v>
      </c>
      <c r="AA190" s="457">
        <v>0</v>
      </c>
      <c r="AB190" s="457"/>
      <c r="AC190" s="457"/>
      <c r="AD190" s="457"/>
      <c r="AE190" s="457">
        <f>+Q190+R190+S190+T190+U190</f>
        <v>5190</v>
      </c>
      <c r="AF190" s="456"/>
      <c r="AG190" s="471">
        <f>+(AE190/L190)</f>
        <v>0.79846153846153844</v>
      </c>
      <c r="AH190" s="462">
        <f t="shared" si="8"/>
        <v>0.79846153846153844</v>
      </c>
      <c r="AI190" s="456"/>
      <c r="AJ190" s="456"/>
      <c r="AK190" s="456"/>
      <c r="AL190" s="456"/>
      <c r="AM190" s="456"/>
      <c r="AN190" s="456"/>
      <c r="AO190" s="456"/>
      <c r="AP190" s="456"/>
      <c r="AQ190" s="456"/>
      <c r="AR190" s="456"/>
      <c r="AS190" s="456"/>
      <c r="AT190" s="456"/>
    </row>
    <row r="191" spans="1:46" ht="72.75" customHeight="1" x14ac:dyDescent="0.2">
      <c r="A191" s="729"/>
      <c r="B191" s="727"/>
      <c r="C191" s="779"/>
      <c r="D191" s="708"/>
      <c r="E191" s="761"/>
      <c r="F191" s="761"/>
      <c r="G191" s="761"/>
      <c r="H191" s="761"/>
      <c r="I191" s="709"/>
      <c r="J191" s="483"/>
      <c r="K191" s="483"/>
      <c r="L191" s="483"/>
      <c r="M191" s="483"/>
      <c r="N191" s="483"/>
      <c r="O191" s="456"/>
      <c r="P191" s="456"/>
      <c r="Q191" s="456"/>
      <c r="R191" s="456"/>
      <c r="S191" s="456"/>
      <c r="T191" s="456"/>
      <c r="U191" s="456"/>
      <c r="V191" s="456"/>
      <c r="W191" s="456"/>
      <c r="X191" s="456"/>
      <c r="Y191" s="456"/>
      <c r="Z191" s="456"/>
      <c r="AA191" s="456"/>
      <c r="AB191" s="456"/>
      <c r="AC191" s="456"/>
      <c r="AD191" s="456"/>
      <c r="AE191" s="457"/>
      <c r="AF191" s="456"/>
      <c r="AG191" s="492">
        <f>+AG190</f>
        <v>0.79846153846153844</v>
      </c>
      <c r="AH191" s="462">
        <f t="shared" si="8"/>
        <v>0.79846153846153844</v>
      </c>
      <c r="AI191" s="456"/>
      <c r="AJ191" s="456"/>
      <c r="AK191" s="456"/>
      <c r="AL191" s="456"/>
      <c r="AM191" s="456"/>
      <c r="AN191" s="456"/>
      <c r="AO191" s="456"/>
      <c r="AP191" s="456"/>
      <c r="AQ191" s="456"/>
      <c r="AR191" s="456"/>
      <c r="AS191" s="456"/>
      <c r="AT191" s="456"/>
    </row>
    <row r="192" spans="1:46" ht="72.75" customHeight="1" x14ac:dyDescent="0.2">
      <c r="A192" s="729"/>
      <c r="B192" s="727"/>
      <c r="C192" s="779"/>
      <c r="D192" s="709"/>
      <c r="E192" s="478"/>
      <c r="F192" s="478"/>
      <c r="G192" s="478"/>
      <c r="H192" s="478"/>
      <c r="I192" s="506"/>
      <c r="J192" s="483"/>
      <c r="K192" s="483"/>
      <c r="L192" s="483"/>
      <c r="M192" s="483"/>
      <c r="N192" s="483"/>
      <c r="O192" s="456"/>
      <c r="P192" s="456"/>
      <c r="Q192" s="456"/>
      <c r="R192" s="456"/>
      <c r="S192" s="456"/>
      <c r="T192" s="456"/>
      <c r="U192" s="456"/>
      <c r="V192" s="456"/>
      <c r="W192" s="456"/>
      <c r="X192" s="456"/>
      <c r="Y192" s="456"/>
      <c r="Z192" s="456"/>
      <c r="AA192" s="456"/>
      <c r="AB192" s="456"/>
      <c r="AC192" s="456"/>
      <c r="AD192" s="456"/>
      <c r="AE192" s="457"/>
      <c r="AF192" s="456"/>
      <c r="AG192" s="516">
        <f>(AG185+AG187+AG189+AG191)/4</f>
        <v>0.66777898788409606</v>
      </c>
      <c r="AH192" s="462">
        <f t="shared" si="8"/>
        <v>0.66777898788409606</v>
      </c>
      <c r="AI192" s="456"/>
      <c r="AJ192" s="456"/>
      <c r="AK192" s="456"/>
      <c r="AL192" s="456"/>
      <c r="AM192" s="456"/>
      <c r="AN192" s="456"/>
      <c r="AO192" s="456"/>
      <c r="AP192" s="456"/>
      <c r="AQ192" s="456"/>
      <c r="AR192" s="456"/>
      <c r="AS192" s="456"/>
      <c r="AT192" s="456"/>
    </row>
    <row r="193" spans="1:46" ht="150" customHeight="1" x14ac:dyDescent="0.2">
      <c r="A193" s="729"/>
      <c r="B193" s="727"/>
      <c r="C193" s="779"/>
      <c r="D193" s="707" t="s">
        <v>1243</v>
      </c>
      <c r="E193" s="707" t="s">
        <v>1252</v>
      </c>
      <c r="F193" s="707" t="s">
        <v>1244</v>
      </c>
      <c r="G193" s="707">
        <v>1</v>
      </c>
      <c r="H193" s="707">
        <v>1</v>
      </c>
      <c r="I193" s="707" t="s">
        <v>1256</v>
      </c>
      <c r="J193" s="483" t="s">
        <v>1245</v>
      </c>
      <c r="K193" s="483" t="s">
        <v>1246</v>
      </c>
      <c r="L193" s="483">
        <v>1</v>
      </c>
      <c r="M193" s="483">
        <v>1</v>
      </c>
      <c r="N193" s="483"/>
      <c r="O193" s="456"/>
      <c r="P193" s="457">
        <v>0</v>
      </c>
      <c r="Q193" s="457"/>
      <c r="R193" s="457">
        <v>0</v>
      </c>
      <c r="S193" s="457">
        <v>0</v>
      </c>
      <c r="T193" s="457">
        <v>0</v>
      </c>
      <c r="U193" s="457">
        <v>0</v>
      </c>
      <c r="V193" s="457">
        <v>0</v>
      </c>
      <c r="W193" s="457">
        <v>0</v>
      </c>
      <c r="X193" s="457">
        <v>0</v>
      </c>
      <c r="Y193" s="457">
        <v>0</v>
      </c>
      <c r="Z193" s="457"/>
      <c r="AA193" s="457"/>
      <c r="AB193" s="457"/>
      <c r="AC193" s="457"/>
      <c r="AD193" s="457"/>
      <c r="AE193" s="457">
        <v>0.05</v>
      </c>
      <c r="AF193" s="456"/>
      <c r="AG193" s="471">
        <f>+(AE193/L193)</f>
        <v>0.05</v>
      </c>
      <c r="AH193" s="462">
        <f t="shared" si="8"/>
        <v>0.05</v>
      </c>
      <c r="AI193" s="456"/>
      <c r="AJ193" s="456"/>
      <c r="AK193" s="456"/>
      <c r="AL193" s="456"/>
      <c r="AM193" s="456"/>
      <c r="AN193" s="456"/>
      <c r="AO193" s="456"/>
      <c r="AP193" s="456"/>
      <c r="AQ193" s="456"/>
      <c r="AR193" s="456"/>
      <c r="AS193" s="456"/>
      <c r="AT193" s="456"/>
    </row>
    <row r="194" spans="1:46" ht="39" customHeight="1" x14ac:dyDescent="0.2">
      <c r="A194" s="729"/>
      <c r="B194" s="727"/>
      <c r="C194" s="779"/>
      <c r="D194" s="708"/>
      <c r="E194" s="708"/>
      <c r="F194" s="708"/>
      <c r="G194" s="708"/>
      <c r="H194" s="708"/>
      <c r="I194" s="708"/>
      <c r="J194" s="483" t="s">
        <v>1253</v>
      </c>
      <c r="K194" s="483" t="s">
        <v>1254</v>
      </c>
      <c r="L194" s="483">
        <v>2</v>
      </c>
      <c r="M194" s="483">
        <v>0</v>
      </c>
      <c r="N194" s="483"/>
      <c r="O194" s="456"/>
      <c r="P194" s="457">
        <v>0</v>
      </c>
      <c r="Q194" s="457"/>
      <c r="R194" s="457">
        <v>0</v>
      </c>
      <c r="S194" s="457">
        <v>0.05</v>
      </c>
      <c r="T194" s="457"/>
      <c r="U194" s="457">
        <v>0</v>
      </c>
      <c r="V194" s="457">
        <v>0</v>
      </c>
      <c r="W194" s="457">
        <v>0</v>
      </c>
      <c r="X194" s="457">
        <v>0</v>
      </c>
      <c r="Y194" s="457">
        <v>0</v>
      </c>
      <c r="Z194" s="457"/>
      <c r="AA194" s="457">
        <v>1</v>
      </c>
      <c r="AB194" s="457"/>
      <c r="AC194" s="457"/>
      <c r="AD194" s="457"/>
      <c r="AE194" s="457">
        <f t="shared" si="11"/>
        <v>1.05</v>
      </c>
      <c r="AF194" s="456"/>
      <c r="AG194" s="471">
        <f>+(AE194/L194)</f>
        <v>0.52500000000000002</v>
      </c>
      <c r="AH194" s="462">
        <f t="shared" si="8"/>
        <v>0.52500000000000002</v>
      </c>
      <c r="AI194" s="456"/>
      <c r="AJ194" s="456"/>
      <c r="AK194" s="456"/>
      <c r="AL194" s="456"/>
      <c r="AM194" s="456"/>
      <c r="AN194" s="456"/>
      <c r="AO194" s="456"/>
      <c r="AP194" s="456"/>
      <c r="AQ194" s="456"/>
      <c r="AR194" s="456"/>
      <c r="AS194" s="456"/>
      <c r="AT194" s="456"/>
    </row>
    <row r="195" spans="1:46" ht="33.75" x14ac:dyDescent="0.2">
      <c r="A195" s="729"/>
      <c r="B195" s="727"/>
      <c r="C195" s="779"/>
      <c r="D195" s="708"/>
      <c r="E195" s="708"/>
      <c r="F195" s="708"/>
      <c r="G195" s="708"/>
      <c r="H195" s="708"/>
      <c r="I195" s="708"/>
      <c r="J195" s="483" t="s">
        <v>1247</v>
      </c>
      <c r="K195" s="483" t="s">
        <v>1255</v>
      </c>
      <c r="L195" s="483">
        <v>2</v>
      </c>
      <c r="M195" s="483">
        <v>8</v>
      </c>
      <c r="N195" s="483"/>
      <c r="O195" s="456"/>
      <c r="P195" s="457">
        <v>0</v>
      </c>
      <c r="Q195" s="457"/>
      <c r="R195" s="457">
        <v>0</v>
      </c>
      <c r="S195" s="457">
        <v>0</v>
      </c>
      <c r="T195" s="457"/>
      <c r="U195" s="457">
        <v>0</v>
      </c>
      <c r="V195" s="457">
        <v>0</v>
      </c>
      <c r="W195" s="457">
        <v>0</v>
      </c>
      <c r="X195" s="457">
        <v>0</v>
      </c>
      <c r="Y195" s="457">
        <v>0</v>
      </c>
      <c r="Z195" s="457"/>
      <c r="AA195" s="457">
        <v>1</v>
      </c>
      <c r="AB195" s="457"/>
      <c r="AC195" s="457"/>
      <c r="AD195" s="457"/>
      <c r="AE195" s="457">
        <f t="shared" si="11"/>
        <v>1</v>
      </c>
      <c r="AF195" s="456"/>
      <c r="AG195" s="471">
        <f>+(AE195/L195)</f>
        <v>0.5</v>
      </c>
      <c r="AH195" s="462">
        <f t="shared" si="8"/>
        <v>0.5</v>
      </c>
      <c r="AI195" s="456"/>
      <c r="AJ195" s="456"/>
      <c r="AK195" s="456"/>
      <c r="AL195" s="456"/>
      <c r="AM195" s="456"/>
      <c r="AN195" s="456"/>
      <c r="AO195" s="456"/>
      <c r="AP195" s="456"/>
      <c r="AQ195" s="456"/>
      <c r="AR195" s="456"/>
      <c r="AS195" s="456"/>
      <c r="AT195" s="456"/>
    </row>
    <row r="196" spans="1:46" ht="67.5" x14ac:dyDescent="0.2">
      <c r="A196" s="729"/>
      <c r="B196" s="727"/>
      <c r="C196" s="779"/>
      <c r="D196" s="708"/>
      <c r="E196" s="708"/>
      <c r="F196" s="708"/>
      <c r="G196" s="708"/>
      <c r="H196" s="708"/>
      <c r="I196" s="708"/>
      <c r="J196" s="483" t="s">
        <v>1248</v>
      </c>
      <c r="K196" s="483" t="s">
        <v>1249</v>
      </c>
      <c r="L196" s="483">
        <v>1</v>
      </c>
      <c r="M196" s="483">
        <v>0</v>
      </c>
      <c r="N196" s="483"/>
      <c r="O196" s="456"/>
      <c r="P196" s="457">
        <v>1</v>
      </c>
      <c r="Q196" s="457">
        <v>1</v>
      </c>
      <c r="R196" s="457">
        <v>0</v>
      </c>
      <c r="S196" s="457">
        <v>0</v>
      </c>
      <c r="T196" s="457">
        <v>0</v>
      </c>
      <c r="U196" s="457">
        <v>0</v>
      </c>
      <c r="V196" s="457">
        <v>0</v>
      </c>
      <c r="W196" s="457">
        <v>0</v>
      </c>
      <c r="X196" s="457">
        <v>0</v>
      </c>
      <c r="Y196" s="457">
        <v>0</v>
      </c>
      <c r="Z196" s="457"/>
      <c r="AA196" s="457">
        <v>0</v>
      </c>
      <c r="AB196" s="457"/>
      <c r="AC196" s="457"/>
      <c r="AD196" s="457"/>
      <c r="AE196" s="457">
        <f>+Q196</f>
        <v>1</v>
      </c>
      <c r="AF196" s="456"/>
      <c r="AG196" s="471">
        <f>+(AE196/L196)</f>
        <v>1</v>
      </c>
      <c r="AH196" s="462">
        <f t="shared" ref="AH196:AH259" si="12">+AG196</f>
        <v>1</v>
      </c>
      <c r="AI196" s="456"/>
      <c r="AJ196" s="456"/>
      <c r="AK196" s="456"/>
      <c r="AL196" s="456"/>
      <c r="AM196" s="456"/>
      <c r="AN196" s="456"/>
      <c r="AO196" s="456"/>
      <c r="AP196" s="456"/>
      <c r="AQ196" s="456"/>
      <c r="AR196" s="456"/>
      <c r="AS196" s="456"/>
      <c r="AT196" s="456"/>
    </row>
    <row r="197" spans="1:46" ht="56.25" x14ac:dyDescent="0.2">
      <c r="A197" s="729"/>
      <c r="B197" s="727"/>
      <c r="C197" s="779"/>
      <c r="D197" s="708"/>
      <c r="E197" s="708"/>
      <c r="F197" s="708"/>
      <c r="G197" s="708"/>
      <c r="H197" s="708"/>
      <c r="I197" s="708"/>
      <c r="J197" s="483" t="s">
        <v>1250</v>
      </c>
      <c r="K197" s="483" t="s">
        <v>1251</v>
      </c>
      <c r="L197" s="483">
        <v>60000</v>
      </c>
      <c r="M197" s="483">
        <v>55000</v>
      </c>
      <c r="N197" s="483"/>
      <c r="O197" s="456"/>
      <c r="P197" s="457">
        <v>5500</v>
      </c>
      <c r="Q197" s="457"/>
      <c r="R197" s="457">
        <v>0</v>
      </c>
      <c r="S197" s="457">
        <v>0</v>
      </c>
      <c r="T197" s="466">
        <v>0</v>
      </c>
      <c r="U197" s="457">
        <v>42326</v>
      </c>
      <c r="V197" s="457"/>
      <c r="W197" s="457"/>
      <c r="X197" s="457">
        <v>40000</v>
      </c>
      <c r="Y197" s="457"/>
      <c r="Z197" s="457"/>
      <c r="AA197" s="457">
        <v>7000</v>
      </c>
      <c r="AB197" s="457"/>
      <c r="AC197" s="457"/>
      <c r="AD197" s="457"/>
      <c r="AE197" s="457">
        <f>+SUM(N197:AC197)</f>
        <v>94826</v>
      </c>
      <c r="AF197" s="456"/>
      <c r="AG197" s="471">
        <v>1</v>
      </c>
      <c r="AH197" s="462">
        <f t="shared" si="12"/>
        <v>1</v>
      </c>
      <c r="AI197" s="456"/>
      <c r="AJ197" s="456"/>
      <c r="AK197" s="456"/>
      <c r="AL197" s="456"/>
      <c r="AM197" s="456"/>
      <c r="AN197" s="456"/>
      <c r="AO197" s="456"/>
      <c r="AP197" s="456"/>
      <c r="AQ197" s="456"/>
      <c r="AR197" s="456"/>
      <c r="AS197" s="456"/>
      <c r="AT197" s="456"/>
    </row>
    <row r="198" spans="1:46" ht="52.5" customHeight="1" x14ac:dyDescent="0.2">
      <c r="A198" s="729"/>
      <c r="B198" s="727"/>
      <c r="C198" s="779"/>
      <c r="D198" s="708"/>
      <c r="E198" s="708"/>
      <c r="F198" s="708"/>
      <c r="G198" s="708"/>
      <c r="H198" s="708"/>
      <c r="I198" s="709"/>
      <c r="J198" s="483"/>
      <c r="K198" s="483"/>
      <c r="L198" s="483"/>
      <c r="M198" s="483"/>
      <c r="N198" s="483"/>
      <c r="O198" s="456"/>
      <c r="P198" s="456"/>
      <c r="Q198" s="456"/>
      <c r="R198" s="456"/>
      <c r="S198" s="456"/>
      <c r="T198" s="456"/>
      <c r="U198" s="456"/>
      <c r="V198" s="456"/>
      <c r="W198" s="456"/>
      <c r="X198" s="456"/>
      <c r="Y198" s="456"/>
      <c r="Z198" s="456"/>
      <c r="AA198" s="456"/>
      <c r="AB198" s="456"/>
      <c r="AC198" s="456"/>
      <c r="AD198" s="456"/>
      <c r="AE198" s="457"/>
      <c r="AF198" s="456"/>
      <c r="AG198" s="492">
        <f>AVERAGE(AG193:AG197)</f>
        <v>0.61499999999999999</v>
      </c>
      <c r="AH198" s="462">
        <f t="shared" si="12"/>
        <v>0.61499999999999999</v>
      </c>
      <c r="AI198" s="456"/>
      <c r="AJ198" s="456"/>
      <c r="AK198" s="456"/>
      <c r="AL198" s="456"/>
      <c r="AM198" s="456"/>
      <c r="AN198" s="456"/>
      <c r="AO198" s="456"/>
      <c r="AP198" s="456"/>
      <c r="AQ198" s="456"/>
      <c r="AR198" s="456"/>
      <c r="AS198" s="456"/>
      <c r="AT198" s="456"/>
    </row>
    <row r="199" spans="1:46" ht="52.5" customHeight="1" x14ac:dyDescent="0.2">
      <c r="A199" s="729"/>
      <c r="B199" s="727"/>
      <c r="C199" s="779"/>
      <c r="D199" s="709"/>
      <c r="E199" s="709"/>
      <c r="F199" s="709"/>
      <c r="G199" s="709"/>
      <c r="H199" s="709"/>
      <c r="I199" s="506"/>
      <c r="J199" s="483"/>
      <c r="K199" s="483"/>
      <c r="L199" s="483"/>
      <c r="M199" s="483"/>
      <c r="N199" s="483"/>
      <c r="O199" s="456"/>
      <c r="P199" s="456"/>
      <c r="Q199" s="456"/>
      <c r="R199" s="456"/>
      <c r="S199" s="456"/>
      <c r="T199" s="456"/>
      <c r="U199" s="456"/>
      <c r="V199" s="456"/>
      <c r="W199" s="456"/>
      <c r="X199" s="456"/>
      <c r="Y199" s="456"/>
      <c r="Z199" s="456"/>
      <c r="AA199" s="456"/>
      <c r="AB199" s="456"/>
      <c r="AC199" s="456"/>
      <c r="AD199" s="456"/>
      <c r="AE199" s="457"/>
      <c r="AF199" s="456"/>
      <c r="AG199" s="516">
        <f>+AG198</f>
        <v>0.61499999999999999</v>
      </c>
      <c r="AH199" s="462">
        <f t="shared" si="12"/>
        <v>0.61499999999999999</v>
      </c>
      <c r="AI199" s="456"/>
      <c r="AJ199" s="456"/>
      <c r="AK199" s="456"/>
      <c r="AL199" s="456"/>
      <c r="AM199" s="456"/>
      <c r="AN199" s="456"/>
      <c r="AO199" s="456"/>
      <c r="AP199" s="456"/>
      <c r="AQ199" s="456"/>
      <c r="AR199" s="456"/>
      <c r="AS199" s="456"/>
      <c r="AT199" s="456"/>
    </row>
    <row r="200" spans="1:46" ht="60" customHeight="1" x14ac:dyDescent="0.2">
      <c r="A200" s="729"/>
      <c r="B200" s="727"/>
      <c r="C200" s="779"/>
      <c r="D200" s="781" t="s">
        <v>2116</v>
      </c>
      <c r="E200" s="761" t="s">
        <v>1259</v>
      </c>
      <c r="F200" s="761" t="s">
        <v>1258</v>
      </c>
      <c r="G200" s="782">
        <v>1</v>
      </c>
      <c r="H200" s="782">
        <v>0.01</v>
      </c>
      <c r="I200" s="718" t="s">
        <v>1260</v>
      </c>
      <c r="J200" s="476" t="s">
        <v>1261</v>
      </c>
      <c r="K200" s="476" t="s">
        <v>1273</v>
      </c>
      <c r="L200" s="457">
        <v>1</v>
      </c>
      <c r="M200" s="457">
        <v>0</v>
      </c>
      <c r="N200" s="457"/>
      <c r="O200" s="456"/>
      <c r="P200" s="457">
        <v>0</v>
      </c>
      <c r="Q200" s="457"/>
      <c r="R200" s="457"/>
      <c r="S200" s="457">
        <v>0.25</v>
      </c>
      <c r="T200" s="457"/>
      <c r="U200" s="457">
        <v>0</v>
      </c>
      <c r="V200" s="457"/>
      <c r="W200" s="457">
        <v>0.75</v>
      </c>
      <c r="X200" s="457">
        <v>0</v>
      </c>
      <c r="Y200" s="457">
        <v>0</v>
      </c>
      <c r="Z200" s="457">
        <v>0</v>
      </c>
      <c r="AA200" s="457">
        <v>0</v>
      </c>
      <c r="AB200" s="457"/>
      <c r="AC200" s="457"/>
      <c r="AD200" s="457"/>
      <c r="AE200" s="457">
        <f t="shared" si="11"/>
        <v>1</v>
      </c>
      <c r="AF200" s="456"/>
      <c r="AG200" s="471">
        <f>+AE200</f>
        <v>1</v>
      </c>
      <c r="AH200" s="462">
        <f t="shared" si="12"/>
        <v>1</v>
      </c>
      <c r="AI200" s="456"/>
      <c r="AJ200" s="456"/>
      <c r="AK200" s="456"/>
      <c r="AL200" s="456"/>
      <c r="AM200" s="456"/>
      <c r="AN200" s="456"/>
      <c r="AO200" s="456"/>
      <c r="AP200" s="456"/>
      <c r="AQ200" s="456"/>
      <c r="AR200" s="456"/>
      <c r="AS200" s="456"/>
      <c r="AT200" s="456"/>
    </row>
    <row r="201" spans="1:46" ht="78.75" x14ac:dyDescent="0.2">
      <c r="A201" s="729"/>
      <c r="B201" s="727"/>
      <c r="C201" s="779"/>
      <c r="D201" s="781"/>
      <c r="E201" s="761"/>
      <c r="F201" s="761"/>
      <c r="G201" s="782"/>
      <c r="H201" s="782"/>
      <c r="I201" s="718"/>
      <c r="J201" s="476" t="s">
        <v>1262</v>
      </c>
      <c r="K201" s="476" t="s">
        <v>1274</v>
      </c>
      <c r="L201" s="457">
        <v>1</v>
      </c>
      <c r="M201" s="457">
        <v>0</v>
      </c>
      <c r="N201" s="457"/>
      <c r="O201" s="456"/>
      <c r="P201" s="457">
        <v>0</v>
      </c>
      <c r="Q201" s="457"/>
      <c r="R201" s="457"/>
      <c r="S201" s="457"/>
      <c r="T201" s="457"/>
      <c r="U201" s="457">
        <v>0</v>
      </c>
      <c r="V201" s="457"/>
      <c r="W201" s="457"/>
      <c r="X201" s="457"/>
      <c r="Y201" s="457"/>
      <c r="Z201" s="457"/>
      <c r="AA201" s="457"/>
      <c r="AB201" s="457"/>
      <c r="AC201" s="457"/>
      <c r="AD201" s="457"/>
      <c r="AE201" s="457">
        <f t="shared" si="11"/>
        <v>0</v>
      </c>
      <c r="AF201" s="456"/>
      <c r="AG201" s="471">
        <f>+(AE201/L201)</f>
        <v>0</v>
      </c>
      <c r="AH201" s="462">
        <f t="shared" si="12"/>
        <v>0</v>
      </c>
      <c r="AI201" s="456"/>
      <c r="AJ201" s="456"/>
      <c r="AK201" s="456"/>
      <c r="AL201" s="456"/>
      <c r="AM201" s="456"/>
      <c r="AN201" s="456"/>
      <c r="AO201" s="456"/>
      <c r="AP201" s="456"/>
      <c r="AQ201" s="456"/>
      <c r="AR201" s="456"/>
      <c r="AS201" s="456"/>
      <c r="AT201" s="456"/>
    </row>
    <row r="202" spans="1:46" ht="90" x14ac:dyDescent="0.2">
      <c r="A202" s="729"/>
      <c r="B202" s="727"/>
      <c r="C202" s="779"/>
      <c r="D202" s="781"/>
      <c r="E202" s="761"/>
      <c r="F202" s="761"/>
      <c r="G202" s="782"/>
      <c r="H202" s="782"/>
      <c r="I202" s="718"/>
      <c r="J202" s="477" t="s">
        <v>1263</v>
      </c>
      <c r="K202" s="476" t="s">
        <v>1275</v>
      </c>
      <c r="L202" s="457">
        <v>1</v>
      </c>
      <c r="M202" s="457">
        <v>0</v>
      </c>
      <c r="N202" s="457"/>
      <c r="O202" s="456"/>
      <c r="P202" s="457">
        <v>0</v>
      </c>
      <c r="Q202" s="457"/>
      <c r="R202" s="457"/>
      <c r="S202" s="457"/>
      <c r="T202" s="457"/>
      <c r="U202" s="457">
        <v>0</v>
      </c>
      <c r="V202" s="457"/>
      <c r="W202" s="457"/>
      <c r="X202" s="457"/>
      <c r="Y202" s="457"/>
      <c r="Z202" s="457"/>
      <c r="AA202" s="457"/>
      <c r="AB202" s="457"/>
      <c r="AC202" s="457"/>
      <c r="AD202" s="457"/>
      <c r="AE202" s="457">
        <f t="shared" si="11"/>
        <v>0</v>
      </c>
      <c r="AF202" s="456"/>
      <c r="AG202" s="471">
        <f>+(AE202/L202)</f>
        <v>0</v>
      </c>
      <c r="AH202" s="462">
        <f t="shared" si="12"/>
        <v>0</v>
      </c>
      <c r="AI202" s="456"/>
      <c r="AJ202" s="456"/>
      <c r="AK202" s="456"/>
      <c r="AL202" s="456"/>
      <c r="AM202" s="456"/>
      <c r="AN202" s="456"/>
      <c r="AO202" s="456"/>
      <c r="AP202" s="456"/>
      <c r="AQ202" s="456"/>
      <c r="AR202" s="456"/>
      <c r="AS202" s="456"/>
      <c r="AT202" s="456"/>
    </row>
    <row r="203" spans="1:46" ht="45" customHeight="1" x14ac:dyDescent="0.2">
      <c r="A203" s="729"/>
      <c r="B203" s="727"/>
      <c r="C203" s="779"/>
      <c r="D203" s="781"/>
      <c r="E203" s="761"/>
      <c r="F203" s="761"/>
      <c r="G203" s="782"/>
      <c r="H203" s="782"/>
      <c r="I203" s="718"/>
      <c r="J203" s="476"/>
      <c r="K203" s="476"/>
      <c r="L203" s="457"/>
      <c r="M203" s="457"/>
      <c r="N203" s="457"/>
      <c r="O203" s="456"/>
      <c r="P203" s="456"/>
      <c r="Q203" s="456"/>
      <c r="R203" s="456"/>
      <c r="S203" s="456"/>
      <c r="T203" s="456"/>
      <c r="U203" s="456"/>
      <c r="V203" s="456"/>
      <c r="W203" s="456"/>
      <c r="X203" s="456"/>
      <c r="Y203" s="456"/>
      <c r="Z203" s="456"/>
      <c r="AA203" s="456"/>
      <c r="AB203" s="456"/>
      <c r="AC203" s="456"/>
      <c r="AD203" s="456"/>
      <c r="AE203" s="457"/>
      <c r="AF203" s="456"/>
      <c r="AG203" s="498">
        <f>AVERAGE(AG200:AG202)</f>
        <v>0.33333333333333331</v>
      </c>
      <c r="AH203" s="462">
        <f t="shared" si="12"/>
        <v>0.33333333333333331</v>
      </c>
      <c r="AI203" s="456"/>
      <c r="AJ203" s="456"/>
      <c r="AK203" s="456"/>
      <c r="AL203" s="456"/>
      <c r="AM203" s="456"/>
      <c r="AN203" s="456"/>
      <c r="AO203" s="456"/>
      <c r="AP203" s="456"/>
      <c r="AQ203" s="456"/>
      <c r="AR203" s="456"/>
      <c r="AS203" s="456"/>
      <c r="AT203" s="456"/>
    </row>
    <row r="204" spans="1:46" ht="105" customHeight="1" x14ac:dyDescent="0.2">
      <c r="A204" s="729"/>
      <c r="B204" s="727"/>
      <c r="C204" s="779"/>
      <c r="D204" s="781"/>
      <c r="E204" s="761"/>
      <c r="F204" s="761"/>
      <c r="G204" s="782"/>
      <c r="H204" s="782"/>
      <c r="I204" s="707" t="s">
        <v>1272</v>
      </c>
      <c r="J204" s="536" t="s">
        <v>1264</v>
      </c>
      <c r="K204" s="536" t="s">
        <v>1265</v>
      </c>
      <c r="L204" s="457">
        <v>0.5</v>
      </c>
      <c r="M204" s="457">
        <v>0</v>
      </c>
      <c r="N204" s="457"/>
      <c r="O204" s="456"/>
      <c r="P204" s="457">
        <v>0</v>
      </c>
      <c r="Q204" s="457">
        <v>0</v>
      </c>
      <c r="R204" s="457">
        <v>0</v>
      </c>
      <c r="S204" s="457">
        <v>0</v>
      </c>
      <c r="T204" s="457">
        <v>0</v>
      </c>
      <c r="U204" s="457"/>
      <c r="V204" s="457"/>
      <c r="W204" s="457"/>
      <c r="X204" s="457">
        <v>0.5</v>
      </c>
      <c r="Y204" s="457">
        <v>0.95</v>
      </c>
      <c r="Z204" s="457">
        <v>0</v>
      </c>
      <c r="AA204" s="457">
        <v>0</v>
      </c>
      <c r="AB204" s="457"/>
      <c r="AC204" s="457"/>
      <c r="AD204" s="457"/>
      <c r="AE204" s="457">
        <f t="shared" si="11"/>
        <v>1.45</v>
      </c>
      <c r="AF204" s="456"/>
      <c r="AG204" s="471">
        <v>1</v>
      </c>
      <c r="AH204" s="462">
        <f t="shared" si="12"/>
        <v>1</v>
      </c>
      <c r="AI204" s="456"/>
      <c r="AJ204" s="456"/>
      <c r="AK204" s="456"/>
      <c r="AL204" s="456"/>
      <c r="AM204" s="456"/>
      <c r="AN204" s="456"/>
      <c r="AO204" s="456"/>
      <c r="AP204" s="456"/>
      <c r="AQ204" s="456"/>
      <c r="AR204" s="456"/>
      <c r="AS204" s="456"/>
      <c r="AT204" s="456"/>
    </row>
    <row r="205" spans="1:46" ht="56.25" x14ac:dyDescent="0.2">
      <c r="A205" s="729"/>
      <c r="B205" s="727"/>
      <c r="C205" s="779"/>
      <c r="D205" s="781"/>
      <c r="E205" s="761"/>
      <c r="F205" s="761"/>
      <c r="G205" s="782"/>
      <c r="H205" s="782"/>
      <c r="I205" s="708"/>
      <c r="J205" s="476" t="s">
        <v>1266</v>
      </c>
      <c r="K205" s="476" t="s">
        <v>1267</v>
      </c>
      <c r="L205" s="457">
        <v>1</v>
      </c>
      <c r="M205" s="457">
        <v>0</v>
      </c>
      <c r="N205" s="457"/>
      <c r="O205" s="456"/>
      <c r="P205" s="457">
        <v>0</v>
      </c>
      <c r="Q205" s="457"/>
      <c r="R205" s="457"/>
      <c r="S205" s="457">
        <v>0.25</v>
      </c>
      <c r="T205" s="457">
        <v>0.75</v>
      </c>
      <c r="U205" s="457">
        <v>0</v>
      </c>
      <c r="V205" s="457"/>
      <c r="W205" s="457"/>
      <c r="X205" s="457"/>
      <c r="Y205" s="457"/>
      <c r="Z205" s="457">
        <v>0</v>
      </c>
      <c r="AA205" s="457">
        <v>0</v>
      </c>
      <c r="AB205" s="457"/>
      <c r="AC205" s="457"/>
      <c r="AD205" s="457"/>
      <c r="AE205" s="457">
        <f t="shared" si="11"/>
        <v>1</v>
      </c>
      <c r="AF205" s="456"/>
      <c r="AG205" s="471">
        <f>+(AE205/L205)</f>
        <v>1</v>
      </c>
      <c r="AH205" s="462">
        <f t="shared" si="12"/>
        <v>1</v>
      </c>
      <c r="AI205" s="456"/>
      <c r="AJ205" s="456"/>
      <c r="AK205" s="456"/>
      <c r="AL205" s="456"/>
      <c r="AM205" s="456"/>
      <c r="AN205" s="456"/>
      <c r="AO205" s="456"/>
      <c r="AP205" s="456"/>
      <c r="AQ205" s="456"/>
      <c r="AR205" s="456"/>
      <c r="AS205" s="456"/>
      <c r="AT205" s="456"/>
    </row>
    <row r="206" spans="1:46" ht="56.25" x14ac:dyDescent="0.2">
      <c r="A206" s="729"/>
      <c r="B206" s="727"/>
      <c r="C206" s="779"/>
      <c r="D206" s="781"/>
      <c r="E206" s="761"/>
      <c r="F206" s="761"/>
      <c r="G206" s="782"/>
      <c r="H206" s="782"/>
      <c r="I206" s="708"/>
      <c r="J206" s="537" t="s">
        <v>1268</v>
      </c>
      <c r="K206" s="476" t="s">
        <v>1269</v>
      </c>
      <c r="L206" s="457">
        <v>30</v>
      </c>
      <c r="M206" s="457">
        <v>0</v>
      </c>
      <c r="N206" s="457"/>
      <c r="O206" s="456"/>
      <c r="P206" s="457">
        <v>0</v>
      </c>
      <c r="Q206" s="457"/>
      <c r="R206" s="457"/>
      <c r="S206" s="457">
        <v>0</v>
      </c>
      <c r="T206" s="457"/>
      <c r="U206" s="457">
        <v>0</v>
      </c>
      <c r="V206" s="457"/>
      <c r="W206" s="457">
        <v>9</v>
      </c>
      <c r="X206" s="457">
        <v>0</v>
      </c>
      <c r="Y206" s="457">
        <v>0</v>
      </c>
      <c r="Z206" s="457"/>
      <c r="AA206" s="457">
        <v>0</v>
      </c>
      <c r="AB206" s="457"/>
      <c r="AC206" s="457"/>
      <c r="AD206" s="457"/>
      <c r="AE206" s="457">
        <f t="shared" si="11"/>
        <v>9</v>
      </c>
      <c r="AF206" s="456"/>
      <c r="AG206" s="471">
        <f>+(AE206/L206)</f>
        <v>0.3</v>
      </c>
      <c r="AH206" s="462">
        <f t="shared" si="12"/>
        <v>0.3</v>
      </c>
      <c r="AI206" s="456"/>
      <c r="AJ206" s="456"/>
      <c r="AK206" s="456"/>
      <c r="AL206" s="456"/>
      <c r="AM206" s="456"/>
      <c r="AN206" s="456"/>
      <c r="AO206" s="456"/>
      <c r="AP206" s="456"/>
      <c r="AQ206" s="456"/>
      <c r="AR206" s="456"/>
      <c r="AS206" s="456"/>
      <c r="AT206" s="456"/>
    </row>
    <row r="207" spans="1:46" ht="101.25" x14ac:dyDescent="0.2">
      <c r="A207" s="729"/>
      <c r="B207" s="727"/>
      <c r="C207" s="779"/>
      <c r="D207" s="781"/>
      <c r="E207" s="761"/>
      <c r="F207" s="761"/>
      <c r="G207" s="782"/>
      <c r="H207" s="782"/>
      <c r="I207" s="708"/>
      <c r="J207" s="476" t="s">
        <v>1270</v>
      </c>
      <c r="K207" s="476" t="s">
        <v>1271</v>
      </c>
      <c r="L207" s="457">
        <v>1</v>
      </c>
      <c r="M207" s="457">
        <v>0</v>
      </c>
      <c r="N207" s="457"/>
      <c r="O207" s="456"/>
      <c r="P207" s="457">
        <v>0</v>
      </c>
      <c r="Q207" s="457">
        <v>0</v>
      </c>
      <c r="R207" s="457"/>
      <c r="S207" s="457">
        <v>0</v>
      </c>
      <c r="T207" s="457"/>
      <c r="U207" s="457">
        <v>0</v>
      </c>
      <c r="V207" s="457"/>
      <c r="W207" s="457">
        <v>0.5</v>
      </c>
      <c r="X207" s="457">
        <v>0</v>
      </c>
      <c r="Y207" s="457">
        <v>0</v>
      </c>
      <c r="Z207" s="457"/>
      <c r="AA207" s="457">
        <v>0</v>
      </c>
      <c r="AB207" s="457"/>
      <c r="AC207" s="457"/>
      <c r="AD207" s="457"/>
      <c r="AE207" s="457">
        <f t="shared" si="11"/>
        <v>0.5</v>
      </c>
      <c r="AF207" s="456"/>
      <c r="AG207" s="471">
        <f>+(AE207/L207)</f>
        <v>0.5</v>
      </c>
      <c r="AH207" s="462">
        <f t="shared" si="12"/>
        <v>0.5</v>
      </c>
      <c r="AI207" s="456"/>
      <c r="AJ207" s="456"/>
      <c r="AK207" s="456"/>
      <c r="AL207" s="456"/>
      <c r="AM207" s="456"/>
      <c r="AN207" s="456"/>
      <c r="AO207" s="456"/>
      <c r="AP207" s="456"/>
      <c r="AQ207" s="456"/>
      <c r="AR207" s="456"/>
      <c r="AS207" s="456"/>
      <c r="AT207" s="456"/>
    </row>
    <row r="208" spans="1:46" ht="42.75" customHeight="1" x14ac:dyDescent="0.2">
      <c r="A208" s="729"/>
      <c r="B208" s="727"/>
      <c r="C208" s="779"/>
      <c r="D208" s="781"/>
      <c r="E208" s="761"/>
      <c r="F208" s="761"/>
      <c r="G208" s="782"/>
      <c r="H208" s="782"/>
      <c r="I208" s="708"/>
      <c r="J208" s="476"/>
      <c r="K208" s="476"/>
      <c r="L208" s="457"/>
      <c r="M208" s="457"/>
      <c r="N208" s="457"/>
      <c r="O208" s="456"/>
      <c r="P208" s="456"/>
      <c r="Q208" s="456"/>
      <c r="R208" s="456"/>
      <c r="S208" s="456"/>
      <c r="T208" s="456"/>
      <c r="U208" s="456"/>
      <c r="V208" s="456"/>
      <c r="W208" s="456"/>
      <c r="X208" s="456"/>
      <c r="Y208" s="456"/>
      <c r="Z208" s="456"/>
      <c r="AA208" s="456"/>
      <c r="AB208" s="456"/>
      <c r="AC208" s="456"/>
      <c r="AD208" s="456"/>
      <c r="AE208" s="457"/>
      <c r="AF208" s="456"/>
      <c r="AG208" s="492">
        <f>AVERAGE(AG204:AG207)</f>
        <v>0.7</v>
      </c>
      <c r="AH208" s="462">
        <f t="shared" si="12"/>
        <v>0.7</v>
      </c>
      <c r="AI208" s="456"/>
      <c r="AJ208" s="456"/>
      <c r="AK208" s="456"/>
      <c r="AL208" s="456"/>
      <c r="AM208" s="456"/>
      <c r="AN208" s="456"/>
      <c r="AO208" s="456"/>
      <c r="AP208" s="456"/>
      <c r="AQ208" s="456"/>
      <c r="AR208" s="456"/>
      <c r="AS208" s="456"/>
      <c r="AT208" s="456"/>
    </row>
    <row r="209" spans="1:46" ht="60" customHeight="1" x14ac:dyDescent="0.2">
      <c r="A209" s="729"/>
      <c r="B209" s="727"/>
      <c r="C209" s="779"/>
      <c r="D209" s="781"/>
      <c r="E209" s="761"/>
      <c r="F209" s="761"/>
      <c r="G209" s="782"/>
      <c r="H209" s="782"/>
      <c r="I209" s="709"/>
      <c r="J209" s="476"/>
      <c r="K209" s="476"/>
      <c r="L209" s="457"/>
      <c r="M209" s="457"/>
      <c r="N209" s="457"/>
      <c r="O209" s="456"/>
      <c r="P209" s="456"/>
      <c r="Q209" s="456"/>
      <c r="R209" s="456"/>
      <c r="S209" s="456"/>
      <c r="T209" s="456"/>
      <c r="U209" s="456"/>
      <c r="V209" s="456"/>
      <c r="W209" s="456"/>
      <c r="X209" s="456"/>
      <c r="Y209" s="456"/>
      <c r="Z209" s="456"/>
      <c r="AA209" s="456"/>
      <c r="AB209" s="456"/>
      <c r="AC209" s="456"/>
      <c r="AD209" s="456"/>
      <c r="AE209" s="457"/>
      <c r="AF209" s="456"/>
      <c r="AG209" s="516">
        <f>(AG203+AG208)/2</f>
        <v>0.51666666666666661</v>
      </c>
      <c r="AH209" s="462">
        <f t="shared" si="12"/>
        <v>0.51666666666666661</v>
      </c>
      <c r="AI209" s="456"/>
      <c r="AJ209" s="456"/>
      <c r="AK209" s="456"/>
      <c r="AL209" s="456"/>
      <c r="AM209" s="456"/>
      <c r="AN209" s="456"/>
      <c r="AO209" s="456"/>
      <c r="AP209" s="456"/>
      <c r="AQ209" s="456"/>
      <c r="AR209" s="456"/>
      <c r="AS209" s="456"/>
      <c r="AT209" s="456"/>
    </row>
    <row r="210" spans="1:46" ht="60" customHeight="1" x14ac:dyDescent="0.2">
      <c r="A210" s="729"/>
      <c r="B210" s="727"/>
      <c r="C210" s="780"/>
      <c r="D210" s="496"/>
      <c r="E210" s="454"/>
      <c r="F210" s="478"/>
      <c r="G210" s="538"/>
      <c r="H210" s="538"/>
      <c r="I210" s="539"/>
      <c r="J210" s="476"/>
      <c r="K210" s="476"/>
      <c r="L210" s="457"/>
      <c r="M210" s="457"/>
      <c r="N210" s="457"/>
      <c r="O210" s="456"/>
      <c r="P210" s="456"/>
      <c r="Q210" s="456"/>
      <c r="R210" s="456"/>
      <c r="S210" s="456"/>
      <c r="T210" s="456"/>
      <c r="U210" s="456"/>
      <c r="V210" s="456"/>
      <c r="W210" s="456"/>
      <c r="X210" s="456"/>
      <c r="Y210" s="456"/>
      <c r="Z210" s="456"/>
      <c r="AA210" s="456"/>
      <c r="AB210" s="456"/>
      <c r="AC210" s="456"/>
      <c r="AD210" s="456"/>
      <c r="AE210" s="457"/>
      <c r="AF210" s="456"/>
      <c r="AG210" s="529">
        <f>(AG192+AG199+AG209)/3</f>
        <v>0.59981521818358752</v>
      </c>
      <c r="AH210" s="462">
        <f t="shared" si="12"/>
        <v>0.59981521818358752</v>
      </c>
      <c r="AI210" s="456"/>
      <c r="AJ210" s="456"/>
      <c r="AK210" s="456"/>
      <c r="AL210" s="456"/>
      <c r="AM210" s="456"/>
      <c r="AN210" s="456"/>
      <c r="AO210" s="456"/>
      <c r="AP210" s="456"/>
      <c r="AQ210" s="456"/>
      <c r="AR210" s="456"/>
      <c r="AS210" s="456"/>
      <c r="AT210" s="456"/>
    </row>
    <row r="211" spans="1:46" ht="63.75" customHeight="1" x14ac:dyDescent="0.2">
      <c r="A211" s="729"/>
      <c r="B211" s="727"/>
      <c r="C211" s="783" t="s">
        <v>1276</v>
      </c>
      <c r="D211" s="707" t="s">
        <v>1277</v>
      </c>
      <c r="E211" s="707" t="s">
        <v>1281</v>
      </c>
      <c r="F211" s="736" t="s">
        <v>1278</v>
      </c>
      <c r="G211" s="736" t="s">
        <v>1280</v>
      </c>
      <c r="H211" s="736" t="s">
        <v>1279</v>
      </c>
      <c r="I211" s="707" t="s">
        <v>1282</v>
      </c>
      <c r="J211" s="480" t="s">
        <v>1283</v>
      </c>
      <c r="K211" s="480" t="s">
        <v>1284</v>
      </c>
      <c r="L211" s="480">
        <v>73139</v>
      </c>
      <c r="M211" s="480">
        <v>228561</v>
      </c>
      <c r="N211" s="480"/>
      <c r="O211" s="456"/>
      <c r="P211" s="457">
        <v>4500</v>
      </c>
      <c r="Q211" s="457">
        <v>8300</v>
      </c>
      <c r="R211" s="540">
        <v>1917</v>
      </c>
      <c r="S211" s="457">
        <v>2212</v>
      </c>
      <c r="T211" s="457">
        <v>3212</v>
      </c>
      <c r="U211" s="457">
        <v>15871</v>
      </c>
      <c r="V211" s="457"/>
      <c r="W211" s="457"/>
      <c r="X211" s="457">
        <v>6000</v>
      </c>
      <c r="Y211" s="457">
        <v>9000</v>
      </c>
      <c r="Z211" s="457">
        <v>300</v>
      </c>
      <c r="AA211" s="457">
        <v>155</v>
      </c>
      <c r="AB211" s="457"/>
      <c r="AC211" s="457"/>
      <c r="AD211" s="457"/>
      <c r="AE211" s="457">
        <f>+U211+Q211+X2114+X211+Y211+Z211+AA211</f>
        <v>39626</v>
      </c>
      <c r="AF211" s="456"/>
      <c r="AG211" s="471">
        <f>+(AE211/L211)</f>
        <v>0.54179028972230958</v>
      </c>
      <c r="AH211" s="462">
        <f t="shared" si="12"/>
        <v>0.54179028972230958</v>
      </c>
      <c r="AI211" s="456"/>
      <c r="AJ211" s="790">
        <v>2119000000</v>
      </c>
      <c r="AK211" s="520"/>
      <c r="AL211" s="520"/>
      <c r="AM211" s="520"/>
      <c r="AN211" s="520"/>
      <c r="AO211" s="520"/>
      <c r="AP211" s="520"/>
      <c r="AQ211" s="520"/>
      <c r="AR211" s="520"/>
      <c r="AS211" s="790">
        <v>918000000</v>
      </c>
      <c r="AT211" s="723">
        <f>+AS211/AJ211</f>
        <v>0.43322321849929213</v>
      </c>
    </row>
    <row r="212" spans="1:46" ht="78.75" x14ac:dyDescent="0.2">
      <c r="A212" s="729"/>
      <c r="B212" s="727"/>
      <c r="C212" s="784"/>
      <c r="D212" s="708"/>
      <c r="E212" s="708"/>
      <c r="F212" s="743"/>
      <c r="G212" s="743"/>
      <c r="H212" s="743"/>
      <c r="I212" s="708"/>
      <c r="J212" s="480" t="s">
        <v>1285</v>
      </c>
      <c r="K212" s="480" t="s">
        <v>1286</v>
      </c>
      <c r="L212" s="541">
        <v>1</v>
      </c>
      <c r="M212" s="480">
        <v>0</v>
      </c>
      <c r="N212" s="480"/>
      <c r="O212" s="456"/>
      <c r="P212" s="457">
        <v>0</v>
      </c>
      <c r="Q212" s="457">
        <v>0</v>
      </c>
      <c r="R212" s="542">
        <v>0</v>
      </c>
      <c r="S212" s="457">
        <v>0</v>
      </c>
      <c r="T212" s="457">
        <v>0</v>
      </c>
      <c r="U212" s="457">
        <v>1</v>
      </c>
      <c r="V212" s="457"/>
      <c r="W212" s="457"/>
      <c r="X212" s="457">
        <v>0</v>
      </c>
      <c r="Y212" s="457">
        <v>0</v>
      </c>
      <c r="Z212" s="457">
        <v>0</v>
      </c>
      <c r="AA212" s="457">
        <v>0</v>
      </c>
      <c r="AB212" s="457"/>
      <c r="AC212" s="457"/>
      <c r="AD212" s="457"/>
      <c r="AE212" s="457">
        <f>+SUM(N212:AC212)</f>
        <v>1</v>
      </c>
      <c r="AF212" s="456"/>
      <c r="AG212" s="471">
        <f>+(AE212/L212)</f>
        <v>1</v>
      </c>
      <c r="AH212" s="462">
        <f t="shared" si="12"/>
        <v>1</v>
      </c>
      <c r="AI212" s="456"/>
      <c r="AJ212" s="792"/>
      <c r="AK212" s="520"/>
      <c r="AL212" s="520"/>
      <c r="AM212" s="520"/>
      <c r="AN212" s="520"/>
      <c r="AO212" s="520"/>
      <c r="AP212" s="520"/>
      <c r="AQ212" s="520"/>
      <c r="AR212" s="520"/>
      <c r="AS212" s="792"/>
      <c r="AT212" s="724"/>
    </row>
    <row r="213" spans="1:46" ht="67.5" x14ac:dyDescent="0.2">
      <c r="A213" s="729"/>
      <c r="B213" s="727"/>
      <c r="C213" s="784"/>
      <c r="D213" s="708"/>
      <c r="E213" s="708"/>
      <c r="F213" s="743"/>
      <c r="G213" s="743"/>
      <c r="H213" s="743"/>
      <c r="I213" s="708"/>
      <c r="J213" s="480" t="s">
        <v>1287</v>
      </c>
      <c r="K213" s="480" t="s">
        <v>1288</v>
      </c>
      <c r="L213" s="480">
        <v>1400</v>
      </c>
      <c r="M213" s="480">
        <v>0</v>
      </c>
      <c r="N213" s="480"/>
      <c r="O213" s="456"/>
      <c r="P213" s="457">
        <v>0</v>
      </c>
      <c r="Q213" s="457">
        <v>0</v>
      </c>
      <c r="R213" s="457">
        <v>0</v>
      </c>
      <c r="S213" s="457">
        <v>0</v>
      </c>
      <c r="T213" s="457">
        <v>0</v>
      </c>
      <c r="U213" s="457">
        <v>200</v>
      </c>
      <c r="V213" s="457"/>
      <c r="W213" s="457"/>
      <c r="X213" s="457">
        <v>0</v>
      </c>
      <c r="Y213" s="457">
        <v>500</v>
      </c>
      <c r="Z213" s="457">
        <v>0</v>
      </c>
      <c r="AA213" s="457">
        <v>0</v>
      </c>
      <c r="AB213" s="457"/>
      <c r="AC213" s="457"/>
      <c r="AD213" s="457"/>
      <c r="AE213" s="457">
        <f t="shared" si="11"/>
        <v>700</v>
      </c>
      <c r="AF213" s="456"/>
      <c r="AG213" s="471">
        <f>+(AE213/L213)</f>
        <v>0.5</v>
      </c>
      <c r="AH213" s="462">
        <f t="shared" si="12"/>
        <v>0.5</v>
      </c>
      <c r="AI213" s="456"/>
      <c r="AJ213" s="792"/>
      <c r="AK213" s="520"/>
      <c r="AL213" s="520"/>
      <c r="AM213" s="520"/>
      <c r="AN213" s="520"/>
      <c r="AO213" s="520"/>
      <c r="AP213" s="520"/>
      <c r="AQ213" s="520"/>
      <c r="AR213" s="520"/>
      <c r="AS213" s="792"/>
      <c r="AT213" s="724"/>
    </row>
    <row r="214" spans="1:46" ht="78.75" x14ac:dyDescent="0.2">
      <c r="A214" s="729"/>
      <c r="B214" s="727"/>
      <c r="C214" s="784"/>
      <c r="D214" s="708"/>
      <c r="E214" s="708"/>
      <c r="F214" s="743"/>
      <c r="G214" s="743"/>
      <c r="H214" s="743"/>
      <c r="I214" s="708"/>
      <c r="J214" s="480" t="s">
        <v>1289</v>
      </c>
      <c r="K214" s="480" t="s">
        <v>1290</v>
      </c>
      <c r="L214" s="480">
        <v>68568</v>
      </c>
      <c r="M214" s="480">
        <v>228561</v>
      </c>
      <c r="N214" s="480"/>
      <c r="O214" s="456"/>
      <c r="P214" s="457">
        <v>0</v>
      </c>
      <c r="Q214" s="457"/>
      <c r="R214" s="457">
        <v>0</v>
      </c>
      <c r="S214" s="457">
        <v>0</v>
      </c>
      <c r="T214" s="457">
        <v>0</v>
      </c>
      <c r="U214" s="457">
        <v>85</v>
      </c>
      <c r="V214" s="457"/>
      <c r="W214" s="457"/>
      <c r="X214" s="457">
        <v>0</v>
      </c>
      <c r="Y214" s="457">
        <v>25000</v>
      </c>
      <c r="Z214" s="457">
        <v>0</v>
      </c>
      <c r="AA214" s="457">
        <v>0</v>
      </c>
      <c r="AB214" s="457"/>
      <c r="AC214" s="457"/>
      <c r="AD214" s="457"/>
      <c r="AE214" s="457">
        <f t="shared" si="11"/>
        <v>25085</v>
      </c>
      <c r="AF214" s="456"/>
      <c r="AG214" s="471">
        <f>+(AE214/L214)</f>
        <v>0.36584120872710302</v>
      </c>
      <c r="AH214" s="462">
        <f t="shared" si="12"/>
        <v>0.36584120872710302</v>
      </c>
      <c r="AI214" s="456"/>
      <c r="AJ214" s="792"/>
      <c r="AK214" s="520"/>
      <c r="AL214" s="520"/>
      <c r="AM214" s="520"/>
      <c r="AN214" s="520"/>
      <c r="AO214" s="520"/>
      <c r="AP214" s="520"/>
      <c r="AQ214" s="520"/>
      <c r="AR214" s="520"/>
      <c r="AS214" s="792"/>
      <c r="AT214" s="724"/>
    </row>
    <row r="215" spans="1:46" ht="60" customHeight="1" x14ac:dyDescent="0.2">
      <c r="A215" s="729"/>
      <c r="B215" s="727"/>
      <c r="C215" s="784"/>
      <c r="D215" s="708"/>
      <c r="E215" s="708"/>
      <c r="F215" s="743"/>
      <c r="G215" s="743"/>
      <c r="H215" s="743"/>
      <c r="I215" s="709"/>
      <c r="J215" s="480"/>
      <c r="K215" s="480"/>
      <c r="L215" s="480"/>
      <c r="M215" s="480"/>
      <c r="N215" s="480"/>
      <c r="O215" s="456"/>
      <c r="P215" s="456"/>
      <c r="Q215" s="456"/>
      <c r="R215" s="456"/>
      <c r="S215" s="456"/>
      <c r="T215" s="456"/>
      <c r="U215" s="456"/>
      <c r="V215" s="456"/>
      <c r="W215" s="456"/>
      <c r="X215" s="456"/>
      <c r="Y215" s="456"/>
      <c r="Z215" s="456"/>
      <c r="AA215" s="456"/>
      <c r="AB215" s="456"/>
      <c r="AC215" s="456"/>
      <c r="AD215" s="456"/>
      <c r="AE215" s="457"/>
      <c r="AF215" s="456"/>
      <c r="AG215" s="492">
        <f>AVERAGE(AG211:AG214)</f>
        <v>0.60190787461235318</v>
      </c>
      <c r="AH215" s="462">
        <f t="shared" si="12"/>
        <v>0.60190787461235318</v>
      </c>
      <c r="AI215" s="456"/>
      <c r="AJ215" s="792"/>
      <c r="AK215" s="520"/>
      <c r="AL215" s="520"/>
      <c r="AM215" s="520"/>
      <c r="AN215" s="520"/>
      <c r="AO215" s="520"/>
      <c r="AP215" s="520"/>
      <c r="AQ215" s="520"/>
      <c r="AR215" s="520"/>
      <c r="AS215" s="792"/>
      <c r="AT215" s="724"/>
    </row>
    <row r="216" spans="1:46" ht="112.5" x14ac:dyDescent="0.2">
      <c r="A216" s="729"/>
      <c r="B216" s="727"/>
      <c r="C216" s="784"/>
      <c r="D216" s="708"/>
      <c r="E216" s="708"/>
      <c r="F216" s="743"/>
      <c r="G216" s="743"/>
      <c r="H216" s="743"/>
      <c r="I216" s="707" t="s">
        <v>1291</v>
      </c>
      <c r="J216" s="480" t="s">
        <v>1292</v>
      </c>
      <c r="K216" s="480" t="s">
        <v>1293</v>
      </c>
      <c r="L216" s="541">
        <v>1</v>
      </c>
      <c r="M216" s="541">
        <v>0</v>
      </c>
      <c r="N216" s="541"/>
      <c r="O216" s="456"/>
      <c r="P216" s="457">
        <v>0</v>
      </c>
      <c r="Q216" s="457"/>
      <c r="R216" s="457">
        <v>0</v>
      </c>
      <c r="S216" s="457">
        <v>0</v>
      </c>
      <c r="T216" s="457">
        <v>0</v>
      </c>
      <c r="U216" s="457">
        <v>0.33</v>
      </c>
      <c r="V216" s="457"/>
      <c r="W216" s="457"/>
      <c r="X216" s="457">
        <v>0</v>
      </c>
      <c r="Y216" s="457">
        <v>0.33</v>
      </c>
      <c r="Z216" s="457">
        <v>0</v>
      </c>
      <c r="AA216" s="457">
        <v>0</v>
      </c>
      <c r="AB216" s="457"/>
      <c r="AC216" s="457"/>
      <c r="AD216" s="457"/>
      <c r="AE216" s="457">
        <f t="shared" si="11"/>
        <v>0.66</v>
      </c>
      <c r="AF216" s="456"/>
      <c r="AG216" s="471">
        <f>+(AE216/L216)</f>
        <v>0.66</v>
      </c>
      <c r="AH216" s="462">
        <f t="shared" si="12"/>
        <v>0.66</v>
      </c>
      <c r="AI216" s="456"/>
      <c r="AJ216" s="791"/>
      <c r="AK216" s="456"/>
      <c r="AL216" s="456"/>
      <c r="AM216" s="456"/>
      <c r="AN216" s="456"/>
      <c r="AO216" s="456"/>
      <c r="AP216" s="456"/>
      <c r="AQ216" s="456"/>
      <c r="AR216" s="456"/>
      <c r="AS216" s="791"/>
      <c r="AT216" s="725"/>
    </row>
    <row r="217" spans="1:46" ht="54.75" customHeight="1" x14ac:dyDescent="0.2">
      <c r="A217" s="729"/>
      <c r="B217" s="727"/>
      <c r="C217" s="784"/>
      <c r="D217" s="708"/>
      <c r="E217" s="708"/>
      <c r="F217" s="743"/>
      <c r="G217" s="743"/>
      <c r="H217" s="743"/>
      <c r="I217" s="709"/>
      <c r="J217" s="480"/>
      <c r="K217" s="480"/>
      <c r="L217" s="541"/>
      <c r="M217" s="541"/>
      <c r="N217" s="541"/>
      <c r="O217" s="456"/>
      <c r="P217" s="456"/>
      <c r="Q217" s="456"/>
      <c r="R217" s="456"/>
      <c r="S217" s="456"/>
      <c r="T217" s="456"/>
      <c r="U217" s="456"/>
      <c r="V217" s="456"/>
      <c r="W217" s="456"/>
      <c r="X217" s="456"/>
      <c r="Y217" s="456"/>
      <c r="Z217" s="456"/>
      <c r="AA217" s="456"/>
      <c r="AB217" s="456"/>
      <c r="AC217" s="456"/>
      <c r="AD217" s="456"/>
      <c r="AE217" s="457"/>
      <c r="AF217" s="456"/>
      <c r="AG217" s="492">
        <f>+AG216</f>
        <v>0.66</v>
      </c>
      <c r="AH217" s="462">
        <f t="shared" si="12"/>
        <v>0.66</v>
      </c>
      <c r="AI217" s="456"/>
      <c r="AJ217" s="456"/>
      <c r="AK217" s="456"/>
      <c r="AL217" s="456"/>
      <c r="AM217" s="456"/>
      <c r="AN217" s="456"/>
      <c r="AO217" s="456"/>
      <c r="AP217" s="456"/>
      <c r="AQ217" s="456"/>
      <c r="AR217" s="456"/>
      <c r="AS217" s="456"/>
      <c r="AT217" s="456"/>
    </row>
    <row r="218" spans="1:46" ht="146.25" x14ac:dyDescent="0.2">
      <c r="A218" s="729"/>
      <c r="B218" s="727"/>
      <c r="C218" s="784"/>
      <c r="D218" s="708"/>
      <c r="E218" s="708"/>
      <c r="F218" s="743"/>
      <c r="G218" s="743"/>
      <c r="H218" s="743"/>
      <c r="I218" s="707" t="s">
        <v>1294</v>
      </c>
      <c r="J218" s="480" t="s">
        <v>1295</v>
      </c>
      <c r="K218" s="480" t="s">
        <v>1296</v>
      </c>
      <c r="L218" s="480">
        <v>4</v>
      </c>
      <c r="M218" s="480">
        <v>1</v>
      </c>
      <c r="N218" s="480"/>
      <c r="O218" s="456"/>
      <c r="P218" s="457">
        <v>1</v>
      </c>
      <c r="Q218" s="457">
        <v>1</v>
      </c>
      <c r="R218" s="457">
        <v>0</v>
      </c>
      <c r="S218" s="457">
        <v>1</v>
      </c>
      <c r="T218" s="457">
        <v>1</v>
      </c>
      <c r="U218" s="457">
        <v>0</v>
      </c>
      <c r="V218" s="457"/>
      <c r="W218" s="457"/>
      <c r="X218" s="457">
        <v>0.8</v>
      </c>
      <c r="Y218" s="457">
        <v>0.1</v>
      </c>
      <c r="Z218" s="457">
        <v>0</v>
      </c>
      <c r="AA218" s="457">
        <v>1.5</v>
      </c>
      <c r="AB218" s="457"/>
      <c r="AC218" s="457"/>
      <c r="AD218" s="457"/>
      <c r="AE218" s="457">
        <f>+Q218+X218+Y218</f>
        <v>1.9000000000000001</v>
      </c>
      <c r="AF218" s="456"/>
      <c r="AG218" s="471">
        <v>1</v>
      </c>
      <c r="AH218" s="462">
        <f t="shared" si="12"/>
        <v>1</v>
      </c>
      <c r="AI218" s="456"/>
      <c r="AJ218" s="790">
        <f>205035970+102517985</f>
        <v>307553955</v>
      </c>
      <c r="AK218" s="500"/>
      <c r="AL218" s="500"/>
      <c r="AM218" s="500"/>
      <c r="AN218" s="500"/>
      <c r="AO218" s="500"/>
      <c r="AP218" s="500"/>
      <c r="AQ218" s="500"/>
      <c r="AR218" s="500"/>
      <c r="AS218" s="790">
        <v>84900000</v>
      </c>
      <c r="AT218" s="723">
        <f>+AS218/AJ218</f>
        <v>0.27604912445362634</v>
      </c>
    </row>
    <row r="219" spans="1:46" ht="90" x14ac:dyDescent="0.2">
      <c r="A219" s="729"/>
      <c r="B219" s="727"/>
      <c r="C219" s="784"/>
      <c r="D219" s="708"/>
      <c r="E219" s="708"/>
      <c r="F219" s="743"/>
      <c r="G219" s="743"/>
      <c r="H219" s="743"/>
      <c r="I219" s="708"/>
      <c r="J219" s="480" t="s">
        <v>1297</v>
      </c>
      <c r="K219" s="480" t="s">
        <v>1298</v>
      </c>
      <c r="L219" s="480">
        <v>32</v>
      </c>
      <c r="M219" s="480">
        <v>0</v>
      </c>
      <c r="N219" s="480"/>
      <c r="O219" s="456"/>
      <c r="P219" s="457">
        <v>0</v>
      </c>
      <c r="Q219" s="457">
        <v>0</v>
      </c>
      <c r="R219" s="457">
        <v>0</v>
      </c>
      <c r="S219" s="457">
        <v>0</v>
      </c>
      <c r="T219" s="457">
        <v>0</v>
      </c>
      <c r="U219" s="457">
        <v>0</v>
      </c>
      <c r="V219" s="457"/>
      <c r="W219" s="457"/>
      <c r="X219" s="457">
        <v>0</v>
      </c>
      <c r="Y219" s="457">
        <v>0</v>
      </c>
      <c r="Z219" s="457">
        <v>0</v>
      </c>
      <c r="AA219" s="457">
        <v>0</v>
      </c>
      <c r="AB219" s="457"/>
      <c r="AC219" s="457"/>
      <c r="AD219" s="457"/>
      <c r="AE219" s="457">
        <f t="shared" ref="AE219:AE282" si="13">+SUM(N219:AC219)</f>
        <v>0</v>
      </c>
      <c r="AF219" s="456"/>
      <c r="AG219" s="471">
        <f>+(AE219/L219)</f>
        <v>0</v>
      </c>
      <c r="AH219" s="462">
        <f t="shared" si="12"/>
        <v>0</v>
      </c>
      <c r="AI219" s="456"/>
      <c r="AJ219" s="792"/>
      <c r="AK219" s="456"/>
      <c r="AL219" s="456"/>
      <c r="AM219" s="456"/>
      <c r="AN219" s="456"/>
      <c r="AO219" s="456"/>
      <c r="AP219" s="456"/>
      <c r="AQ219" s="456"/>
      <c r="AR219" s="456"/>
      <c r="AS219" s="792"/>
      <c r="AT219" s="724"/>
    </row>
    <row r="220" spans="1:46" ht="101.25" x14ac:dyDescent="0.2">
      <c r="A220" s="729"/>
      <c r="B220" s="727"/>
      <c r="C220" s="784"/>
      <c r="D220" s="708"/>
      <c r="E220" s="708"/>
      <c r="F220" s="743"/>
      <c r="G220" s="743"/>
      <c r="H220" s="743"/>
      <c r="I220" s="708"/>
      <c r="J220" s="480" t="s">
        <v>1299</v>
      </c>
      <c r="K220" s="480" t="s">
        <v>1300</v>
      </c>
      <c r="L220" s="480">
        <v>100</v>
      </c>
      <c r="M220" s="480">
        <v>0</v>
      </c>
      <c r="N220" s="480"/>
      <c r="O220" s="456"/>
      <c r="P220" s="457">
        <v>0</v>
      </c>
      <c r="Q220" s="457">
        <v>0</v>
      </c>
      <c r="R220" s="457">
        <v>0</v>
      </c>
      <c r="S220" s="457">
        <v>78</v>
      </c>
      <c r="T220" s="457">
        <v>0</v>
      </c>
      <c r="U220" s="457">
        <v>0</v>
      </c>
      <c r="V220" s="457"/>
      <c r="W220" s="457"/>
      <c r="X220" s="457">
        <v>0</v>
      </c>
      <c r="Y220" s="457">
        <v>60</v>
      </c>
      <c r="Z220" s="457">
        <v>50</v>
      </c>
      <c r="AA220" s="457">
        <v>90</v>
      </c>
      <c r="AB220" s="457"/>
      <c r="AC220" s="457"/>
      <c r="AD220" s="457"/>
      <c r="AE220" s="457">
        <f t="shared" si="13"/>
        <v>278</v>
      </c>
      <c r="AF220" s="456"/>
      <c r="AG220" s="471">
        <v>1</v>
      </c>
      <c r="AH220" s="462">
        <f t="shared" si="12"/>
        <v>1</v>
      </c>
      <c r="AI220" s="456"/>
      <c r="AJ220" s="791"/>
      <c r="AK220" s="456"/>
      <c r="AL220" s="456"/>
      <c r="AM220" s="456"/>
      <c r="AN220" s="456"/>
      <c r="AO220" s="456"/>
      <c r="AP220" s="456"/>
      <c r="AQ220" s="456"/>
      <c r="AR220" s="456"/>
      <c r="AS220" s="791"/>
      <c r="AT220" s="725"/>
    </row>
    <row r="221" spans="1:46" ht="62.25" customHeight="1" x14ac:dyDescent="0.2">
      <c r="A221" s="729"/>
      <c r="B221" s="727"/>
      <c r="C221" s="784"/>
      <c r="D221" s="708"/>
      <c r="E221" s="708"/>
      <c r="F221" s="743"/>
      <c r="G221" s="743"/>
      <c r="H221" s="743"/>
      <c r="I221" s="709"/>
      <c r="J221" s="480"/>
      <c r="K221" s="480"/>
      <c r="L221" s="480"/>
      <c r="M221" s="480"/>
      <c r="N221" s="480"/>
      <c r="O221" s="456"/>
      <c r="P221" s="456"/>
      <c r="Q221" s="456"/>
      <c r="R221" s="456"/>
      <c r="S221" s="456"/>
      <c r="T221" s="456"/>
      <c r="U221" s="456"/>
      <c r="V221" s="456"/>
      <c r="W221" s="456"/>
      <c r="X221" s="456"/>
      <c r="Y221" s="456"/>
      <c r="Z221" s="456"/>
      <c r="AA221" s="456"/>
      <c r="AB221" s="456"/>
      <c r="AC221" s="456"/>
      <c r="AD221" s="456"/>
      <c r="AE221" s="457"/>
      <c r="AF221" s="456"/>
      <c r="AG221" s="492">
        <f>AVERAGE(AG218:AG220)</f>
        <v>0.66666666666666663</v>
      </c>
      <c r="AH221" s="462">
        <f t="shared" si="12"/>
        <v>0.66666666666666663</v>
      </c>
      <c r="AI221" s="456"/>
      <c r="AJ221" s="456"/>
      <c r="AK221" s="456"/>
      <c r="AL221" s="456"/>
      <c r="AM221" s="456"/>
      <c r="AN221" s="456"/>
      <c r="AO221" s="456"/>
      <c r="AP221" s="456"/>
      <c r="AQ221" s="456"/>
      <c r="AR221" s="456"/>
      <c r="AS221" s="456"/>
      <c r="AT221" s="456"/>
    </row>
    <row r="222" spans="1:46" ht="157.5" x14ac:dyDescent="0.2">
      <c r="A222" s="729"/>
      <c r="B222" s="727"/>
      <c r="C222" s="784"/>
      <c r="D222" s="708"/>
      <c r="E222" s="708"/>
      <c r="F222" s="743"/>
      <c r="G222" s="743"/>
      <c r="H222" s="743"/>
      <c r="I222" s="707" t="s">
        <v>1314</v>
      </c>
      <c r="J222" s="566" t="s">
        <v>1301</v>
      </c>
      <c r="K222" s="480" t="s">
        <v>1302</v>
      </c>
      <c r="L222" s="480">
        <v>50000</v>
      </c>
      <c r="M222" s="480">
        <v>28120</v>
      </c>
      <c r="N222" s="480"/>
      <c r="O222" s="456"/>
      <c r="P222" s="457">
        <v>0</v>
      </c>
      <c r="Q222" s="457">
        <v>57517.64</v>
      </c>
      <c r="R222" s="457">
        <v>0</v>
      </c>
      <c r="S222" s="457">
        <v>0</v>
      </c>
      <c r="T222" s="457">
        <v>0</v>
      </c>
      <c r="U222" s="457">
        <v>0</v>
      </c>
      <c r="V222" s="457">
        <v>0</v>
      </c>
      <c r="W222" s="457">
        <v>0</v>
      </c>
      <c r="X222" s="457">
        <v>0</v>
      </c>
      <c r="Y222" s="457">
        <v>33000</v>
      </c>
      <c r="Z222" s="457">
        <v>0</v>
      </c>
      <c r="AA222" s="457">
        <v>0</v>
      </c>
      <c r="AB222" s="457"/>
      <c r="AC222" s="457"/>
      <c r="AD222" s="457"/>
      <c r="AE222" s="457">
        <f t="shared" si="13"/>
        <v>90517.64</v>
      </c>
      <c r="AF222" s="456"/>
      <c r="AG222" s="471">
        <v>1</v>
      </c>
      <c r="AH222" s="462">
        <f t="shared" si="12"/>
        <v>1</v>
      </c>
      <c r="AI222" s="456"/>
      <c r="AJ222" s="456"/>
      <c r="AK222" s="456"/>
      <c r="AL222" s="456"/>
      <c r="AM222" s="456"/>
      <c r="AN222" s="456"/>
      <c r="AO222" s="456"/>
      <c r="AP222" s="456"/>
      <c r="AQ222" s="456"/>
      <c r="AR222" s="456"/>
      <c r="AS222" s="456"/>
      <c r="AT222" s="456"/>
    </row>
    <row r="223" spans="1:46" ht="67.5" x14ac:dyDescent="0.2">
      <c r="A223" s="729"/>
      <c r="B223" s="727"/>
      <c r="C223" s="784"/>
      <c r="D223" s="708"/>
      <c r="E223" s="708"/>
      <c r="F223" s="743"/>
      <c r="G223" s="743"/>
      <c r="H223" s="743"/>
      <c r="I223" s="708"/>
      <c r="J223" s="480" t="s">
        <v>1303</v>
      </c>
      <c r="K223" s="480" t="s">
        <v>1304</v>
      </c>
      <c r="L223" s="480">
        <v>10</v>
      </c>
      <c r="M223" s="480">
        <v>0</v>
      </c>
      <c r="N223" s="480"/>
      <c r="O223" s="456"/>
      <c r="P223" s="457">
        <v>0</v>
      </c>
      <c r="Q223" s="457"/>
      <c r="R223" s="457">
        <v>0</v>
      </c>
      <c r="S223" s="457">
        <v>0</v>
      </c>
      <c r="T223" s="457">
        <v>4</v>
      </c>
      <c r="U223" s="457">
        <v>0</v>
      </c>
      <c r="V223" s="457"/>
      <c r="W223" s="457">
        <v>3</v>
      </c>
      <c r="X223" s="457">
        <v>0</v>
      </c>
      <c r="Y223" s="457">
        <v>0</v>
      </c>
      <c r="Z223" s="457">
        <v>0</v>
      </c>
      <c r="AA223" s="457">
        <v>3</v>
      </c>
      <c r="AB223" s="457"/>
      <c r="AC223" s="457"/>
      <c r="AD223" s="457"/>
      <c r="AE223" s="457">
        <f t="shared" si="13"/>
        <v>10</v>
      </c>
      <c r="AF223" s="456"/>
      <c r="AG223" s="471">
        <v>1</v>
      </c>
      <c r="AH223" s="462">
        <f t="shared" si="12"/>
        <v>1</v>
      </c>
      <c r="AI223" s="456"/>
      <c r="AJ223" s="456"/>
      <c r="AK223" s="456"/>
      <c r="AL223" s="456"/>
      <c r="AM223" s="456"/>
      <c r="AN223" s="456"/>
      <c r="AO223" s="456"/>
      <c r="AP223" s="456"/>
      <c r="AQ223" s="456"/>
      <c r="AR223" s="456"/>
      <c r="AS223" s="456"/>
      <c r="AT223" s="456"/>
    </row>
    <row r="224" spans="1:46" ht="45" x14ac:dyDescent="0.2">
      <c r="A224" s="729"/>
      <c r="B224" s="727"/>
      <c r="C224" s="784"/>
      <c r="D224" s="708"/>
      <c r="E224" s="708"/>
      <c r="F224" s="743"/>
      <c r="G224" s="743"/>
      <c r="H224" s="743"/>
      <c r="I224" s="708"/>
      <c r="J224" s="480" t="s">
        <v>1305</v>
      </c>
      <c r="K224" s="480" t="s">
        <v>1306</v>
      </c>
      <c r="L224" s="480">
        <v>10</v>
      </c>
      <c r="M224" s="480">
        <v>0</v>
      </c>
      <c r="N224" s="480"/>
      <c r="O224" s="456"/>
      <c r="P224" s="457">
        <v>0</v>
      </c>
      <c r="Q224" s="457"/>
      <c r="R224" s="457">
        <v>0</v>
      </c>
      <c r="S224" s="457">
        <v>0</v>
      </c>
      <c r="T224" s="457">
        <v>4</v>
      </c>
      <c r="U224" s="457">
        <v>0</v>
      </c>
      <c r="V224" s="457"/>
      <c r="W224" s="457">
        <v>3</v>
      </c>
      <c r="X224" s="457">
        <v>0</v>
      </c>
      <c r="Y224" s="457">
        <v>0</v>
      </c>
      <c r="Z224" s="457">
        <v>0</v>
      </c>
      <c r="AA224" s="457">
        <v>3</v>
      </c>
      <c r="AB224" s="457"/>
      <c r="AC224" s="457"/>
      <c r="AD224" s="457"/>
      <c r="AE224" s="457">
        <f t="shared" si="13"/>
        <v>10</v>
      </c>
      <c r="AF224" s="456"/>
      <c r="AG224" s="471">
        <f>+(AE224/L224)</f>
        <v>1</v>
      </c>
      <c r="AH224" s="462">
        <f t="shared" si="12"/>
        <v>1</v>
      </c>
      <c r="AI224" s="456"/>
      <c r="AJ224" s="456"/>
      <c r="AK224" s="456"/>
      <c r="AL224" s="456"/>
      <c r="AM224" s="456"/>
      <c r="AN224" s="456"/>
      <c r="AO224" s="456"/>
      <c r="AP224" s="456"/>
      <c r="AQ224" s="456"/>
      <c r="AR224" s="456"/>
      <c r="AS224" s="456"/>
      <c r="AT224" s="456"/>
    </row>
    <row r="225" spans="1:46" ht="247.5" x14ac:dyDescent="0.2">
      <c r="A225" s="729"/>
      <c r="B225" s="727"/>
      <c r="C225" s="784"/>
      <c r="D225" s="708"/>
      <c r="E225" s="708"/>
      <c r="F225" s="743"/>
      <c r="G225" s="743"/>
      <c r="H225" s="743"/>
      <c r="I225" s="708"/>
      <c r="J225" s="480" t="s">
        <v>1307</v>
      </c>
      <c r="K225" s="480" t="s">
        <v>1308</v>
      </c>
      <c r="L225" s="480">
        <v>50</v>
      </c>
      <c r="M225" s="480">
        <v>0</v>
      </c>
      <c r="N225" s="480"/>
      <c r="O225" s="456"/>
      <c r="P225" s="457">
        <v>0</v>
      </c>
      <c r="Q225" s="457"/>
      <c r="R225" s="457">
        <v>0</v>
      </c>
      <c r="S225" s="457">
        <v>0</v>
      </c>
      <c r="T225" s="457">
        <v>0</v>
      </c>
      <c r="U225" s="457">
        <v>12</v>
      </c>
      <c r="V225" s="457"/>
      <c r="W225" s="457"/>
      <c r="X225" s="457">
        <v>0</v>
      </c>
      <c r="Y225" s="457">
        <v>7</v>
      </c>
      <c r="Z225" s="457">
        <v>0</v>
      </c>
      <c r="AA225" s="457">
        <v>0</v>
      </c>
      <c r="AB225" s="457"/>
      <c r="AC225" s="457"/>
      <c r="AD225" s="457"/>
      <c r="AE225" s="457">
        <f t="shared" si="13"/>
        <v>19</v>
      </c>
      <c r="AF225" s="456"/>
      <c r="AG225" s="471">
        <f>+(AE225/L225)</f>
        <v>0.38</v>
      </c>
      <c r="AH225" s="462">
        <f t="shared" si="12"/>
        <v>0.38</v>
      </c>
      <c r="AI225" s="456"/>
      <c r="AJ225" s="456"/>
      <c r="AK225" s="456"/>
      <c r="AL225" s="456"/>
      <c r="AM225" s="456"/>
      <c r="AN225" s="456"/>
      <c r="AO225" s="456"/>
      <c r="AP225" s="456"/>
      <c r="AQ225" s="456"/>
      <c r="AR225" s="456"/>
      <c r="AS225" s="456"/>
      <c r="AT225" s="456"/>
    </row>
    <row r="226" spans="1:46" ht="45" customHeight="1" x14ac:dyDescent="0.2">
      <c r="A226" s="729"/>
      <c r="B226" s="727"/>
      <c r="C226" s="784"/>
      <c r="D226" s="708"/>
      <c r="E226" s="708"/>
      <c r="F226" s="743"/>
      <c r="G226" s="743"/>
      <c r="H226" s="743"/>
      <c r="I226" s="709"/>
      <c r="J226" s="480"/>
      <c r="K226" s="480"/>
      <c r="L226" s="480"/>
      <c r="M226" s="480"/>
      <c r="N226" s="480"/>
      <c r="O226" s="456"/>
      <c r="P226" s="456"/>
      <c r="Q226" s="456"/>
      <c r="R226" s="456"/>
      <c r="S226" s="456"/>
      <c r="T226" s="456"/>
      <c r="U226" s="456"/>
      <c r="V226" s="456"/>
      <c r="W226" s="456"/>
      <c r="X226" s="456"/>
      <c r="Y226" s="456"/>
      <c r="Z226" s="456"/>
      <c r="AA226" s="456"/>
      <c r="AB226" s="456"/>
      <c r="AC226" s="456"/>
      <c r="AD226" s="456"/>
      <c r="AE226" s="457"/>
      <c r="AF226" s="456"/>
      <c r="AG226" s="492">
        <f>AVERAGE(AG222:AG225)</f>
        <v>0.84499999999999997</v>
      </c>
      <c r="AH226" s="462">
        <f t="shared" si="12"/>
        <v>0.84499999999999997</v>
      </c>
      <c r="AI226" s="456"/>
      <c r="AJ226" s="456"/>
      <c r="AK226" s="456"/>
      <c r="AL226" s="456"/>
      <c r="AM226" s="456"/>
      <c r="AN226" s="456"/>
      <c r="AO226" s="456"/>
      <c r="AP226" s="456"/>
      <c r="AQ226" s="456"/>
      <c r="AR226" s="456"/>
      <c r="AS226" s="456"/>
      <c r="AT226" s="456"/>
    </row>
    <row r="227" spans="1:46" ht="56.25" x14ac:dyDescent="0.2">
      <c r="A227" s="729"/>
      <c r="B227" s="727"/>
      <c r="C227" s="784"/>
      <c r="D227" s="708"/>
      <c r="E227" s="708"/>
      <c r="F227" s="743"/>
      <c r="G227" s="743"/>
      <c r="H227" s="743"/>
      <c r="I227" s="760" t="s">
        <v>1315</v>
      </c>
      <c r="J227" s="480" t="s">
        <v>1309</v>
      </c>
      <c r="K227" s="480" t="s">
        <v>2179</v>
      </c>
      <c r="L227" s="480">
        <v>40000</v>
      </c>
      <c r="M227" s="480">
        <v>176981</v>
      </c>
      <c r="N227" s="480"/>
      <c r="O227" s="456"/>
      <c r="P227" s="457">
        <v>43674</v>
      </c>
      <c r="Q227" s="457">
        <v>52444.51</v>
      </c>
      <c r="R227" s="457">
        <v>0</v>
      </c>
      <c r="S227" s="457">
        <v>0</v>
      </c>
      <c r="T227" s="457">
        <v>0</v>
      </c>
      <c r="U227" s="457">
        <v>0</v>
      </c>
      <c r="V227" s="457"/>
      <c r="W227" s="457"/>
      <c r="X227" s="457"/>
      <c r="Y227" s="457">
        <v>10000</v>
      </c>
      <c r="Z227" s="457"/>
      <c r="AA227" s="457"/>
      <c r="AB227" s="457"/>
      <c r="AC227" s="457"/>
      <c r="AD227" s="457"/>
      <c r="AE227" s="457">
        <f t="shared" si="13"/>
        <v>106118.51000000001</v>
      </c>
      <c r="AF227" s="456"/>
      <c r="AG227" s="471">
        <v>1</v>
      </c>
      <c r="AH227" s="462">
        <f t="shared" si="12"/>
        <v>1</v>
      </c>
      <c r="AI227" s="456"/>
      <c r="AJ227" s="456"/>
      <c r="AK227" s="456"/>
      <c r="AL227" s="456"/>
      <c r="AM227" s="456"/>
      <c r="AN227" s="456"/>
      <c r="AO227" s="456"/>
      <c r="AP227" s="456"/>
      <c r="AQ227" s="456"/>
      <c r="AR227" s="456"/>
      <c r="AS227" s="456"/>
      <c r="AT227" s="456"/>
    </row>
    <row r="228" spans="1:46" ht="112.5" x14ac:dyDescent="0.2">
      <c r="A228" s="729"/>
      <c r="B228" s="727"/>
      <c r="C228" s="784"/>
      <c r="D228" s="708"/>
      <c r="E228" s="708"/>
      <c r="F228" s="743"/>
      <c r="G228" s="743"/>
      <c r="H228" s="743"/>
      <c r="I228" s="760"/>
      <c r="J228" s="480" t="s">
        <v>1310</v>
      </c>
      <c r="K228" s="480" t="s">
        <v>1311</v>
      </c>
      <c r="L228" s="480">
        <v>55</v>
      </c>
      <c r="M228" s="480">
        <v>126</v>
      </c>
      <c r="N228" s="480"/>
      <c r="O228" s="456"/>
      <c r="P228" s="457">
        <v>2</v>
      </c>
      <c r="Q228" s="457">
        <v>4</v>
      </c>
      <c r="R228" s="457">
        <v>0</v>
      </c>
      <c r="S228" s="457">
        <v>2</v>
      </c>
      <c r="T228" s="457">
        <v>4</v>
      </c>
      <c r="U228" s="457">
        <v>0</v>
      </c>
      <c r="V228" s="457"/>
      <c r="W228" s="457"/>
      <c r="X228" s="457"/>
      <c r="Y228" s="457">
        <v>0</v>
      </c>
      <c r="Z228" s="457">
        <v>2</v>
      </c>
      <c r="AA228" s="457"/>
      <c r="AB228" s="457"/>
      <c r="AC228" s="457"/>
      <c r="AD228" s="457"/>
      <c r="AE228" s="457">
        <f t="shared" si="13"/>
        <v>14</v>
      </c>
      <c r="AF228" s="456"/>
      <c r="AG228" s="471">
        <f>+(AE228/L228)</f>
        <v>0.25454545454545452</v>
      </c>
      <c r="AH228" s="462">
        <f t="shared" si="12"/>
        <v>0.25454545454545452</v>
      </c>
      <c r="AI228" s="456"/>
      <c r="AJ228" s="456"/>
      <c r="AK228" s="456"/>
      <c r="AL228" s="456"/>
      <c r="AM228" s="456"/>
      <c r="AN228" s="456"/>
      <c r="AO228" s="456"/>
      <c r="AP228" s="456"/>
      <c r="AQ228" s="456"/>
      <c r="AR228" s="456"/>
      <c r="AS228" s="456"/>
      <c r="AT228" s="456"/>
    </row>
    <row r="229" spans="1:46" ht="168.75" x14ac:dyDescent="0.2">
      <c r="A229" s="729"/>
      <c r="B229" s="727"/>
      <c r="C229" s="784"/>
      <c r="D229" s="708"/>
      <c r="E229" s="708"/>
      <c r="F229" s="743"/>
      <c r="G229" s="743"/>
      <c r="H229" s="743"/>
      <c r="I229" s="760"/>
      <c r="J229" s="480" t="s">
        <v>1312</v>
      </c>
      <c r="K229" s="480" t="s">
        <v>1313</v>
      </c>
      <c r="L229" s="480">
        <v>50</v>
      </c>
      <c r="M229" s="480">
        <v>0</v>
      </c>
      <c r="N229" s="480"/>
      <c r="O229" s="456"/>
      <c r="P229" s="457">
        <v>0</v>
      </c>
      <c r="Q229" s="457"/>
      <c r="R229" s="457">
        <v>0</v>
      </c>
      <c r="S229" s="457">
        <v>0</v>
      </c>
      <c r="T229" s="457">
        <v>0</v>
      </c>
      <c r="U229" s="457">
        <v>14</v>
      </c>
      <c r="V229" s="457"/>
      <c r="W229" s="457"/>
      <c r="X229" s="457"/>
      <c r="Y229" s="457">
        <v>50</v>
      </c>
      <c r="Z229" s="457"/>
      <c r="AA229" s="457"/>
      <c r="AB229" s="457"/>
      <c r="AC229" s="457"/>
      <c r="AD229" s="457"/>
      <c r="AE229" s="457">
        <f t="shared" si="13"/>
        <v>64</v>
      </c>
      <c r="AF229" s="456"/>
      <c r="AG229" s="471">
        <v>1</v>
      </c>
      <c r="AH229" s="462">
        <f t="shared" si="12"/>
        <v>1</v>
      </c>
      <c r="AI229" s="456"/>
      <c r="AJ229" s="456"/>
      <c r="AK229" s="456"/>
      <c r="AL229" s="456"/>
      <c r="AM229" s="456"/>
      <c r="AN229" s="456"/>
      <c r="AO229" s="456"/>
      <c r="AP229" s="456"/>
      <c r="AQ229" s="456"/>
      <c r="AR229" s="456"/>
      <c r="AS229" s="456"/>
      <c r="AT229" s="456"/>
    </row>
    <row r="230" spans="1:46" ht="57.75" customHeight="1" x14ac:dyDescent="0.2">
      <c r="A230" s="729"/>
      <c r="B230" s="727"/>
      <c r="C230" s="784"/>
      <c r="D230" s="708"/>
      <c r="E230" s="708"/>
      <c r="F230" s="743"/>
      <c r="G230" s="743"/>
      <c r="H230" s="743"/>
      <c r="I230" s="760"/>
      <c r="J230" s="480"/>
      <c r="K230" s="480"/>
      <c r="L230" s="480"/>
      <c r="M230" s="480"/>
      <c r="N230" s="480"/>
      <c r="O230" s="456"/>
      <c r="P230" s="456"/>
      <c r="Q230" s="456"/>
      <c r="R230" s="456"/>
      <c r="S230" s="456"/>
      <c r="T230" s="456"/>
      <c r="U230" s="456"/>
      <c r="V230" s="456"/>
      <c r="W230" s="456"/>
      <c r="X230" s="456"/>
      <c r="Y230" s="456"/>
      <c r="Z230" s="456"/>
      <c r="AA230" s="456"/>
      <c r="AB230" s="456"/>
      <c r="AC230" s="456"/>
      <c r="AD230" s="456"/>
      <c r="AE230" s="457"/>
      <c r="AF230" s="456"/>
      <c r="AG230" s="473">
        <f>AVERAGE(AG227:AG229)</f>
        <v>0.75151515151515147</v>
      </c>
      <c r="AH230" s="462">
        <f t="shared" si="12"/>
        <v>0.75151515151515147</v>
      </c>
      <c r="AI230" s="456"/>
      <c r="AJ230" s="456"/>
      <c r="AK230" s="456"/>
      <c r="AL230" s="456"/>
      <c r="AM230" s="456"/>
      <c r="AN230" s="456"/>
      <c r="AO230" s="456"/>
      <c r="AP230" s="456"/>
      <c r="AQ230" s="456"/>
      <c r="AR230" s="456"/>
      <c r="AS230" s="456"/>
      <c r="AT230" s="456"/>
    </row>
    <row r="231" spans="1:46" ht="57.75" customHeight="1" x14ac:dyDescent="0.2">
      <c r="A231" s="729"/>
      <c r="B231" s="727"/>
      <c r="C231" s="784"/>
      <c r="D231" s="708"/>
      <c r="E231" s="708"/>
      <c r="F231" s="737"/>
      <c r="G231" s="737"/>
      <c r="H231" s="737"/>
      <c r="I231" s="472"/>
      <c r="J231" s="480"/>
      <c r="K231" s="480"/>
      <c r="L231" s="480"/>
      <c r="M231" s="480"/>
      <c r="N231" s="480"/>
      <c r="O231" s="456"/>
      <c r="P231" s="456"/>
      <c r="Q231" s="456"/>
      <c r="R231" s="456"/>
      <c r="S231" s="456"/>
      <c r="T231" s="456"/>
      <c r="U231" s="456"/>
      <c r="V231" s="456"/>
      <c r="W231" s="456"/>
      <c r="X231" s="456"/>
      <c r="Y231" s="456"/>
      <c r="Z231" s="456"/>
      <c r="AA231" s="456"/>
      <c r="AB231" s="456"/>
      <c r="AC231" s="456"/>
      <c r="AD231" s="456"/>
      <c r="AE231" s="457"/>
      <c r="AF231" s="456"/>
      <c r="AG231" s="516">
        <f>(AG215+AG217+AG221+AG226+AG230)/5</f>
        <v>0.70501793855883421</v>
      </c>
      <c r="AH231" s="462">
        <f t="shared" si="12"/>
        <v>0.70501793855883421</v>
      </c>
      <c r="AI231" s="456"/>
      <c r="AJ231" s="456"/>
      <c r="AK231" s="456"/>
      <c r="AL231" s="456"/>
      <c r="AM231" s="456"/>
      <c r="AN231" s="456"/>
      <c r="AO231" s="456"/>
      <c r="AP231" s="456"/>
      <c r="AQ231" s="456"/>
      <c r="AR231" s="456"/>
      <c r="AS231" s="456"/>
      <c r="AT231" s="456"/>
    </row>
    <row r="232" spans="1:46" ht="60" customHeight="1" x14ac:dyDescent="0.2">
      <c r="A232" s="729"/>
      <c r="B232" s="727"/>
      <c r="C232" s="785"/>
      <c r="D232" s="709"/>
      <c r="E232" s="709"/>
      <c r="F232" s="478"/>
      <c r="G232" s="478"/>
      <c r="H232" s="478"/>
      <c r="I232" s="506"/>
      <c r="J232" s="480"/>
      <c r="K232" s="480"/>
      <c r="L232" s="480"/>
      <c r="M232" s="480"/>
      <c r="N232" s="480"/>
      <c r="O232" s="456"/>
      <c r="P232" s="456"/>
      <c r="Q232" s="456"/>
      <c r="R232" s="456"/>
      <c r="S232" s="456"/>
      <c r="T232" s="456"/>
      <c r="U232" s="456"/>
      <c r="V232" s="456"/>
      <c r="W232" s="456"/>
      <c r="X232" s="456"/>
      <c r="Y232" s="456"/>
      <c r="Z232" s="456"/>
      <c r="AA232" s="456"/>
      <c r="AB232" s="456"/>
      <c r="AC232" s="456"/>
      <c r="AD232" s="456"/>
      <c r="AE232" s="457"/>
      <c r="AF232" s="456"/>
      <c r="AG232" s="529">
        <f>AG231</f>
        <v>0.70501793855883421</v>
      </c>
      <c r="AH232" s="462">
        <f t="shared" si="12"/>
        <v>0.70501793855883421</v>
      </c>
      <c r="AI232" s="456"/>
      <c r="AJ232" s="456"/>
      <c r="AK232" s="456"/>
      <c r="AL232" s="456"/>
      <c r="AM232" s="456"/>
      <c r="AN232" s="456"/>
      <c r="AO232" s="456"/>
      <c r="AP232" s="456"/>
      <c r="AQ232" s="456"/>
      <c r="AR232" s="456"/>
      <c r="AS232" s="456"/>
      <c r="AT232" s="456"/>
    </row>
    <row r="233" spans="1:46" ht="90" customHeight="1" x14ac:dyDescent="0.2">
      <c r="A233" s="729"/>
      <c r="B233" s="727"/>
      <c r="C233" s="787" t="s">
        <v>1316</v>
      </c>
      <c r="D233" s="707" t="s">
        <v>1317</v>
      </c>
      <c r="E233" s="761" t="s">
        <v>1341</v>
      </c>
      <c r="F233" s="761" t="s">
        <v>1338</v>
      </c>
      <c r="G233" s="761" t="s">
        <v>1340</v>
      </c>
      <c r="H233" s="761" t="s">
        <v>1339</v>
      </c>
      <c r="I233" s="707" t="s">
        <v>1337</v>
      </c>
      <c r="J233" s="480" t="s">
        <v>1318</v>
      </c>
      <c r="K233" s="480" t="s">
        <v>1319</v>
      </c>
      <c r="L233" s="480">
        <v>6211</v>
      </c>
      <c r="M233" s="480">
        <v>6411</v>
      </c>
      <c r="N233" s="480"/>
      <c r="O233" s="456"/>
      <c r="P233" s="457">
        <f>1536+1460+1508</f>
        <v>4504</v>
      </c>
      <c r="Q233" s="457">
        <v>1395</v>
      </c>
      <c r="R233" s="457">
        <v>1357</v>
      </c>
      <c r="S233" s="457">
        <v>873</v>
      </c>
      <c r="T233" s="457">
        <v>897</v>
      </c>
      <c r="U233" s="457">
        <v>1115</v>
      </c>
      <c r="V233" s="457">
        <v>1283</v>
      </c>
      <c r="W233" s="457"/>
      <c r="X233" s="457"/>
      <c r="Y233" s="457">
        <v>1416</v>
      </c>
      <c r="Z233" s="457">
        <v>1261</v>
      </c>
      <c r="AA233" s="457">
        <v>1394</v>
      </c>
      <c r="AB233" s="457"/>
      <c r="AC233" s="457"/>
      <c r="AD233" s="457"/>
      <c r="AE233" s="457">
        <f>+R233+U233+Y233+V233+AA233</f>
        <v>6565</v>
      </c>
      <c r="AF233" s="456"/>
      <c r="AG233" s="471">
        <v>0</v>
      </c>
      <c r="AH233" s="462">
        <f t="shared" si="12"/>
        <v>0</v>
      </c>
      <c r="AI233" s="456"/>
      <c r="AJ233" s="456"/>
      <c r="AK233" s="456"/>
      <c r="AL233" s="456"/>
      <c r="AM233" s="456"/>
      <c r="AN233" s="456"/>
      <c r="AO233" s="456"/>
      <c r="AP233" s="456"/>
      <c r="AQ233" s="456"/>
      <c r="AR233" s="456"/>
      <c r="AS233" s="456"/>
      <c r="AT233" s="456"/>
    </row>
    <row r="234" spans="1:46" ht="45" x14ac:dyDescent="0.2">
      <c r="A234" s="729"/>
      <c r="B234" s="727"/>
      <c r="C234" s="788"/>
      <c r="D234" s="708"/>
      <c r="E234" s="761"/>
      <c r="F234" s="761"/>
      <c r="G234" s="761"/>
      <c r="H234" s="761"/>
      <c r="I234" s="708"/>
      <c r="J234" s="480" t="s">
        <v>1320</v>
      </c>
      <c r="K234" s="480" t="s">
        <v>1321</v>
      </c>
      <c r="L234" s="480">
        <v>64</v>
      </c>
      <c r="M234" s="480">
        <v>74</v>
      </c>
      <c r="N234" s="480"/>
      <c r="O234" s="456"/>
      <c r="P234" s="457">
        <f>28+23+6</f>
        <v>57</v>
      </c>
      <c r="Q234" s="457">
        <v>10</v>
      </c>
      <c r="R234" s="457">
        <v>13</v>
      </c>
      <c r="S234" s="457">
        <v>19</v>
      </c>
      <c r="T234" s="457">
        <v>14</v>
      </c>
      <c r="U234" s="457">
        <v>9</v>
      </c>
      <c r="V234" s="457"/>
      <c r="X234" s="457"/>
      <c r="Y234" s="457">
        <v>13</v>
      </c>
      <c r="Z234" s="457"/>
      <c r="AA234" s="457">
        <v>16</v>
      </c>
      <c r="AB234" s="457"/>
      <c r="AC234" s="457"/>
      <c r="AD234" s="457"/>
      <c r="AE234" s="457">
        <f>+Q234+R234+S234+T234+AA234</f>
        <v>72</v>
      </c>
      <c r="AF234" s="456"/>
      <c r="AG234" s="471">
        <v>0</v>
      </c>
      <c r="AH234" s="462">
        <f t="shared" si="12"/>
        <v>0</v>
      </c>
      <c r="AI234" s="456"/>
      <c r="AJ234" s="456"/>
      <c r="AK234" s="456"/>
      <c r="AL234" s="456"/>
      <c r="AM234" s="456"/>
      <c r="AN234" s="456"/>
      <c r="AO234" s="456"/>
      <c r="AP234" s="456"/>
      <c r="AQ234" s="456"/>
      <c r="AR234" s="456"/>
      <c r="AS234" s="456"/>
      <c r="AT234" s="456"/>
    </row>
    <row r="235" spans="1:46" ht="45" x14ac:dyDescent="0.2">
      <c r="A235" s="729"/>
      <c r="B235" s="727"/>
      <c r="C235" s="788"/>
      <c r="D235" s="708"/>
      <c r="E235" s="761"/>
      <c r="F235" s="761"/>
      <c r="G235" s="761"/>
      <c r="H235" s="761"/>
      <c r="I235" s="708"/>
      <c r="J235" s="480" t="s">
        <v>1322</v>
      </c>
      <c r="K235" s="480" t="s">
        <v>1321</v>
      </c>
      <c r="L235" s="480">
        <v>2656</v>
      </c>
      <c r="M235" s="480">
        <v>2707</v>
      </c>
      <c r="N235" s="480"/>
      <c r="O235" s="456"/>
      <c r="P235" s="457">
        <v>0</v>
      </c>
      <c r="Q235" s="457">
        <v>406</v>
      </c>
      <c r="R235" s="457">
        <v>0</v>
      </c>
      <c r="S235" s="457">
        <v>0</v>
      </c>
      <c r="T235" s="457">
        <v>415</v>
      </c>
      <c r="U235" s="457">
        <v>420</v>
      </c>
      <c r="V235" s="457"/>
      <c r="W235" s="457"/>
      <c r="X235" s="457">
        <v>521</v>
      </c>
      <c r="Y235" s="457">
        <v>349</v>
      </c>
      <c r="Z235" s="457"/>
      <c r="AA235" s="457">
        <v>605</v>
      </c>
      <c r="AB235" s="457"/>
      <c r="AC235" s="457"/>
      <c r="AD235" s="457"/>
      <c r="AE235" s="457">
        <f>+SUM(N235:AC235)</f>
        <v>2716</v>
      </c>
      <c r="AF235" s="456"/>
      <c r="AG235" s="471">
        <v>0</v>
      </c>
      <c r="AH235" s="462">
        <f t="shared" si="12"/>
        <v>0</v>
      </c>
      <c r="AI235" s="456"/>
      <c r="AJ235" s="456"/>
      <c r="AK235" s="456"/>
      <c r="AL235" s="456"/>
      <c r="AM235" s="456"/>
      <c r="AN235" s="456"/>
      <c r="AO235" s="456"/>
      <c r="AP235" s="456"/>
      <c r="AQ235" s="456"/>
      <c r="AR235" s="456"/>
      <c r="AS235" s="456"/>
      <c r="AT235" s="456"/>
    </row>
    <row r="236" spans="1:46" ht="45" x14ac:dyDescent="0.2">
      <c r="A236" s="729"/>
      <c r="B236" s="727"/>
      <c r="C236" s="788"/>
      <c r="D236" s="708"/>
      <c r="E236" s="761"/>
      <c r="F236" s="761"/>
      <c r="G236" s="761"/>
      <c r="H236" s="761"/>
      <c r="I236" s="708"/>
      <c r="J236" s="480" t="s">
        <v>1323</v>
      </c>
      <c r="K236" s="480" t="s">
        <v>1324</v>
      </c>
      <c r="L236" s="480">
        <v>60000</v>
      </c>
      <c r="M236" s="480">
        <v>38846</v>
      </c>
      <c r="N236" s="480"/>
      <c r="O236" s="456"/>
      <c r="P236" s="457">
        <f>7131+3067+7854</f>
        <v>18052</v>
      </c>
      <c r="Q236" s="457">
        <v>2062</v>
      </c>
      <c r="R236" s="457">
        <v>5381</v>
      </c>
      <c r="S236" s="457">
        <v>9330</v>
      </c>
      <c r="T236" s="457">
        <v>5041</v>
      </c>
      <c r="U236" s="457">
        <v>0</v>
      </c>
      <c r="V236" s="457">
        <v>25000</v>
      </c>
      <c r="W236" s="457"/>
      <c r="X236" s="457">
        <v>16800</v>
      </c>
      <c r="Y236" s="457">
        <v>15500</v>
      </c>
      <c r="Z236" s="457">
        <v>32643</v>
      </c>
      <c r="AA236" s="457">
        <v>31644</v>
      </c>
      <c r="AB236" s="457"/>
      <c r="AC236" s="457"/>
      <c r="AD236" s="457"/>
      <c r="AE236" s="457">
        <f>+SUM(N236:AC236)</f>
        <v>161453</v>
      </c>
      <c r="AF236" s="456"/>
      <c r="AG236" s="471">
        <v>1</v>
      </c>
      <c r="AH236" s="462">
        <f t="shared" si="12"/>
        <v>1</v>
      </c>
      <c r="AI236" s="456"/>
      <c r="AJ236" s="456"/>
      <c r="AK236" s="456"/>
      <c r="AL236" s="456"/>
      <c r="AM236" s="456"/>
      <c r="AN236" s="456"/>
      <c r="AO236" s="456"/>
      <c r="AP236" s="456"/>
      <c r="AQ236" s="456"/>
      <c r="AR236" s="456"/>
      <c r="AS236" s="456"/>
      <c r="AT236" s="456"/>
    </row>
    <row r="237" spans="1:46" ht="56.25" x14ac:dyDescent="0.2">
      <c r="A237" s="729"/>
      <c r="B237" s="727"/>
      <c r="C237" s="788"/>
      <c r="D237" s="708"/>
      <c r="E237" s="761"/>
      <c r="F237" s="761"/>
      <c r="G237" s="761"/>
      <c r="H237" s="761"/>
      <c r="I237" s="708"/>
      <c r="J237" s="480" t="s">
        <v>1325</v>
      </c>
      <c r="K237" s="480" t="s">
        <v>1326</v>
      </c>
      <c r="L237" s="480">
        <v>12</v>
      </c>
      <c r="M237" s="480">
        <v>16</v>
      </c>
      <c r="N237" s="480"/>
      <c r="O237" s="456"/>
      <c r="P237" s="457">
        <f>2+3+5</f>
        <v>10</v>
      </c>
      <c r="Q237" s="457">
        <v>3</v>
      </c>
      <c r="R237" s="457">
        <v>3</v>
      </c>
      <c r="S237" s="457">
        <v>1</v>
      </c>
      <c r="T237" s="457">
        <v>0</v>
      </c>
      <c r="U237" s="457">
        <v>0</v>
      </c>
      <c r="V237" s="457"/>
      <c r="W237" s="457"/>
      <c r="X237" s="457">
        <v>6</v>
      </c>
      <c r="Y237" s="457">
        <v>3</v>
      </c>
      <c r="Z237" s="457">
        <v>12</v>
      </c>
      <c r="AA237" s="457">
        <v>3</v>
      </c>
      <c r="AB237" s="457"/>
      <c r="AC237" s="457"/>
      <c r="AD237" s="457"/>
      <c r="AE237" s="457">
        <f t="shared" si="13"/>
        <v>41</v>
      </c>
      <c r="AF237" s="456"/>
      <c r="AG237" s="471">
        <v>1</v>
      </c>
      <c r="AH237" s="462">
        <f t="shared" si="12"/>
        <v>1</v>
      </c>
      <c r="AI237" s="456"/>
      <c r="AJ237" s="456"/>
      <c r="AK237" s="456"/>
      <c r="AL237" s="456"/>
      <c r="AM237" s="456"/>
      <c r="AN237" s="456"/>
      <c r="AO237" s="456"/>
      <c r="AP237" s="456"/>
      <c r="AQ237" s="456"/>
      <c r="AR237" s="456"/>
      <c r="AS237" s="456"/>
      <c r="AT237" s="456"/>
    </row>
    <row r="238" spans="1:46" ht="33.75" x14ac:dyDescent="0.2">
      <c r="A238" s="729"/>
      <c r="B238" s="727"/>
      <c r="C238" s="788"/>
      <c r="D238" s="708"/>
      <c r="E238" s="761"/>
      <c r="F238" s="761"/>
      <c r="G238" s="761"/>
      <c r="H238" s="761"/>
      <c r="I238" s="708"/>
      <c r="J238" s="480" t="s">
        <v>1327</v>
      </c>
      <c r="K238" s="480" t="s">
        <v>1328</v>
      </c>
      <c r="L238" s="480">
        <v>2124</v>
      </c>
      <c r="M238" s="480">
        <v>5749</v>
      </c>
      <c r="N238" s="480"/>
      <c r="O238" s="456"/>
      <c r="P238" s="457">
        <v>0</v>
      </c>
      <c r="Q238" s="457">
        <v>0</v>
      </c>
      <c r="R238" s="457">
        <v>14</v>
      </c>
      <c r="S238" s="457">
        <v>64</v>
      </c>
      <c r="T238" s="457">
        <v>768</v>
      </c>
      <c r="U238" s="457">
        <v>79</v>
      </c>
      <c r="V238" s="457"/>
      <c r="W238" s="457"/>
      <c r="X238" s="457">
        <v>10</v>
      </c>
      <c r="Y238" s="457">
        <v>1</v>
      </c>
      <c r="Z238" s="457">
        <v>0</v>
      </c>
      <c r="AA238" s="457">
        <v>0</v>
      </c>
      <c r="AB238" s="457"/>
      <c r="AC238" s="457"/>
      <c r="AD238" s="457"/>
      <c r="AE238" s="457">
        <f>+SUM(N238:AC238)</f>
        <v>936</v>
      </c>
      <c r="AF238" s="456"/>
      <c r="AG238" s="471">
        <f>+(AE238/L238)</f>
        <v>0.44067796610169491</v>
      </c>
      <c r="AH238" s="462">
        <f t="shared" si="12"/>
        <v>0.44067796610169491</v>
      </c>
      <c r="AI238" s="456"/>
      <c r="AJ238" s="456"/>
      <c r="AK238" s="456"/>
      <c r="AL238" s="456"/>
      <c r="AM238" s="456"/>
      <c r="AN238" s="456"/>
      <c r="AO238" s="456"/>
      <c r="AP238" s="456"/>
      <c r="AQ238" s="456"/>
      <c r="AR238" s="456"/>
      <c r="AS238" s="456"/>
      <c r="AT238" s="456"/>
    </row>
    <row r="239" spans="1:46" ht="45" x14ac:dyDescent="0.2">
      <c r="A239" s="729"/>
      <c r="B239" s="727"/>
      <c r="C239" s="788"/>
      <c r="D239" s="708"/>
      <c r="E239" s="761"/>
      <c r="F239" s="761"/>
      <c r="G239" s="761"/>
      <c r="H239" s="761"/>
      <c r="I239" s="708"/>
      <c r="J239" s="480" t="s">
        <v>1329</v>
      </c>
      <c r="K239" s="480" t="s">
        <v>1330</v>
      </c>
      <c r="L239" s="480">
        <v>124000</v>
      </c>
      <c r="M239" s="480">
        <v>392801</v>
      </c>
      <c r="N239" s="480"/>
      <c r="O239" s="456"/>
      <c r="P239" s="457">
        <v>0</v>
      </c>
      <c r="Q239" s="457">
        <v>0</v>
      </c>
      <c r="R239" s="457">
        <v>91437</v>
      </c>
      <c r="S239" s="457">
        <v>65919</v>
      </c>
      <c r="T239" s="457">
        <v>0</v>
      </c>
      <c r="U239" s="457">
        <v>0</v>
      </c>
      <c r="V239" s="457"/>
      <c r="W239" s="457"/>
      <c r="X239" s="457">
        <v>5780</v>
      </c>
      <c r="Y239" s="457">
        <v>0</v>
      </c>
      <c r="Z239" s="457">
        <v>0</v>
      </c>
      <c r="AA239" s="457">
        <v>0</v>
      </c>
      <c r="AB239" s="457"/>
      <c r="AC239" s="457"/>
      <c r="AD239" s="457"/>
      <c r="AE239" s="457">
        <f t="shared" si="13"/>
        <v>163136</v>
      </c>
      <c r="AF239" s="456"/>
      <c r="AG239" s="471">
        <v>1</v>
      </c>
      <c r="AH239" s="462">
        <f t="shared" si="12"/>
        <v>1</v>
      </c>
      <c r="AI239" s="456"/>
      <c r="AJ239" s="456"/>
      <c r="AK239" s="456"/>
      <c r="AL239" s="456"/>
      <c r="AM239" s="456"/>
      <c r="AN239" s="456"/>
      <c r="AO239" s="456"/>
      <c r="AP239" s="456"/>
      <c r="AQ239" s="456"/>
      <c r="AR239" s="456"/>
      <c r="AS239" s="456"/>
      <c r="AT239" s="456"/>
    </row>
    <row r="240" spans="1:46" ht="56.25" x14ac:dyDescent="0.2">
      <c r="A240" s="729"/>
      <c r="B240" s="727"/>
      <c r="C240" s="788"/>
      <c r="D240" s="708"/>
      <c r="E240" s="761"/>
      <c r="F240" s="761"/>
      <c r="G240" s="761"/>
      <c r="H240" s="761"/>
      <c r="I240" s="708"/>
      <c r="J240" s="480" t="s">
        <v>1331</v>
      </c>
      <c r="K240" s="480" t="s">
        <v>1332</v>
      </c>
      <c r="L240" s="480">
        <v>8250</v>
      </c>
      <c r="M240" s="480">
        <v>56744</v>
      </c>
      <c r="N240" s="480"/>
      <c r="O240" s="456"/>
      <c r="P240" s="457">
        <v>0</v>
      </c>
      <c r="Q240" s="457">
        <v>0</v>
      </c>
      <c r="R240" s="457">
        <v>9408</v>
      </c>
      <c r="S240" s="457">
        <v>6433</v>
      </c>
      <c r="T240" s="457">
        <v>7062</v>
      </c>
      <c r="U240" s="457">
        <v>833</v>
      </c>
      <c r="V240" s="457"/>
      <c r="W240" s="457"/>
      <c r="X240" s="457">
        <v>1279</v>
      </c>
      <c r="Y240" s="457">
        <v>2967</v>
      </c>
      <c r="Z240" s="457">
        <v>0</v>
      </c>
      <c r="AA240" s="457">
        <v>0</v>
      </c>
      <c r="AB240" s="457"/>
      <c r="AC240" s="457"/>
      <c r="AD240" s="457"/>
      <c r="AE240" s="457">
        <f t="shared" si="13"/>
        <v>27982</v>
      </c>
      <c r="AF240" s="456"/>
      <c r="AG240" s="471">
        <v>1</v>
      </c>
      <c r="AH240" s="462">
        <f t="shared" si="12"/>
        <v>1</v>
      </c>
      <c r="AI240" s="456"/>
      <c r="AJ240" s="456"/>
      <c r="AK240" s="456"/>
      <c r="AL240" s="456"/>
      <c r="AM240" s="456"/>
      <c r="AN240" s="456"/>
      <c r="AO240" s="456"/>
      <c r="AP240" s="456"/>
      <c r="AQ240" s="456"/>
      <c r="AR240" s="456"/>
      <c r="AS240" s="456"/>
      <c r="AT240" s="456"/>
    </row>
    <row r="241" spans="1:46" ht="45" x14ac:dyDescent="0.2">
      <c r="A241" s="729"/>
      <c r="B241" s="727"/>
      <c r="C241" s="788"/>
      <c r="D241" s="708"/>
      <c r="E241" s="761"/>
      <c r="F241" s="761"/>
      <c r="G241" s="761"/>
      <c r="H241" s="761"/>
      <c r="I241" s="708"/>
      <c r="J241" s="480" t="s">
        <v>1333</v>
      </c>
      <c r="K241" s="480" t="s">
        <v>1334</v>
      </c>
      <c r="L241" s="480">
        <v>224</v>
      </c>
      <c r="M241" s="480">
        <v>240</v>
      </c>
      <c r="N241" s="480"/>
      <c r="O241" s="456"/>
      <c r="P241" s="457">
        <v>0</v>
      </c>
      <c r="Q241" s="457">
        <v>0</v>
      </c>
      <c r="R241" s="457">
        <v>18</v>
      </c>
      <c r="S241" s="457">
        <v>513</v>
      </c>
      <c r="T241" s="457">
        <v>494</v>
      </c>
      <c r="U241" s="457">
        <v>36</v>
      </c>
      <c r="V241" s="457"/>
      <c r="W241" s="457"/>
      <c r="X241" s="457">
        <v>33</v>
      </c>
      <c r="Y241" s="457">
        <v>0</v>
      </c>
      <c r="Z241" s="457">
        <v>0</v>
      </c>
      <c r="AA241" s="457">
        <v>0</v>
      </c>
      <c r="AB241" s="457"/>
      <c r="AC241" s="457"/>
      <c r="AD241" s="457"/>
      <c r="AE241" s="457">
        <f t="shared" si="13"/>
        <v>1094</v>
      </c>
      <c r="AF241" s="456"/>
      <c r="AG241" s="471">
        <v>1</v>
      </c>
      <c r="AH241" s="462">
        <f t="shared" si="12"/>
        <v>1</v>
      </c>
      <c r="AI241" s="456"/>
      <c r="AJ241" s="456"/>
      <c r="AK241" s="456"/>
      <c r="AL241" s="456"/>
      <c r="AM241" s="456"/>
      <c r="AN241" s="456"/>
      <c r="AO241" s="456"/>
      <c r="AP241" s="456"/>
      <c r="AQ241" s="456"/>
      <c r="AR241" s="456"/>
      <c r="AS241" s="456"/>
      <c r="AT241" s="456"/>
    </row>
    <row r="242" spans="1:46" ht="45" x14ac:dyDescent="0.2">
      <c r="A242" s="729"/>
      <c r="B242" s="727"/>
      <c r="C242" s="788"/>
      <c r="D242" s="708"/>
      <c r="E242" s="761"/>
      <c r="F242" s="761"/>
      <c r="G242" s="761"/>
      <c r="H242" s="761"/>
      <c r="I242" s="708"/>
      <c r="J242" s="480" t="s">
        <v>1335</v>
      </c>
      <c r="K242" s="480" t="s">
        <v>1336</v>
      </c>
      <c r="L242" s="480">
        <v>1</v>
      </c>
      <c r="M242" s="480">
        <v>0</v>
      </c>
      <c r="N242" s="480"/>
      <c r="O242" s="456"/>
      <c r="P242" s="457">
        <v>0</v>
      </c>
      <c r="Q242" s="457">
        <v>0</v>
      </c>
      <c r="R242" s="457">
        <v>0</v>
      </c>
      <c r="S242" s="457">
        <v>0</v>
      </c>
      <c r="T242" s="457">
        <v>0</v>
      </c>
      <c r="U242" s="457">
        <v>0</v>
      </c>
      <c r="V242" s="457"/>
      <c r="W242" s="457"/>
      <c r="X242" s="457">
        <v>0</v>
      </c>
      <c r="Y242" s="457">
        <v>0</v>
      </c>
      <c r="Z242" s="457">
        <v>0</v>
      </c>
      <c r="AA242" s="457">
        <v>0</v>
      </c>
      <c r="AB242" s="457"/>
      <c r="AC242" s="457"/>
      <c r="AD242" s="457"/>
      <c r="AE242" s="457">
        <f t="shared" si="13"/>
        <v>0</v>
      </c>
      <c r="AF242" s="456"/>
      <c r="AG242" s="471">
        <f>+(AE242/L242)</f>
        <v>0</v>
      </c>
      <c r="AH242" s="462">
        <f t="shared" si="12"/>
        <v>0</v>
      </c>
      <c r="AI242" s="456"/>
      <c r="AJ242" s="456"/>
      <c r="AK242" s="456"/>
      <c r="AL242" s="456"/>
      <c r="AM242" s="456"/>
      <c r="AN242" s="456"/>
      <c r="AO242" s="456"/>
      <c r="AP242" s="456"/>
      <c r="AQ242" s="456"/>
      <c r="AR242" s="456"/>
      <c r="AS242" s="456"/>
      <c r="AT242" s="456"/>
    </row>
    <row r="243" spans="1:46" ht="60" customHeight="1" x14ac:dyDescent="0.2">
      <c r="A243" s="729"/>
      <c r="B243" s="727"/>
      <c r="C243" s="788"/>
      <c r="D243" s="708"/>
      <c r="E243" s="761"/>
      <c r="F243" s="761"/>
      <c r="G243" s="761"/>
      <c r="H243" s="761"/>
      <c r="I243" s="709"/>
      <c r="J243" s="480"/>
      <c r="K243" s="480"/>
      <c r="L243" s="480"/>
      <c r="M243" s="480"/>
      <c r="N243" s="480"/>
      <c r="O243" s="456"/>
      <c r="P243" s="456"/>
      <c r="Q243" s="456"/>
      <c r="R243" s="456"/>
      <c r="S243" s="456"/>
      <c r="T243" s="456"/>
      <c r="U243" s="456"/>
      <c r="V243" s="456"/>
      <c r="W243" s="456"/>
      <c r="X243" s="456"/>
      <c r="Y243" s="456"/>
      <c r="Z243" s="456"/>
      <c r="AA243" s="456"/>
      <c r="AB243" s="456"/>
      <c r="AC243" s="456"/>
      <c r="AD243" s="456"/>
      <c r="AE243" s="457"/>
      <c r="AF243" s="456"/>
      <c r="AG243" s="492">
        <f>AVERAGE(AG233:AG242)</f>
        <v>0.54406779661016957</v>
      </c>
      <c r="AH243" s="462">
        <f t="shared" si="12"/>
        <v>0.54406779661016957</v>
      </c>
      <c r="AI243" s="456"/>
      <c r="AJ243" s="456"/>
      <c r="AK243" s="456"/>
      <c r="AL243" s="456"/>
      <c r="AM243" s="456"/>
      <c r="AN243" s="456"/>
      <c r="AO243" s="456"/>
      <c r="AP243" s="456"/>
      <c r="AQ243" s="456"/>
      <c r="AR243" s="456"/>
      <c r="AS243" s="456"/>
      <c r="AT243" s="456"/>
    </row>
    <row r="244" spans="1:46" ht="75" customHeight="1" x14ac:dyDescent="0.2">
      <c r="A244" s="729"/>
      <c r="B244" s="727"/>
      <c r="C244" s="788"/>
      <c r="D244" s="708"/>
      <c r="E244" s="736" t="s">
        <v>1359</v>
      </c>
      <c r="F244" s="736" t="s">
        <v>1356</v>
      </c>
      <c r="G244" s="736" t="s">
        <v>1358</v>
      </c>
      <c r="H244" s="736" t="s">
        <v>1357</v>
      </c>
      <c r="I244" s="707" t="s">
        <v>1342</v>
      </c>
      <c r="J244" s="480" t="s">
        <v>1343</v>
      </c>
      <c r="K244" s="480" t="s">
        <v>1344</v>
      </c>
      <c r="L244" s="465">
        <v>40</v>
      </c>
      <c r="M244" s="465">
        <v>73</v>
      </c>
      <c r="N244" s="465"/>
      <c r="O244" s="456"/>
      <c r="P244" s="457">
        <f>16+21+0</f>
        <v>37</v>
      </c>
      <c r="Q244" s="457">
        <v>14</v>
      </c>
      <c r="R244" s="457">
        <v>0</v>
      </c>
      <c r="S244" s="457">
        <v>42</v>
      </c>
      <c r="T244" s="457">
        <v>11</v>
      </c>
      <c r="U244" s="457">
        <v>12</v>
      </c>
      <c r="V244" s="457"/>
      <c r="W244" s="457"/>
      <c r="X244" s="457">
        <v>48</v>
      </c>
      <c r="Y244" s="457">
        <v>29</v>
      </c>
      <c r="Z244" s="457">
        <v>0</v>
      </c>
      <c r="AA244" s="457">
        <v>29</v>
      </c>
      <c r="AB244" s="457"/>
      <c r="AC244" s="457"/>
      <c r="AD244" s="457"/>
      <c r="AE244" s="457">
        <f t="shared" si="13"/>
        <v>222</v>
      </c>
      <c r="AF244" s="456"/>
      <c r="AG244" s="471">
        <v>1</v>
      </c>
      <c r="AH244" s="462">
        <f t="shared" si="12"/>
        <v>1</v>
      </c>
      <c r="AI244" s="456"/>
      <c r="AJ244" s="456"/>
      <c r="AK244" s="456"/>
      <c r="AL244" s="456"/>
      <c r="AM244" s="456"/>
      <c r="AN244" s="456"/>
      <c r="AO244" s="456"/>
      <c r="AP244" s="456"/>
      <c r="AQ244" s="456"/>
      <c r="AR244" s="456"/>
      <c r="AS244" s="456"/>
      <c r="AT244" s="456"/>
    </row>
    <row r="245" spans="1:46" ht="56.25" x14ac:dyDescent="0.2">
      <c r="A245" s="729"/>
      <c r="B245" s="727"/>
      <c r="C245" s="788"/>
      <c r="D245" s="708"/>
      <c r="E245" s="743"/>
      <c r="F245" s="743"/>
      <c r="G245" s="743"/>
      <c r="H245" s="743"/>
      <c r="I245" s="708"/>
      <c r="J245" s="480" t="s">
        <v>1345</v>
      </c>
      <c r="K245" s="480" t="s">
        <v>1346</v>
      </c>
      <c r="L245" s="465">
        <v>81</v>
      </c>
      <c r="M245" s="465">
        <v>90</v>
      </c>
      <c r="N245" s="465"/>
      <c r="O245" s="456"/>
      <c r="P245" s="457">
        <v>88</v>
      </c>
      <c r="Q245" s="457">
        <v>88</v>
      </c>
      <c r="R245" s="457">
        <v>52</v>
      </c>
      <c r="S245" s="457">
        <v>54</v>
      </c>
      <c r="T245" s="457">
        <v>54</v>
      </c>
      <c r="U245" s="457">
        <v>60</v>
      </c>
      <c r="V245" s="457"/>
      <c r="W245" s="457"/>
      <c r="X245" s="457">
        <v>55</v>
      </c>
      <c r="Y245" s="457">
        <v>50</v>
      </c>
      <c r="Z245" s="457">
        <v>0</v>
      </c>
      <c r="AA245" s="457">
        <v>50</v>
      </c>
      <c r="AB245" s="457"/>
      <c r="AC245" s="457"/>
      <c r="AD245" s="523"/>
      <c r="AE245" s="543">
        <v>50</v>
      </c>
      <c r="AF245" s="456"/>
      <c r="AG245" s="471">
        <v>1</v>
      </c>
      <c r="AH245" s="462">
        <f t="shared" si="12"/>
        <v>1</v>
      </c>
      <c r="AI245" s="456"/>
      <c r="AJ245" s="456"/>
      <c r="AK245" s="456"/>
      <c r="AL245" s="456"/>
      <c r="AM245" s="456"/>
      <c r="AN245" s="456"/>
      <c r="AO245" s="456"/>
      <c r="AP245" s="456"/>
      <c r="AQ245" s="456"/>
      <c r="AR245" s="456"/>
      <c r="AS245" s="456"/>
      <c r="AT245" s="456"/>
    </row>
    <row r="246" spans="1:46" ht="78.75" x14ac:dyDescent="0.2">
      <c r="A246" s="729"/>
      <c r="B246" s="727"/>
      <c r="C246" s="788"/>
      <c r="D246" s="708"/>
      <c r="E246" s="743"/>
      <c r="F246" s="743"/>
      <c r="G246" s="743"/>
      <c r="H246" s="743"/>
      <c r="I246" s="708"/>
      <c r="J246" s="480" t="s">
        <v>1347</v>
      </c>
      <c r="K246" s="480" t="s">
        <v>1348</v>
      </c>
      <c r="L246" s="465">
        <v>3216</v>
      </c>
      <c r="M246" s="465">
        <v>0</v>
      </c>
      <c r="N246" s="465"/>
      <c r="O246" s="456"/>
      <c r="P246" s="457">
        <f>382+1254+382</f>
        <v>2018</v>
      </c>
      <c r="Q246" s="457">
        <v>175</v>
      </c>
      <c r="R246" s="457">
        <v>0</v>
      </c>
      <c r="S246" s="457">
        <v>37</v>
      </c>
      <c r="T246" s="457">
        <v>59</v>
      </c>
      <c r="U246" s="457">
        <v>0</v>
      </c>
      <c r="V246" s="457"/>
      <c r="W246" s="457"/>
      <c r="X246" s="457">
        <v>1200</v>
      </c>
      <c r="Y246" s="457">
        <v>1804</v>
      </c>
      <c r="Z246" s="457">
        <v>2004</v>
      </c>
      <c r="AA246" s="457">
        <v>1002</v>
      </c>
      <c r="AB246" s="457"/>
      <c r="AC246" s="457"/>
      <c r="AD246" s="457"/>
      <c r="AE246" s="457">
        <f t="shared" si="13"/>
        <v>8299</v>
      </c>
      <c r="AF246" s="456"/>
      <c r="AG246" s="471">
        <v>1</v>
      </c>
      <c r="AH246" s="462">
        <f t="shared" si="12"/>
        <v>1</v>
      </c>
      <c r="AI246" s="456"/>
      <c r="AJ246" s="456"/>
      <c r="AK246" s="456"/>
      <c r="AL246" s="456"/>
      <c r="AM246" s="456"/>
      <c r="AN246" s="456"/>
      <c r="AO246" s="456"/>
      <c r="AP246" s="456"/>
      <c r="AQ246" s="456"/>
      <c r="AR246" s="456"/>
      <c r="AS246" s="456"/>
      <c r="AT246" s="456"/>
    </row>
    <row r="247" spans="1:46" ht="45" x14ac:dyDescent="0.2">
      <c r="A247" s="729"/>
      <c r="B247" s="727"/>
      <c r="C247" s="788"/>
      <c r="D247" s="708"/>
      <c r="E247" s="743"/>
      <c r="F247" s="743"/>
      <c r="G247" s="743"/>
      <c r="H247" s="743"/>
      <c r="I247" s="708"/>
      <c r="J247" s="480" t="s">
        <v>1349</v>
      </c>
      <c r="K247" s="480" t="s">
        <v>1350</v>
      </c>
      <c r="L247" s="465">
        <v>635878</v>
      </c>
      <c r="M247" s="465">
        <v>0</v>
      </c>
      <c r="N247" s="465"/>
      <c r="O247" s="456"/>
      <c r="P247" s="457">
        <v>0</v>
      </c>
      <c r="Q247" s="457">
        <v>0</v>
      </c>
      <c r="R247" s="457">
        <v>1150</v>
      </c>
      <c r="S247" s="457">
        <v>12000</v>
      </c>
      <c r="T247" s="457">
        <v>40000</v>
      </c>
      <c r="U247" s="457">
        <v>0</v>
      </c>
      <c r="V247" s="457"/>
      <c r="W247" s="457"/>
      <c r="X247" s="457">
        <v>12000</v>
      </c>
      <c r="Y247" s="457">
        <v>14500</v>
      </c>
      <c r="Z247" s="457">
        <v>12000</v>
      </c>
      <c r="AA247" s="457">
        <v>12000</v>
      </c>
      <c r="AB247" s="457"/>
      <c r="AC247" s="457"/>
      <c r="AD247" s="457"/>
      <c r="AE247" s="457">
        <f t="shared" si="13"/>
        <v>103650</v>
      </c>
      <c r="AF247" s="456"/>
      <c r="AG247" s="471">
        <f>+(AE247/L247)</f>
        <v>0.16300296597775044</v>
      </c>
      <c r="AH247" s="462">
        <f t="shared" si="12"/>
        <v>0.16300296597775044</v>
      </c>
      <c r="AI247" s="456"/>
      <c r="AJ247" s="456"/>
      <c r="AK247" s="456"/>
      <c r="AL247" s="456"/>
      <c r="AM247" s="456"/>
      <c r="AN247" s="456"/>
      <c r="AO247" s="456"/>
      <c r="AP247" s="456"/>
      <c r="AQ247" s="456"/>
      <c r="AR247" s="456"/>
      <c r="AS247" s="456"/>
      <c r="AT247" s="456"/>
    </row>
    <row r="248" spans="1:46" ht="57.75" customHeight="1" x14ac:dyDescent="0.2">
      <c r="A248" s="729"/>
      <c r="B248" s="727"/>
      <c r="C248" s="788"/>
      <c r="D248" s="708"/>
      <c r="E248" s="743"/>
      <c r="F248" s="743"/>
      <c r="G248" s="743"/>
      <c r="H248" s="743"/>
      <c r="I248" s="709"/>
      <c r="J248" s="480"/>
      <c r="K248" s="480"/>
      <c r="L248" s="465"/>
      <c r="M248" s="465"/>
      <c r="N248" s="465"/>
      <c r="O248" s="456"/>
      <c r="P248" s="456"/>
      <c r="Q248" s="456"/>
      <c r="R248" s="456"/>
      <c r="S248" s="456"/>
      <c r="T248" s="456"/>
      <c r="U248" s="456"/>
      <c r="V248" s="456"/>
      <c r="W248" s="456"/>
      <c r="X248" s="456"/>
      <c r="Y248" s="456"/>
      <c r="Z248" s="456"/>
      <c r="AA248" s="456"/>
      <c r="AB248" s="456"/>
      <c r="AC248" s="456"/>
      <c r="AD248" s="456"/>
      <c r="AE248" s="457"/>
      <c r="AF248" s="456"/>
      <c r="AG248" s="495">
        <f>AVERAGE(AG244:AG247)</f>
        <v>0.79075074149443758</v>
      </c>
      <c r="AH248" s="462">
        <f t="shared" si="12"/>
        <v>0.79075074149443758</v>
      </c>
      <c r="AI248" s="456"/>
      <c r="AJ248" s="456"/>
      <c r="AK248" s="456"/>
      <c r="AL248" s="456"/>
      <c r="AM248" s="456"/>
      <c r="AN248" s="456"/>
      <c r="AO248" s="456"/>
      <c r="AP248" s="456"/>
      <c r="AQ248" s="456"/>
      <c r="AR248" s="456"/>
      <c r="AS248" s="456"/>
      <c r="AT248" s="456"/>
    </row>
    <row r="249" spans="1:46" ht="45" x14ac:dyDescent="0.2">
      <c r="A249" s="729"/>
      <c r="B249" s="727"/>
      <c r="C249" s="788"/>
      <c r="D249" s="708"/>
      <c r="E249" s="743"/>
      <c r="F249" s="743"/>
      <c r="G249" s="743"/>
      <c r="H249" s="743"/>
      <c r="I249" s="707" t="s">
        <v>1351</v>
      </c>
      <c r="J249" s="480" t="s">
        <v>1352</v>
      </c>
      <c r="K249" s="480" t="s">
        <v>1353</v>
      </c>
      <c r="L249" s="480">
        <v>1</v>
      </c>
      <c r="M249" s="480">
        <v>1</v>
      </c>
      <c r="N249" s="480"/>
      <c r="O249" s="456"/>
      <c r="P249" s="457">
        <v>0</v>
      </c>
      <c r="Q249" s="457">
        <v>0</v>
      </c>
      <c r="R249" s="457">
        <v>0</v>
      </c>
      <c r="S249" s="457">
        <v>0.42</v>
      </c>
      <c r="T249" s="457">
        <v>0</v>
      </c>
      <c r="U249" s="457">
        <v>0</v>
      </c>
      <c r="V249" s="457">
        <v>0</v>
      </c>
      <c r="W249" s="457">
        <v>0</v>
      </c>
      <c r="X249" s="457">
        <v>0</v>
      </c>
      <c r="Y249" s="457">
        <v>0</v>
      </c>
      <c r="Z249" s="457">
        <v>0.08</v>
      </c>
      <c r="AA249" s="457"/>
      <c r="AB249" s="457"/>
      <c r="AC249" s="457"/>
      <c r="AD249" s="457"/>
      <c r="AE249" s="457">
        <f t="shared" si="13"/>
        <v>0.5</v>
      </c>
      <c r="AF249" s="456"/>
      <c r="AG249" s="471">
        <f>+(AE249/L249)</f>
        <v>0.5</v>
      </c>
      <c r="AH249" s="462">
        <f t="shared" si="12"/>
        <v>0.5</v>
      </c>
      <c r="AI249" s="456"/>
      <c r="AJ249" s="790">
        <v>247800000</v>
      </c>
      <c r="AK249" s="515"/>
      <c r="AL249" s="515"/>
      <c r="AM249" s="515"/>
      <c r="AN249" s="515"/>
      <c r="AO249" s="515"/>
      <c r="AP249" s="515"/>
      <c r="AQ249" s="515"/>
      <c r="AR249" s="515"/>
      <c r="AS249" s="790">
        <v>236290000</v>
      </c>
      <c r="AT249" s="723">
        <f>+AS249/AJ249</f>
        <v>0.95355125100887816</v>
      </c>
    </row>
    <row r="250" spans="1:46" ht="67.5" x14ac:dyDescent="0.2">
      <c r="A250" s="729"/>
      <c r="B250" s="727"/>
      <c r="C250" s="788"/>
      <c r="D250" s="708"/>
      <c r="E250" s="743"/>
      <c r="F250" s="743"/>
      <c r="G250" s="743"/>
      <c r="H250" s="743"/>
      <c r="I250" s="708"/>
      <c r="J250" s="480" t="s">
        <v>1354</v>
      </c>
      <c r="K250" s="480" t="s">
        <v>1355</v>
      </c>
      <c r="L250" s="480">
        <v>1</v>
      </c>
      <c r="M250" s="480">
        <v>0</v>
      </c>
      <c r="N250" s="480"/>
      <c r="O250" s="456"/>
      <c r="P250" s="457">
        <v>0</v>
      </c>
      <c r="Q250" s="457">
        <v>0</v>
      </c>
      <c r="R250" s="457">
        <v>0</v>
      </c>
      <c r="S250" s="457">
        <v>0.1</v>
      </c>
      <c r="T250" s="457">
        <v>0</v>
      </c>
      <c r="U250" s="457">
        <v>0</v>
      </c>
      <c r="V250" s="457">
        <v>0</v>
      </c>
      <c r="W250" s="457">
        <v>0</v>
      </c>
      <c r="X250" s="457">
        <v>0</v>
      </c>
      <c r="Y250" s="457">
        <v>0</v>
      </c>
      <c r="Z250" s="457">
        <v>0.1</v>
      </c>
      <c r="AA250" s="457"/>
      <c r="AB250" s="457"/>
      <c r="AC250" s="457"/>
      <c r="AD250" s="457"/>
      <c r="AE250" s="457">
        <f t="shared" si="13"/>
        <v>0.2</v>
      </c>
      <c r="AF250" s="456"/>
      <c r="AG250" s="471">
        <f>+(AE250/L250)</f>
        <v>0.2</v>
      </c>
      <c r="AH250" s="462">
        <f t="shared" si="12"/>
        <v>0.2</v>
      </c>
      <c r="AI250" s="456"/>
      <c r="AJ250" s="791"/>
      <c r="AK250" s="515"/>
      <c r="AL250" s="515"/>
      <c r="AM250" s="515"/>
      <c r="AN250" s="515"/>
      <c r="AO250" s="515"/>
      <c r="AP250" s="515"/>
      <c r="AQ250" s="515"/>
      <c r="AR250" s="515"/>
      <c r="AS250" s="791"/>
      <c r="AT250" s="725"/>
    </row>
    <row r="251" spans="1:46" ht="50.25" customHeight="1" x14ac:dyDescent="0.2">
      <c r="A251" s="729"/>
      <c r="B251" s="727"/>
      <c r="C251" s="788"/>
      <c r="D251" s="708"/>
      <c r="E251" s="743"/>
      <c r="F251" s="743"/>
      <c r="G251" s="743"/>
      <c r="H251" s="743"/>
      <c r="I251" s="709"/>
      <c r="J251" s="480"/>
      <c r="K251" s="480"/>
      <c r="L251" s="480"/>
      <c r="M251" s="480"/>
      <c r="N251" s="480"/>
      <c r="O251" s="456"/>
      <c r="P251" s="456"/>
      <c r="Q251" s="456"/>
      <c r="R251" s="456"/>
      <c r="S251" s="456"/>
      <c r="T251" s="456"/>
      <c r="U251" s="456"/>
      <c r="V251" s="456"/>
      <c r="W251" s="456"/>
      <c r="X251" s="456"/>
      <c r="Y251" s="456"/>
      <c r="Z251" s="456"/>
      <c r="AA251" s="456"/>
      <c r="AB251" s="456"/>
      <c r="AC251" s="456"/>
      <c r="AD251" s="456"/>
      <c r="AE251" s="457"/>
      <c r="AF251" s="456"/>
      <c r="AG251" s="492">
        <f>AVERAGE(AG249:AG250)</f>
        <v>0.35</v>
      </c>
      <c r="AH251" s="462">
        <f t="shared" si="12"/>
        <v>0.35</v>
      </c>
      <c r="AI251" s="456"/>
      <c r="AJ251" s="456"/>
      <c r="AK251" s="456"/>
      <c r="AL251" s="456"/>
      <c r="AM251" s="456"/>
      <c r="AN251" s="456"/>
      <c r="AO251" s="456"/>
      <c r="AP251" s="456"/>
      <c r="AQ251" s="456"/>
      <c r="AR251" s="456"/>
      <c r="AS251" s="456"/>
      <c r="AT251" s="456"/>
    </row>
    <row r="252" spans="1:46" ht="33.75" x14ac:dyDescent="0.2">
      <c r="A252" s="729"/>
      <c r="B252" s="727"/>
      <c r="C252" s="788"/>
      <c r="D252" s="708"/>
      <c r="E252" s="743"/>
      <c r="F252" s="743"/>
      <c r="G252" s="743"/>
      <c r="H252" s="743"/>
      <c r="I252" s="786" t="s">
        <v>2077</v>
      </c>
      <c r="J252" s="480" t="s">
        <v>1360</v>
      </c>
      <c r="K252" s="480" t="s">
        <v>1361</v>
      </c>
      <c r="L252" s="480">
        <v>1</v>
      </c>
      <c r="M252" s="480">
        <v>0</v>
      </c>
      <c r="N252" s="480"/>
      <c r="O252" s="456"/>
      <c r="P252" s="457">
        <v>0</v>
      </c>
      <c r="Q252" s="457">
        <v>0</v>
      </c>
      <c r="R252" s="456"/>
      <c r="S252" s="456"/>
      <c r="T252" s="456"/>
      <c r="U252" s="456"/>
      <c r="V252" s="456"/>
      <c r="W252" s="456"/>
      <c r="X252" s="567">
        <v>0</v>
      </c>
      <c r="Y252" s="567">
        <v>0</v>
      </c>
      <c r="Z252" s="456"/>
      <c r="AA252" s="456"/>
      <c r="AB252" s="456"/>
      <c r="AC252" s="456"/>
      <c r="AD252" s="456"/>
      <c r="AE252" s="457">
        <f t="shared" si="13"/>
        <v>0</v>
      </c>
      <c r="AF252" s="456"/>
      <c r="AG252" s="471">
        <f>+(AE252/L252)</f>
        <v>0</v>
      </c>
      <c r="AH252" s="462">
        <f t="shared" si="12"/>
        <v>0</v>
      </c>
      <c r="AI252" s="456"/>
      <c r="AJ252" s="456"/>
      <c r="AK252" s="456"/>
      <c r="AL252" s="456"/>
      <c r="AM252" s="456"/>
      <c r="AN252" s="456"/>
      <c r="AO252" s="456"/>
      <c r="AP252" s="456"/>
      <c r="AQ252" s="456"/>
      <c r="AR252" s="456"/>
      <c r="AS252" s="456"/>
      <c r="AT252" s="456"/>
    </row>
    <row r="253" spans="1:46" ht="35.25" customHeight="1" x14ac:dyDescent="0.2">
      <c r="A253" s="729"/>
      <c r="B253" s="727"/>
      <c r="C253" s="788"/>
      <c r="D253" s="708"/>
      <c r="E253" s="743"/>
      <c r="F253" s="743"/>
      <c r="G253" s="743"/>
      <c r="H253" s="743"/>
      <c r="I253" s="786"/>
      <c r="J253" s="480" t="s">
        <v>1362</v>
      </c>
      <c r="K253" s="480" t="s">
        <v>1363</v>
      </c>
      <c r="L253" s="480">
        <v>1592</v>
      </c>
      <c r="M253" s="480">
        <v>189</v>
      </c>
      <c r="N253" s="480"/>
      <c r="O253" s="456"/>
      <c r="P253" s="457">
        <v>370</v>
      </c>
      <c r="Q253" s="457">
        <v>416</v>
      </c>
      <c r="R253" s="456"/>
      <c r="S253" s="456"/>
      <c r="T253" s="456"/>
      <c r="U253" s="456"/>
      <c r="V253" s="456"/>
      <c r="W253" s="456"/>
      <c r="X253" s="567">
        <v>253</v>
      </c>
      <c r="Y253" s="567">
        <v>48</v>
      </c>
      <c r="Z253" s="456"/>
      <c r="AA253" s="456"/>
      <c r="AB253" s="456"/>
      <c r="AC253" s="456"/>
      <c r="AD253" s="456"/>
      <c r="AE253" s="457">
        <f>+Q253+X253+Y253</f>
        <v>717</v>
      </c>
      <c r="AF253" s="456"/>
      <c r="AG253" s="471">
        <f>+(AE253/L253)</f>
        <v>0.45037688442211055</v>
      </c>
      <c r="AH253" s="462">
        <f t="shared" si="12"/>
        <v>0.45037688442211055</v>
      </c>
      <c r="AI253" s="456"/>
      <c r="AJ253" s="456"/>
      <c r="AK253" s="456"/>
      <c r="AL253" s="456"/>
      <c r="AM253" s="456"/>
      <c r="AN253" s="456"/>
      <c r="AO253" s="456"/>
      <c r="AP253" s="456"/>
      <c r="AQ253" s="456"/>
      <c r="AR253" s="456"/>
      <c r="AS253" s="456"/>
      <c r="AT253" s="456"/>
    </row>
    <row r="254" spans="1:46" ht="42.75" customHeight="1" x14ac:dyDescent="0.2">
      <c r="A254" s="729"/>
      <c r="B254" s="727"/>
      <c r="C254" s="788"/>
      <c r="D254" s="708"/>
      <c r="E254" s="743"/>
      <c r="F254" s="743"/>
      <c r="G254" s="743"/>
      <c r="H254" s="743"/>
      <c r="I254" s="786"/>
      <c r="J254" s="480" t="s">
        <v>1364</v>
      </c>
      <c r="K254" s="480" t="s">
        <v>1365</v>
      </c>
      <c r="L254" s="480">
        <v>1</v>
      </c>
      <c r="M254" s="480">
        <v>0</v>
      </c>
      <c r="N254" s="480"/>
      <c r="O254" s="456"/>
      <c r="P254" s="457">
        <v>0</v>
      </c>
      <c r="Q254" s="457">
        <v>0.98</v>
      </c>
      <c r="R254" s="456"/>
      <c r="S254" s="456"/>
      <c r="T254" s="456"/>
      <c r="U254" s="456"/>
      <c r="V254" s="456"/>
      <c r="W254" s="456"/>
      <c r="X254" s="567">
        <v>0.02</v>
      </c>
      <c r="Y254" s="567">
        <v>0</v>
      </c>
      <c r="Z254" s="456"/>
      <c r="AA254" s="456"/>
      <c r="AB254" s="456"/>
      <c r="AC254" s="456"/>
      <c r="AD254" s="456"/>
      <c r="AE254" s="457">
        <f t="shared" si="13"/>
        <v>1</v>
      </c>
      <c r="AF254" s="456"/>
      <c r="AG254" s="471">
        <f>+(AE254/L254)</f>
        <v>1</v>
      </c>
      <c r="AH254" s="462">
        <f t="shared" si="12"/>
        <v>1</v>
      </c>
      <c r="AI254" s="456"/>
      <c r="AJ254" s="456"/>
      <c r="AK254" s="456"/>
      <c r="AL254" s="456"/>
      <c r="AM254" s="456"/>
      <c r="AN254" s="456"/>
      <c r="AO254" s="456"/>
      <c r="AP254" s="456"/>
      <c r="AQ254" s="456"/>
      <c r="AR254" s="456"/>
      <c r="AS254" s="456"/>
      <c r="AT254" s="456"/>
    </row>
    <row r="255" spans="1:46" ht="42.75" customHeight="1" x14ac:dyDescent="0.2">
      <c r="A255" s="729"/>
      <c r="B255" s="727"/>
      <c r="C255" s="788"/>
      <c r="D255" s="708"/>
      <c r="E255" s="743"/>
      <c r="F255" s="743"/>
      <c r="G255" s="743"/>
      <c r="H255" s="743"/>
      <c r="I255" s="786"/>
      <c r="J255" s="480"/>
      <c r="K255" s="480"/>
      <c r="L255" s="480"/>
      <c r="M255" s="480"/>
      <c r="N255" s="480"/>
      <c r="O255" s="456"/>
      <c r="P255" s="456"/>
      <c r="Q255" s="456"/>
      <c r="R255" s="456"/>
      <c r="S255" s="456"/>
      <c r="T255" s="456"/>
      <c r="U255" s="456"/>
      <c r="V255" s="456"/>
      <c r="W255" s="456"/>
      <c r="X255" s="456"/>
      <c r="Y255" s="456"/>
      <c r="Z255" s="456"/>
      <c r="AA255" s="456"/>
      <c r="AB255" s="456"/>
      <c r="AC255" s="456"/>
      <c r="AD255" s="456"/>
      <c r="AE255" s="457"/>
      <c r="AF255" s="456"/>
      <c r="AG255" s="492">
        <f>AVERAGE(AG252:AG254)</f>
        <v>0.48345896147403683</v>
      </c>
      <c r="AH255" s="462">
        <f t="shared" si="12"/>
        <v>0.48345896147403683</v>
      </c>
      <c r="AI255" s="456"/>
      <c r="AJ255" s="456"/>
      <c r="AK255" s="456"/>
      <c r="AL255" s="456"/>
      <c r="AM255" s="456"/>
      <c r="AN255" s="456"/>
      <c r="AO255" s="456"/>
      <c r="AP255" s="456"/>
      <c r="AQ255" s="456"/>
      <c r="AR255" s="456"/>
      <c r="AS255" s="456"/>
      <c r="AT255" s="456"/>
    </row>
    <row r="256" spans="1:46" ht="42.75" customHeight="1" x14ac:dyDescent="0.2">
      <c r="A256" s="729"/>
      <c r="B256" s="727"/>
      <c r="C256" s="788"/>
      <c r="D256" s="708"/>
      <c r="E256" s="743"/>
      <c r="F256" s="743"/>
      <c r="G256" s="737"/>
      <c r="H256" s="737"/>
      <c r="I256" s="786"/>
      <c r="J256" s="480"/>
      <c r="K256" s="480"/>
      <c r="L256" s="480"/>
      <c r="M256" s="480"/>
      <c r="N256" s="480"/>
      <c r="O256" s="456"/>
      <c r="P256" s="456"/>
      <c r="Q256" s="456"/>
      <c r="R256" s="456"/>
      <c r="S256" s="456"/>
      <c r="T256" s="456"/>
      <c r="U256" s="456"/>
      <c r="V256" s="456"/>
      <c r="W256" s="456"/>
      <c r="X256" s="456"/>
      <c r="Y256" s="456"/>
      <c r="Z256" s="456"/>
      <c r="AA256" s="456"/>
      <c r="AB256" s="456"/>
      <c r="AC256" s="456"/>
      <c r="AD256" s="456"/>
      <c r="AE256" s="457"/>
      <c r="AF256" s="456"/>
      <c r="AG256" s="516">
        <f>(AG243+AG248+AG255+AG251)/4</f>
        <v>0.542069374894661</v>
      </c>
      <c r="AH256" s="462">
        <f t="shared" si="12"/>
        <v>0.542069374894661</v>
      </c>
      <c r="AI256" s="456"/>
      <c r="AJ256" s="456"/>
      <c r="AK256" s="456"/>
      <c r="AL256" s="456"/>
      <c r="AM256" s="456"/>
      <c r="AN256" s="456"/>
      <c r="AO256" s="456"/>
      <c r="AP256" s="456"/>
      <c r="AQ256" s="456"/>
      <c r="AR256" s="456"/>
      <c r="AS256" s="456"/>
      <c r="AT256" s="456"/>
    </row>
    <row r="257" spans="1:46" ht="42.75" customHeight="1" x14ac:dyDescent="0.2">
      <c r="A257" s="729"/>
      <c r="B257" s="727"/>
      <c r="C257" s="789"/>
      <c r="D257" s="709"/>
      <c r="E257" s="737"/>
      <c r="F257" s="737"/>
      <c r="G257" s="506"/>
      <c r="H257" s="506"/>
      <c r="I257" s="506"/>
      <c r="J257" s="480"/>
      <c r="K257" s="480"/>
      <c r="L257" s="480"/>
      <c r="M257" s="480"/>
      <c r="N257" s="480"/>
      <c r="O257" s="456"/>
      <c r="P257" s="456"/>
      <c r="Q257" s="456"/>
      <c r="R257" s="456"/>
      <c r="S257" s="456"/>
      <c r="T257" s="456"/>
      <c r="U257" s="456"/>
      <c r="V257" s="456"/>
      <c r="W257" s="456"/>
      <c r="X257" s="456"/>
      <c r="Y257" s="456"/>
      <c r="Z257" s="456"/>
      <c r="AA257" s="456"/>
      <c r="AB257" s="456"/>
      <c r="AC257" s="456"/>
      <c r="AD257" s="456"/>
      <c r="AE257" s="457"/>
      <c r="AF257" s="456"/>
      <c r="AG257" s="529">
        <f>AG256</f>
        <v>0.542069374894661</v>
      </c>
      <c r="AH257" s="462">
        <f t="shared" si="12"/>
        <v>0.542069374894661</v>
      </c>
      <c r="AI257" s="456"/>
      <c r="AJ257" s="456"/>
      <c r="AK257" s="456"/>
      <c r="AL257" s="456"/>
      <c r="AM257" s="456"/>
      <c r="AN257" s="456"/>
      <c r="AO257" s="456"/>
      <c r="AP257" s="456"/>
      <c r="AQ257" s="456"/>
      <c r="AR257" s="456"/>
      <c r="AS257" s="456"/>
      <c r="AT257" s="456"/>
    </row>
    <row r="258" spans="1:46" ht="45" customHeight="1" x14ac:dyDescent="0.2">
      <c r="A258" s="729"/>
      <c r="B258" s="727"/>
      <c r="C258" s="710" t="s">
        <v>1366</v>
      </c>
      <c r="D258" s="707" t="s">
        <v>1367</v>
      </c>
      <c r="E258" s="707" t="s">
        <v>1369</v>
      </c>
      <c r="F258" s="707" t="s">
        <v>1368</v>
      </c>
      <c r="G258" s="723">
        <v>0.221</v>
      </c>
      <c r="H258" s="723">
        <v>0.42</v>
      </c>
      <c r="I258" s="707" t="s">
        <v>1370</v>
      </c>
      <c r="J258" s="480" t="s">
        <v>1371</v>
      </c>
      <c r="K258" s="480" t="s">
        <v>1372</v>
      </c>
      <c r="L258" s="480">
        <v>9000</v>
      </c>
      <c r="M258" s="480">
        <v>35693</v>
      </c>
      <c r="N258" s="480"/>
      <c r="O258" s="456"/>
      <c r="P258" s="457">
        <f>231+49+432+51+1800</f>
        <v>2563</v>
      </c>
      <c r="Q258" s="457">
        <v>0</v>
      </c>
      <c r="R258" s="457">
        <v>0</v>
      </c>
      <c r="S258" s="457">
        <v>3812</v>
      </c>
      <c r="T258" s="457">
        <v>4</v>
      </c>
      <c r="U258" s="457">
        <v>43</v>
      </c>
      <c r="V258" s="457">
        <v>313</v>
      </c>
      <c r="W258" s="457">
        <v>0</v>
      </c>
      <c r="X258" s="457">
        <v>0</v>
      </c>
      <c r="Y258" s="457">
        <v>0</v>
      </c>
      <c r="Z258" s="457">
        <v>0</v>
      </c>
      <c r="AA258" s="457">
        <v>0</v>
      </c>
      <c r="AB258" s="457"/>
      <c r="AC258" s="457"/>
      <c r="AD258" s="457"/>
      <c r="AE258" s="459">
        <f>+S258+T258+U258+V258</f>
        <v>4172</v>
      </c>
      <c r="AF258" s="456"/>
      <c r="AG258" s="471">
        <f>+(AE258/L258)</f>
        <v>0.46355555555555555</v>
      </c>
      <c r="AH258" s="462">
        <f t="shared" si="12"/>
        <v>0.46355555555555555</v>
      </c>
      <c r="AI258" s="456"/>
      <c r="AJ258" s="456"/>
      <c r="AK258" s="456"/>
      <c r="AL258" s="456"/>
      <c r="AM258" s="456"/>
      <c r="AN258" s="456"/>
      <c r="AO258" s="456"/>
      <c r="AP258" s="456"/>
      <c r="AQ258" s="456"/>
      <c r="AR258" s="456"/>
      <c r="AS258" s="456"/>
      <c r="AT258" s="456"/>
    </row>
    <row r="259" spans="1:46" ht="67.5" x14ac:dyDescent="0.2">
      <c r="A259" s="729"/>
      <c r="B259" s="727"/>
      <c r="C259" s="711"/>
      <c r="D259" s="708"/>
      <c r="E259" s="708"/>
      <c r="F259" s="708"/>
      <c r="G259" s="724"/>
      <c r="H259" s="724"/>
      <c r="I259" s="708"/>
      <c r="J259" s="480" t="s">
        <v>1373</v>
      </c>
      <c r="K259" s="480" t="s">
        <v>1374</v>
      </c>
      <c r="L259" s="480">
        <v>40</v>
      </c>
      <c r="M259" s="480">
        <v>0</v>
      </c>
      <c r="N259" s="480"/>
      <c r="O259" s="456"/>
      <c r="P259" s="457">
        <v>0</v>
      </c>
      <c r="Q259" s="457"/>
      <c r="R259" s="457">
        <v>0</v>
      </c>
      <c r="S259" s="457">
        <v>10</v>
      </c>
      <c r="T259" s="457">
        <v>0</v>
      </c>
      <c r="U259" s="457">
        <v>10</v>
      </c>
      <c r="V259" s="457"/>
      <c r="W259" s="457">
        <v>0</v>
      </c>
      <c r="X259" s="457">
        <v>0</v>
      </c>
      <c r="Y259" s="457">
        <v>0</v>
      </c>
      <c r="Z259" s="457">
        <v>0</v>
      </c>
      <c r="AA259" s="457">
        <v>0</v>
      </c>
      <c r="AB259" s="457"/>
      <c r="AC259" s="457"/>
      <c r="AD259" s="457"/>
      <c r="AE259" s="457">
        <f t="shared" si="13"/>
        <v>20</v>
      </c>
      <c r="AF259" s="456"/>
      <c r="AG259" s="471">
        <f>+(AE259/L259)</f>
        <v>0.5</v>
      </c>
      <c r="AH259" s="462">
        <f t="shared" si="12"/>
        <v>0.5</v>
      </c>
      <c r="AI259" s="456"/>
      <c r="AJ259" s="456"/>
      <c r="AK259" s="456"/>
      <c r="AL259" s="456"/>
      <c r="AM259" s="456"/>
      <c r="AN259" s="456"/>
      <c r="AO259" s="456"/>
      <c r="AP259" s="456"/>
      <c r="AQ259" s="456"/>
      <c r="AR259" s="456"/>
      <c r="AS259" s="456"/>
      <c r="AT259" s="456"/>
    </row>
    <row r="260" spans="1:46" ht="47.25" customHeight="1" x14ac:dyDescent="0.2">
      <c r="A260" s="729"/>
      <c r="B260" s="727"/>
      <c r="C260" s="711"/>
      <c r="D260" s="708"/>
      <c r="E260" s="708"/>
      <c r="F260" s="708"/>
      <c r="G260" s="724"/>
      <c r="H260" s="724"/>
      <c r="I260" s="709"/>
      <c r="J260" s="480"/>
      <c r="K260" s="480"/>
      <c r="L260" s="480"/>
      <c r="M260" s="480"/>
      <c r="N260" s="480"/>
      <c r="O260" s="456"/>
      <c r="P260" s="456"/>
      <c r="Q260" s="456"/>
      <c r="R260" s="456"/>
      <c r="S260" s="456"/>
      <c r="T260" s="456"/>
      <c r="U260" s="456"/>
      <c r="V260" s="456"/>
      <c r="W260" s="456"/>
      <c r="X260" s="456"/>
      <c r="Y260" s="456"/>
      <c r="Z260" s="456"/>
      <c r="AA260" s="456"/>
      <c r="AB260" s="456"/>
      <c r="AC260" s="456"/>
      <c r="AD260" s="456"/>
      <c r="AE260" s="457"/>
      <c r="AF260" s="456"/>
      <c r="AG260" s="498">
        <f>AVERAGE(AG258:AG259)</f>
        <v>0.48177777777777775</v>
      </c>
      <c r="AH260" s="462">
        <f t="shared" ref="AH260:AH317" si="14">+AG260</f>
        <v>0.48177777777777775</v>
      </c>
      <c r="AI260" s="456"/>
      <c r="AJ260" s="456"/>
      <c r="AK260" s="456"/>
      <c r="AL260" s="456"/>
      <c r="AM260" s="456"/>
      <c r="AN260" s="456"/>
      <c r="AO260" s="456"/>
      <c r="AP260" s="456"/>
      <c r="AQ260" s="456"/>
      <c r="AR260" s="456"/>
      <c r="AS260" s="456"/>
      <c r="AT260" s="456"/>
    </row>
    <row r="261" spans="1:46" ht="33.75" x14ac:dyDescent="0.2">
      <c r="A261" s="729"/>
      <c r="B261" s="727"/>
      <c r="C261" s="711"/>
      <c r="D261" s="708"/>
      <c r="E261" s="708"/>
      <c r="F261" s="708"/>
      <c r="G261" s="724"/>
      <c r="H261" s="724"/>
      <c r="I261" s="707" t="s">
        <v>1375</v>
      </c>
      <c r="J261" s="480" t="s">
        <v>1376</v>
      </c>
      <c r="K261" s="480" t="s">
        <v>1377</v>
      </c>
      <c r="L261" s="480">
        <v>3100</v>
      </c>
      <c r="M261" s="480">
        <v>18540</v>
      </c>
      <c r="N261" s="480"/>
      <c r="O261" s="456"/>
      <c r="P261" s="457">
        <v>289</v>
      </c>
      <c r="Q261" s="457"/>
      <c r="R261" s="457">
        <v>0</v>
      </c>
      <c r="S261" s="457">
        <v>299</v>
      </c>
      <c r="T261" s="457">
        <v>445</v>
      </c>
      <c r="U261" s="457">
        <v>606</v>
      </c>
      <c r="V261" s="456"/>
      <c r="W261" s="457"/>
      <c r="X261" s="457"/>
      <c r="Y261" s="457">
        <v>1500</v>
      </c>
      <c r="Z261" s="457">
        <v>0</v>
      </c>
      <c r="AA261" s="457">
        <v>74</v>
      </c>
      <c r="AB261" s="457"/>
      <c r="AC261" s="457"/>
      <c r="AD261" s="457"/>
      <c r="AE261" s="457">
        <f t="shared" si="13"/>
        <v>3213</v>
      </c>
      <c r="AF261" s="456"/>
      <c r="AG261" s="471">
        <v>1</v>
      </c>
      <c r="AH261" s="462">
        <f t="shared" si="14"/>
        <v>1</v>
      </c>
      <c r="AI261" s="456"/>
      <c r="AJ261" s="456"/>
      <c r="AK261" s="456"/>
      <c r="AL261" s="456"/>
      <c r="AM261" s="456"/>
      <c r="AN261" s="456"/>
      <c r="AO261" s="456"/>
      <c r="AP261" s="456"/>
      <c r="AQ261" s="456"/>
      <c r="AR261" s="456"/>
      <c r="AS261" s="456"/>
      <c r="AT261" s="456"/>
    </row>
    <row r="262" spans="1:46" ht="33.75" x14ac:dyDescent="0.2">
      <c r="A262" s="729"/>
      <c r="B262" s="727"/>
      <c r="C262" s="711"/>
      <c r="D262" s="708"/>
      <c r="E262" s="708"/>
      <c r="F262" s="708"/>
      <c r="G262" s="724"/>
      <c r="H262" s="724"/>
      <c r="I262" s="708"/>
      <c r="J262" s="480" t="s">
        <v>1378</v>
      </c>
      <c r="K262" s="480" t="s">
        <v>1379</v>
      </c>
      <c r="L262" s="480">
        <v>900</v>
      </c>
      <c r="M262" s="480">
        <v>4635</v>
      </c>
      <c r="N262" s="480"/>
      <c r="O262" s="456"/>
      <c r="P262" s="457">
        <v>222</v>
      </c>
      <c r="Q262" s="457"/>
      <c r="R262" s="457">
        <v>0</v>
      </c>
      <c r="S262" s="457">
        <v>0</v>
      </c>
      <c r="T262" s="457">
        <v>189</v>
      </c>
      <c r="U262" s="457">
        <v>0</v>
      </c>
      <c r="V262" s="456"/>
      <c r="W262" s="457"/>
      <c r="X262" s="457"/>
      <c r="Y262" s="457">
        <v>127</v>
      </c>
      <c r="Z262" s="457">
        <v>0</v>
      </c>
      <c r="AA262" s="457">
        <v>0</v>
      </c>
      <c r="AB262" s="457"/>
      <c r="AC262" s="457"/>
      <c r="AD262" s="457"/>
      <c r="AE262" s="457">
        <f t="shared" si="13"/>
        <v>538</v>
      </c>
      <c r="AF262" s="456"/>
      <c r="AG262" s="471">
        <f>+(AE262/L262)</f>
        <v>0.59777777777777774</v>
      </c>
      <c r="AH262" s="462">
        <f t="shared" si="14"/>
        <v>0.59777777777777774</v>
      </c>
      <c r="AI262" s="456"/>
      <c r="AJ262" s="456"/>
      <c r="AK262" s="456"/>
      <c r="AL262" s="456"/>
      <c r="AM262" s="456"/>
      <c r="AN262" s="456"/>
      <c r="AO262" s="456"/>
      <c r="AP262" s="456"/>
      <c r="AQ262" s="456"/>
      <c r="AR262" s="456"/>
      <c r="AS262" s="456"/>
      <c r="AT262" s="456"/>
    </row>
    <row r="263" spans="1:46" ht="33.75" x14ac:dyDescent="0.2">
      <c r="A263" s="729"/>
      <c r="B263" s="727"/>
      <c r="C263" s="711"/>
      <c r="D263" s="708"/>
      <c r="E263" s="708"/>
      <c r="F263" s="708"/>
      <c r="G263" s="724"/>
      <c r="H263" s="724"/>
      <c r="I263" s="708"/>
      <c r="J263" s="480" t="s">
        <v>1380</v>
      </c>
      <c r="K263" s="480" t="s">
        <v>1381</v>
      </c>
      <c r="L263" s="480">
        <v>8</v>
      </c>
      <c r="M263" s="480">
        <v>0</v>
      </c>
      <c r="N263" s="480"/>
      <c r="O263" s="456"/>
      <c r="P263" s="457">
        <v>0</v>
      </c>
      <c r="Q263" s="457"/>
      <c r="R263" s="457">
        <v>0</v>
      </c>
      <c r="S263" s="457">
        <v>0</v>
      </c>
      <c r="T263" s="457"/>
      <c r="U263" s="457">
        <v>0</v>
      </c>
      <c r="V263" s="457"/>
      <c r="W263" s="457"/>
      <c r="X263" s="457"/>
      <c r="Y263" s="457">
        <v>0</v>
      </c>
      <c r="Z263" s="457">
        <v>0</v>
      </c>
      <c r="AA263" s="457">
        <v>0</v>
      </c>
      <c r="AB263" s="457"/>
      <c r="AC263" s="457"/>
      <c r="AD263" s="457"/>
      <c r="AE263" s="457">
        <f t="shared" si="13"/>
        <v>0</v>
      </c>
      <c r="AF263" s="456"/>
      <c r="AG263" s="471">
        <f>+(AE263/L263)</f>
        <v>0</v>
      </c>
      <c r="AH263" s="462">
        <f t="shared" si="14"/>
        <v>0</v>
      </c>
      <c r="AI263" s="456"/>
      <c r="AJ263" s="456"/>
      <c r="AK263" s="456"/>
      <c r="AL263" s="456"/>
      <c r="AM263" s="456"/>
      <c r="AN263" s="456"/>
      <c r="AO263" s="456"/>
      <c r="AP263" s="456"/>
      <c r="AQ263" s="456"/>
      <c r="AR263" s="456"/>
      <c r="AS263" s="456"/>
      <c r="AT263" s="456"/>
    </row>
    <row r="264" spans="1:46" ht="72.75" customHeight="1" x14ac:dyDescent="0.2">
      <c r="A264" s="729"/>
      <c r="B264" s="727"/>
      <c r="C264" s="711"/>
      <c r="D264" s="708"/>
      <c r="E264" s="708"/>
      <c r="F264" s="708"/>
      <c r="G264" s="724"/>
      <c r="H264" s="724"/>
      <c r="I264" s="709"/>
      <c r="J264" s="480"/>
      <c r="K264" s="480"/>
      <c r="L264" s="480"/>
      <c r="M264" s="480"/>
      <c r="N264" s="480"/>
      <c r="O264" s="456"/>
      <c r="P264" s="456"/>
      <c r="Q264" s="456"/>
      <c r="R264" s="456"/>
      <c r="S264" s="456"/>
      <c r="T264" s="456"/>
      <c r="U264" s="456"/>
      <c r="V264" s="456"/>
      <c r="W264" s="456"/>
      <c r="X264" s="456"/>
      <c r="Y264" s="456"/>
      <c r="Z264" s="456"/>
      <c r="AA264" s="456"/>
      <c r="AB264" s="456"/>
      <c r="AC264" s="456"/>
      <c r="AD264" s="456"/>
      <c r="AE264" s="457"/>
      <c r="AF264" s="456"/>
      <c r="AG264" s="498">
        <f>AVERAGE(AG261:AG263)</f>
        <v>0.53259259259259262</v>
      </c>
      <c r="AH264" s="462">
        <f t="shared" si="14"/>
        <v>0.53259259259259262</v>
      </c>
      <c r="AI264" s="456"/>
      <c r="AJ264" s="456"/>
      <c r="AK264" s="456"/>
      <c r="AL264" s="456"/>
      <c r="AM264" s="456"/>
      <c r="AN264" s="456"/>
      <c r="AO264" s="456"/>
      <c r="AP264" s="456"/>
      <c r="AQ264" s="456"/>
      <c r="AR264" s="456"/>
      <c r="AS264" s="456"/>
      <c r="AT264" s="456"/>
    </row>
    <row r="265" spans="1:46" ht="69" customHeight="1" x14ac:dyDescent="0.2">
      <c r="A265" s="729"/>
      <c r="B265" s="727"/>
      <c r="C265" s="711"/>
      <c r="D265" s="708"/>
      <c r="E265" s="708"/>
      <c r="F265" s="708"/>
      <c r="G265" s="724"/>
      <c r="H265" s="724"/>
      <c r="I265" s="716" t="s">
        <v>1384</v>
      </c>
      <c r="J265" s="480" t="s">
        <v>1382</v>
      </c>
      <c r="K265" s="480" t="s">
        <v>1383</v>
      </c>
      <c r="L265" s="480">
        <v>4000</v>
      </c>
      <c r="M265" s="480">
        <v>18000</v>
      </c>
      <c r="N265" s="480"/>
      <c r="O265" s="456"/>
      <c r="P265" s="457">
        <v>650</v>
      </c>
      <c r="Q265" s="457"/>
      <c r="R265" s="457">
        <v>100</v>
      </c>
      <c r="S265" s="457">
        <v>586</v>
      </c>
      <c r="T265" s="457">
        <v>136</v>
      </c>
      <c r="U265" s="457">
        <v>1033</v>
      </c>
      <c r="V265" s="457"/>
      <c r="W265" s="457">
        <v>454</v>
      </c>
      <c r="X265" s="457"/>
      <c r="Y265" s="457">
        <v>381</v>
      </c>
      <c r="Z265" s="457">
        <v>0</v>
      </c>
      <c r="AA265" s="457">
        <v>191</v>
      </c>
      <c r="AB265" s="457"/>
      <c r="AC265" s="457"/>
      <c r="AD265" s="457"/>
      <c r="AE265" s="457">
        <f>+SUM(N265:AC265)</f>
        <v>3531</v>
      </c>
      <c r="AF265" s="456"/>
      <c r="AG265" s="471">
        <f>+(AE265/L265)</f>
        <v>0.88275000000000003</v>
      </c>
      <c r="AH265" s="462">
        <f t="shared" si="14"/>
        <v>0.88275000000000003</v>
      </c>
      <c r="AI265" s="456"/>
      <c r="AJ265" s="456"/>
      <c r="AK265" s="456"/>
      <c r="AL265" s="456"/>
      <c r="AM265" s="456"/>
      <c r="AN265" s="456"/>
      <c r="AO265" s="456"/>
      <c r="AP265" s="456"/>
      <c r="AQ265" s="456"/>
      <c r="AR265" s="456"/>
      <c r="AS265" s="456"/>
      <c r="AT265" s="456"/>
    </row>
    <row r="266" spans="1:46" ht="69" customHeight="1" x14ac:dyDescent="0.2">
      <c r="A266" s="729"/>
      <c r="B266" s="727"/>
      <c r="C266" s="711"/>
      <c r="D266" s="708"/>
      <c r="E266" s="708"/>
      <c r="F266" s="708"/>
      <c r="G266" s="724"/>
      <c r="H266" s="724"/>
      <c r="I266" s="717"/>
      <c r="J266" s="480"/>
      <c r="K266" s="480"/>
      <c r="L266" s="480"/>
      <c r="M266" s="478"/>
      <c r="N266" s="478"/>
      <c r="O266" s="456"/>
      <c r="P266" s="456"/>
      <c r="Q266" s="456"/>
      <c r="R266" s="456"/>
      <c r="S266" s="456"/>
      <c r="T266" s="456"/>
      <c r="U266" s="456"/>
      <c r="V266" s="456"/>
      <c r="W266" s="456"/>
      <c r="X266" s="567"/>
      <c r="Y266" s="456"/>
      <c r="Z266" s="456"/>
      <c r="AA266" s="456"/>
      <c r="AB266" s="456"/>
      <c r="AC266" s="456"/>
      <c r="AD266" s="456"/>
      <c r="AE266" s="457"/>
      <c r="AF266" s="456"/>
      <c r="AG266" s="498">
        <f>+AG265</f>
        <v>0.88275000000000003</v>
      </c>
      <c r="AH266" s="462">
        <f t="shared" si="14"/>
        <v>0.88275000000000003</v>
      </c>
      <c r="AI266" s="456"/>
      <c r="AJ266" s="456"/>
      <c r="AK266" s="456"/>
      <c r="AL266" s="456"/>
      <c r="AM266" s="456"/>
      <c r="AN266" s="456"/>
      <c r="AO266" s="456"/>
      <c r="AP266" s="456"/>
      <c r="AQ266" s="456"/>
      <c r="AR266" s="456"/>
      <c r="AS266" s="456"/>
      <c r="AT266" s="456"/>
    </row>
    <row r="267" spans="1:46" ht="91.5" customHeight="1" x14ac:dyDescent="0.25">
      <c r="A267" s="729"/>
      <c r="B267" s="727"/>
      <c r="C267" s="711"/>
      <c r="D267" s="709"/>
      <c r="E267" s="709"/>
      <c r="F267" s="709"/>
      <c r="G267" s="725"/>
      <c r="H267" s="725"/>
      <c r="I267" s="544"/>
      <c r="J267" s="480"/>
      <c r="K267" s="480"/>
      <c r="L267" s="480"/>
      <c r="M267" s="478"/>
      <c r="N267" s="478"/>
      <c r="O267" s="456"/>
      <c r="P267" s="456"/>
      <c r="Q267" s="456"/>
      <c r="R267" s="456"/>
      <c r="S267" s="456"/>
      <c r="T267" s="456"/>
      <c r="U267" s="456"/>
      <c r="V267" s="456"/>
      <c r="W267" s="456"/>
      <c r="X267" s="456"/>
      <c r="Y267" s="456"/>
      <c r="Z267" s="456"/>
      <c r="AA267" s="456"/>
      <c r="AB267" s="456"/>
      <c r="AC267" s="456"/>
      <c r="AD267" s="456"/>
      <c r="AE267" s="457"/>
      <c r="AF267" s="456"/>
      <c r="AG267" s="479">
        <f>+(AG260+AG264+AG266)/3</f>
        <v>0.63237345679012347</v>
      </c>
      <c r="AH267" s="462">
        <f t="shared" si="14"/>
        <v>0.63237345679012347</v>
      </c>
      <c r="AI267" s="456"/>
      <c r="AJ267" s="456"/>
      <c r="AK267" s="456"/>
      <c r="AL267" s="456"/>
      <c r="AM267" s="456"/>
      <c r="AN267" s="456"/>
      <c r="AO267" s="456"/>
      <c r="AP267" s="456"/>
      <c r="AQ267" s="456"/>
      <c r="AR267" s="456"/>
      <c r="AS267" s="456"/>
      <c r="AT267" s="456"/>
    </row>
    <row r="268" spans="1:46" ht="157.5" x14ac:dyDescent="0.2">
      <c r="A268" s="729"/>
      <c r="B268" s="727"/>
      <c r="C268" s="711"/>
      <c r="D268" s="713" t="s">
        <v>1385</v>
      </c>
      <c r="E268" s="707" t="s">
        <v>1387</v>
      </c>
      <c r="F268" s="707" t="s">
        <v>1386</v>
      </c>
      <c r="G268" s="719">
        <v>1</v>
      </c>
      <c r="H268" s="707" t="s">
        <v>956</v>
      </c>
      <c r="I268" s="707" t="s">
        <v>1428</v>
      </c>
      <c r="J268" s="480" t="s">
        <v>1388</v>
      </c>
      <c r="K268" s="480" t="s">
        <v>1389</v>
      </c>
      <c r="L268" s="465">
        <v>4</v>
      </c>
      <c r="M268" s="478">
        <v>1</v>
      </c>
      <c r="N268" s="478"/>
      <c r="O268" s="456"/>
      <c r="P268" s="457">
        <v>1</v>
      </c>
      <c r="Q268" s="457"/>
      <c r="R268" s="457"/>
      <c r="S268" s="457">
        <v>1</v>
      </c>
      <c r="T268" s="457"/>
      <c r="U268" s="457"/>
      <c r="V268" s="457"/>
      <c r="W268" s="457"/>
      <c r="X268" s="457">
        <v>1</v>
      </c>
      <c r="Y268" s="457"/>
      <c r="Z268" s="457"/>
      <c r="AA268" s="457"/>
      <c r="AB268" s="457"/>
      <c r="AC268" s="457"/>
      <c r="AD268" s="457"/>
      <c r="AE268" s="457">
        <f t="shared" si="13"/>
        <v>3</v>
      </c>
      <c r="AF268" s="456"/>
      <c r="AG268" s="488">
        <f t="shared" ref="AG268:AG287" si="15">+(AE268/L268)</f>
        <v>0.75</v>
      </c>
      <c r="AH268" s="462">
        <f t="shared" si="14"/>
        <v>0.75</v>
      </c>
      <c r="AI268" s="456"/>
      <c r="AJ268" s="456"/>
      <c r="AK268" s="456"/>
      <c r="AL268" s="456"/>
      <c r="AM268" s="456"/>
      <c r="AN268" s="456"/>
      <c r="AO268" s="456"/>
      <c r="AP268" s="456"/>
      <c r="AQ268" s="456"/>
      <c r="AR268" s="456"/>
      <c r="AS268" s="456"/>
      <c r="AT268" s="456"/>
    </row>
    <row r="269" spans="1:46" ht="123.75" x14ac:dyDescent="0.2">
      <c r="A269" s="729"/>
      <c r="B269" s="727"/>
      <c r="C269" s="711"/>
      <c r="D269" s="714"/>
      <c r="E269" s="708"/>
      <c r="F269" s="708"/>
      <c r="G269" s="720"/>
      <c r="H269" s="708"/>
      <c r="I269" s="708"/>
      <c r="J269" s="476" t="s">
        <v>1390</v>
      </c>
      <c r="K269" s="480" t="s">
        <v>1391</v>
      </c>
      <c r="L269" s="457">
        <v>1</v>
      </c>
      <c r="M269" s="457">
        <v>0</v>
      </c>
      <c r="N269" s="457"/>
      <c r="O269" s="456"/>
      <c r="P269" s="457">
        <v>0</v>
      </c>
      <c r="Q269" s="457"/>
      <c r="R269" s="457"/>
      <c r="S269" s="457">
        <v>1</v>
      </c>
      <c r="T269" s="457"/>
      <c r="U269" s="457"/>
      <c r="V269" s="457"/>
      <c r="W269" s="457"/>
      <c r="X269" s="457"/>
      <c r="Y269" s="457"/>
      <c r="Z269" s="457"/>
      <c r="AA269" s="457"/>
      <c r="AB269" s="457"/>
      <c r="AC269" s="457"/>
      <c r="AD269" s="457"/>
      <c r="AE269" s="457">
        <f t="shared" si="13"/>
        <v>1</v>
      </c>
      <c r="AF269" s="456"/>
      <c r="AG269" s="488">
        <f t="shared" si="15"/>
        <v>1</v>
      </c>
      <c r="AH269" s="462">
        <f t="shared" si="14"/>
        <v>1</v>
      </c>
      <c r="AI269" s="456"/>
      <c r="AJ269" s="790">
        <f>316400000+100000000+1439641929+180000000</f>
        <v>2036041929</v>
      </c>
      <c r="AL269" s="456"/>
      <c r="AM269" s="456"/>
      <c r="AN269" s="456"/>
      <c r="AO269" s="456"/>
      <c r="AP269" s="456"/>
      <c r="AQ269" s="456"/>
      <c r="AR269" s="456"/>
      <c r="AS269" s="790">
        <f>296400000+57500000+178600000+81200000</f>
        <v>613700000</v>
      </c>
      <c r="AT269" s="523">
        <f>+AS269/AJ269</f>
        <v>0.30141815414450635</v>
      </c>
    </row>
    <row r="270" spans="1:46" ht="101.25" x14ac:dyDescent="0.2">
      <c r="A270" s="729"/>
      <c r="B270" s="727"/>
      <c r="C270" s="711"/>
      <c r="D270" s="714"/>
      <c r="E270" s="708"/>
      <c r="F270" s="708"/>
      <c r="G270" s="720"/>
      <c r="H270" s="708"/>
      <c r="I270" s="708"/>
      <c r="J270" s="485" t="s">
        <v>1392</v>
      </c>
      <c r="K270" s="485" t="s">
        <v>1393</v>
      </c>
      <c r="L270" s="465">
        <v>1</v>
      </c>
      <c r="M270" s="465">
        <v>1</v>
      </c>
      <c r="N270" s="465"/>
      <c r="O270" s="456"/>
      <c r="P270" s="457">
        <v>1</v>
      </c>
      <c r="Q270" s="457"/>
      <c r="R270" s="457"/>
      <c r="S270" s="457">
        <v>0</v>
      </c>
      <c r="T270" s="457"/>
      <c r="U270" s="457"/>
      <c r="V270" s="457"/>
      <c r="W270" s="457"/>
      <c r="X270" s="457"/>
      <c r="Y270" s="457"/>
      <c r="Z270" s="457"/>
      <c r="AA270" s="457"/>
      <c r="AB270" s="457"/>
      <c r="AC270" s="457"/>
      <c r="AD270" s="457"/>
      <c r="AE270" s="457">
        <f t="shared" si="13"/>
        <v>1</v>
      </c>
      <c r="AF270" s="456"/>
      <c r="AG270" s="488">
        <f t="shared" si="15"/>
        <v>1</v>
      </c>
      <c r="AH270" s="462">
        <f t="shared" si="14"/>
        <v>1</v>
      </c>
      <c r="AI270" s="456"/>
      <c r="AJ270" s="792"/>
      <c r="AK270" s="456"/>
      <c r="AL270" s="456"/>
      <c r="AM270" s="456"/>
      <c r="AN270" s="456"/>
      <c r="AO270" s="456"/>
      <c r="AP270" s="456"/>
      <c r="AQ270" s="456"/>
      <c r="AR270" s="456"/>
      <c r="AS270" s="792"/>
      <c r="AT270" s="775"/>
    </row>
    <row r="271" spans="1:46" ht="45" x14ac:dyDescent="0.2">
      <c r="A271" s="729"/>
      <c r="B271" s="727"/>
      <c r="C271" s="711"/>
      <c r="D271" s="714"/>
      <c r="E271" s="708"/>
      <c r="F271" s="708"/>
      <c r="G271" s="720"/>
      <c r="H271" s="708"/>
      <c r="I271" s="708"/>
      <c r="J271" s="485" t="s">
        <v>1394</v>
      </c>
      <c r="K271" s="485" t="s">
        <v>1395</v>
      </c>
      <c r="L271" s="465">
        <v>3</v>
      </c>
      <c r="M271" s="465">
        <v>0</v>
      </c>
      <c r="N271" s="465"/>
      <c r="O271" s="456"/>
      <c r="P271" s="457">
        <v>3</v>
      </c>
      <c r="Q271" s="457"/>
      <c r="R271" s="457"/>
      <c r="S271" s="457">
        <v>5</v>
      </c>
      <c r="T271" s="457"/>
      <c r="U271" s="457"/>
      <c r="V271" s="457"/>
      <c r="W271" s="457"/>
      <c r="X271" s="457"/>
      <c r="Y271" s="457"/>
      <c r="Z271" s="457"/>
      <c r="AA271" s="457"/>
      <c r="AB271" s="457"/>
      <c r="AC271" s="457"/>
      <c r="AD271" s="457"/>
      <c r="AE271" s="457">
        <f t="shared" si="13"/>
        <v>8</v>
      </c>
      <c r="AF271" s="456"/>
      <c r="AG271" s="488">
        <v>1</v>
      </c>
      <c r="AH271" s="462">
        <f t="shared" si="14"/>
        <v>1</v>
      </c>
      <c r="AI271" s="456"/>
      <c r="AJ271" s="792"/>
      <c r="AK271" s="456"/>
      <c r="AL271" s="456"/>
      <c r="AM271" s="456"/>
      <c r="AN271" s="456"/>
      <c r="AO271" s="456"/>
      <c r="AP271" s="456"/>
      <c r="AQ271" s="456"/>
      <c r="AR271" s="456"/>
      <c r="AS271" s="792"/>
      <c r="AT271" s="776"/>
    </row>
    <row r="272" spans="1:46" ht="90" x14ac:dyDescent="0.2">
      <c r="A272" s="729"/>
      <c r="B272" s="727"/>
      <c r="C272" s="711"/>
      <c r="D272" s="714"/>
      <c r="E272" s="708"/>
      <c r="F272" s="708"/>
      <c r="G272" s="720"/>
      <c r="H272" s="708"/>
      <c r="I272" s="708"/>
      <c r="J272" s="476" t="s">
        <v>1424</v>
      </c>
      <c r="K272" s="483" t="s">
        <v>1425</v>
      </c>
      <c r="L272" s="519">
        <v>1</v>
      </c>
      <c r="M272" s="519">
        <v>0</v>
      </c>
      <c r="N272" s="519"/>
      <c r="O272" s="456"/>
      <c r="P272" s="457">
        <v>0</v>
      </c>
      <c r="Q272" s="457"/>
      <c r="R272" s="457">
        <v>0</v>
      </c>
      <c r="S272" s="457">
        <v>0</v>
      </c>
      <c r="T272" s="457"/>
      <c r="U272" s="457"/>
      <c r="V272" s="457"/>
      <c r="W272" s="457"/>
      <c r="X272" s="457"/>
      <c r="Y272" s="457"/>
      <c r="Z272" s="457"/>
      <c r="AA272" s="457"/>
      <c r="AB272" s="457"/>
      <c r="AC272" s="457"/>
      <c r="AD272" s="457"/>
      <c r="AE272" s="457">
        <f t="shared" si="13"/>
        <v>0</v>
      </c>
      <c r="AF272" s="456"/>
      <c r="AG272" s="488">
        <f t="shared" si="15"/>
        <v>0</v>
      </c>
      <c r="AH272" s="462">
        <f t="shared" si="14"/>
        <v>0</v>
      </c>
      <c r="AI272" s="456"/>
      <c r="AJ272" s="792"/>
      <c r="AK272" s="456"/>
      <c r="AL272" s="456"/>
      <c r="AM272" s="456"/>
      <c r="AN272" s="456"/>
      <c r="AO272" s="456"/>
      <c r="AP272" s="456"/>
      <c r="AQ272" s="456"/>
      <c r="AR272" s="456"/>
      <c r="AS272" s="792"/>
      <c r="AT272" s="776"/>
    </row>
    <row r="273" spans="1:46" ht="67.5" x14ac:dyDescent="0.2">
      <c r="A273" s="729"/>
      <c r="B273" s="727"/>
      <c r="C273" s="711"/>
      <c r="D273" s="714"/>
      <c r="E273" s="708"/>
      <c r="F273" s="708"/>
      <c r="G273" s="720"/>
      <c r="H273" s="708"/>
      <c r="I273" s="708"/>
      <c r="J273" s="476" t="s">
        <v>1426</v>
      </c>
      <c r="K273" s="483" t="s">
        <v>1427</v>
      </c>
      <c r="L273" s="519">
        <v>1</v>
      </c>
      <c r="M273" s="519">
        <v>0</v>
      </c>
      <c r="N273" s="519"/>
      <c r="O273" s="456"/>
      <c r="P273" s="457">
        <v>0</v>
      </c>
      <c r="Q273" s="457"/>
      <c r="R273" s="457"/>
      <c r="S273" s="457">
        <v>0</v>
      </c>
      <c r="T273" s="457"/>
      <c r="U273" s="457"/>
      <c r="V273" s="457"/>
      <c r="W273" s="457"/>
      <c r="X273" s="457"/>
      <c r="Y273" s="457"/>
      <c r="Z273" s="457"/>
      <c r="AA273" s="457"/>
      <c r="AB273" s="457"/>
      <c r="AC273" s="457"/>
      <c r="AD273" s="457"/>
      <c r="AE273" s="457">
        <f t="shared" si="13"/>
        <v>0</v>
      </c>
      <c r="AF273" s="456"/>
      <c r="AG273" s="488">
        <f t="shared" si="15"/>
        <v>0</v>
      </c>
      <c r="AH273" s="462">
        <f t="shared" si="14"/>
        <v>0</v>
      </c>
      <c r="AI273" s="456"/>
      <c r="AJ273" s="792"/>
      <c r="AK273" s="456"/>
      <c r="AL273" s="456"/>
      <c r="AM273" s="456"/>
      <c r="AN273" s="456"/>
      <c r="AO273" s="456"/>
      <c r="AP273" s="456"/>
      <c r="AQ273" s="456"/>
      <c r="AR273" s="456"/>
      <c r="AS273" s="792"/>
      <c r="AT273" s="776"/>
    </row>
    <row r="274" spans="1:46" ht="56.25" x14ac:dyDescent="0.2">
      <c r="A274" s="729"/>
      <c r="B274" s="727"/>
      <c r="C274" s="711"/>
      <c r="D274" s="714"/>
      <c r="E274" s="708"/>
      <c r="F274" s="708"/>
      <c r="G274" s="720"/>
      <c r="H274" s="708"/>
      <c r="I274" s="708"/>
      <c r="J274" s="485" t="s">
        <v>1396</v>
      </c>
      <c r="K274" s="480" t="s">
        <v>1397</v>
      </c>
      <c r="L274" s="480">
        <v>3</v>
      </c>
      <c r="M274" s="480">
        <v>0</v>
      </c>
      <c r="N274" s="480"/>
      <c r="O274" s="456"/>
      <c r="P274" s="457">
        <v>0</v>
      </c>
      <c r="Q274" s="457"/>
      <c r="R274" s="457"/>
      <c r="S274" s="457">
        <v>4</v>
      </c>
      <c r="T274" s="457"/>
      <c r="U274" s="457"/>
      <c r="V274" s="457"/>
      <c r="W274" s="457"/>
      <c r="X274" s="457"/>
      <c r="Y274" s="457"/>
      <c r="Z274" s="457"/>
      <c r="AA274" s="457"/>
      <c r="AB274" s="457"/>
      <c r="AC274" s="457"/>
      <c r="AD274" s="457"/>
      <c r="AE274" s="457">
        <f t="shared" si="13"/>
        <v>4</v>
      </c>
      <c r="AF274" s="456"/>
      <c r="AG274" s="488">
        <v>1</v>
      </c>
      <c r="AH274" s="462">
        <f t="shared" si="14"/>
        <v>1</v>
      </c>
      <c r="AI274" s="456"/>
      <c r="AJ274" s="792"/>
      <c r="AK274" s="456"/>
      <c r="AL274" s="456"/>
      <c r="AM274" s="456"/>
      <c r="AN274" s="456"/>
      <c r="AO274" s="456"/>
      <c r="AP274" s="456"/>
      <c r="AQ274" s="456"/>
      <c r="AR274" s="456"/>
      <c r="AS274" s="792"/>
      <c r="AT274" s="776"/>
    </row>
    <row r="275" spans="1:46" ht="67.5" x14ac:dyDescent="0.2">
      <c r="A275" s="729"/>
      <c r="B275" s="727"/>
      <c r="C275" s="711"/>
      <c r="D275" s="714"/>
      <c r="E275" s="708"/>
      <c r="F275" s="708"/>
      <c r="G275" s="720"/>
      <c r="H275" s="708"/>
      <c r="I275" s="708"/>
      <c r="J275" s="485" t="s">
        <v>1398</v>
      </c>
      <c r="K275" s="480" t="s">
        <v>1399</v>
      </c>
      <c r="L275" s="480">
        <v>5</v>
      </c>
      <c r="M275" s="480">
        <v>0</v>
      </c>
      <c r="N275" s="480"/>
      <c r="O275" s="456"/>
      <c r="P275" s="457">
        <v>0</v>
      </c>
      <c r="Q275" s="457"/>
      <c r="R275" s="457"/>
      <c r="S275" s="457">
        <v>0</v>
      </c>
      <c r="T275" s="457"/>
      <c r="U275" s="457"/>
      <c r="V275" s="457"/>
      <c r="W275" s="457"/>
      <c r="X275" s="457"/>
      <c r="Y275" s="457"/>
      <c r="Z275" s="457"/>
      <c r="AA275" s="457"/>
      <c r="AB275" s="457"/>
      <c r="AC275" s="457"/>
      <c r="AD275" s="457"/>
      <c r="AE275" s="457">
        <f t="shared" si="13"/>
        <v>0</v>
      </c>
      <c r="AF275" s="456"/>
      <c r="AG275" s="488">
        <f t="shared" si="15"/>
        <v>0</v>
      </c>
      <c r="AH275" s="462">
        <f t="shared" si="14"/>
        <v>0</v>
      </c>
      <c r="AI275" s="456"/>
      <c r="AJ275" s="792"/>
      <c r="AK275" s="456"/>
      <c r="AL275" s="456"/>
      <c r="AM275" s="456"/>
      <c r="AN275" s="456"/>
      <c r="AO275" s="456"/>
      <c r="AP275" s="456"/>
      <c r="AQ275" s="456"/>
      <c r="AR275" s="456"/>
      <c r="AS275" s="792"/>
      <c r="AT275" s="776"/>
    </row>
    <row r="276" spans="1:46" ht="90" x14ac:dyDescent="0.2">
      <c r="A276" s="729"/>
      <c r="B276" s="727"/>
      <c r="C276" s="711"/>
      <c r="D276" s="714"/>
      <c r="E276" s="708"/>
      <c r="F276" s="708"/>
      <c r="G276" s="720"/>
      <c r="H276" s="708"/>
      <c r="I276" s="708"/>
      <c r="J276" s="485" t="s">
        <v>1400</v>
      </c>
      <c r="K276" s="480" t="s">
        <v>1401</v>
      </c>
      <c r="L276" s="480">
        <v>1</v>
      </c>
      <c r="M276" s="480">
        <v>0</v>
      </c>
      <c r="N276" s="480"/>
      <c r="O276" s="456"/>
      <c r="P276" s="457">
        <v>0</v>
      </c>
      <c r="Q276" s="457"/>
      <c r="R276" s="457"/>
      <c r="S276" s="457">
        <v>2</v>
      </c>
      <c r="T276" s="457"/>
      <c r="U276" s="457"/>
      <c r="V276" s="457"/>
      <c r="W276" s="457"/>
      <c r="X276" s="457"/>
      <c r="Y276" s="457"/>
      <c r="Z276" s="457"/>
      <c r="AA276" s="457"/>
      <c r="AB276" s="457"/>
      <c r="AC276" s="457"/>
      <c r="AD276" s="457"/>
      <c r="AE276" s="457">
        <f t="shared" si="13"/>
        <v>2</v>
      </c>
      <c r="AF276" s="456"/>
      <c r="AG276" s="488">
        <v>1</v>
      </c>
      <c r="AH276" s="462">
        <f t="shared" si="14"/>
        <v>1</v>
      </c>
      <c r="AI276" s="456"/>
      <c r="AJ276" s="792"/>
      <c r="AK276" s="456"/>
      <c r="AL276" s="456"/>
      <c r="AM276" s="456"/>
      <c r="AN276" s="456"/>
      <c r="AO276" s="456"/>
      <c r="AP276" s="456"/>
      <c r="AQ276" s="456"/>
      <c r="AR276" s="456"/>
      <c r="AS276" s="792"/>
      <c r="AT276" s="776"/>
    </row>
    <row r="277" spans="1:46" ht="123.75" x14ac:dyDescent="0.2">
      <c r="A277" s="729"/>
      <c r="B277" s="727"/>
      <c r="C277" s="711"/>
      <c r="D277" s="714"/>
      <c r="E277" s="708"/>
      <c r="F277" s="708"/>
      <c r="G277" s="720"/>
      <c r="H277" s="708"/>
      <c r="I277" s="708"/>
      <c r="J277" s="485" t="s">
        <v>1402</v>
      </c>
      <c r="K277" s="480" t="s">
        <v>1403</v>
      </c>
      <c r="L277" s="480">
        <v>773</v>
      </c>
      <c r="M277" s="480">
        <v>1931</v>
      </c>
      <c r="N277" s="480"/>
      <c r="O277" s="456"/>
      <c r="P277" s="457">
        <v>0</v>
      </c>
      <c r="Q277" s="457"/>
      <c r="R277" s="457"/>
      <c r="S277" s="457">
        <v>0</v>
      </c>
      <c r="T277" s="457"/>
      <c r="U277" s="457"/>
      <c r="V277" s="457"/>
      <c r="W277" s="457"/>
      <c r="X277" s="457"/>
      <c r="Y277" s="457"/>
      <c r="Z277" s="457"/>
      <c r="AA277" s="457"/>
      <c r="AB277" s="457"/>
      <c r="AC277" s="457"/>
      <c r="AD277" s="457"/>
      <c r="AE277" s="457">
        <f t="shared" si="13"/>
        <v>0</v>
      </c>
      <c r="AF277" s="456"/>
      <c r="AG277" s="488">
        <f t="shared" si="15"/>
        <v>0</v>
      </c>
      <c r="AH277" s="462">
        <f t="shared" si="14"/>
        <v>0</v>
      </c>
      <c r="AI277" s="456"/>
      <c r="AJ277" s="792"/>
      <c r="AK277" s="456"/>
      <c r="AL277" s="456"/>
      <c r="AM277" s="456"/>
      <c r="AN277" s="456"/>
      <c r="AO277" s="456"/>
      <c r="AP277" s="456"/>
      <c r="AQ277" s="456"/>
      <c r="AR277" s="456"/>
      <c r="AS277" s="792"/>
      <c r="AT277" s="776"/>
    </row>
    <row r="278" spans="1:46" ht="56.25" x14ac:dyDescent="0.2">
      <c r="A278" s="729"/>
      <c r="B278" s="727"/>
      <c r="C278" s="711"/>
      <c r="D278" s="714"/>
      <c r="E278" s="708"/>
      <c r="F278" s="708"/>
      <c r="G278" s="720"/>
      <c r="H278" s="708"/>
      <c r="I278" s="708"/>
      <c r="J278" s="485" t="s">
        <v>1404</v>
      </c>
      <c r="K278" s="480" t="s">
        <v>1405</v>
      </c>
      <c r="L278" s="480">
        <v>1</v>
      </c>
      <c r="M278" s="480">
        <v>0</v>
      </c>
      <c r="N278" s="480"/>
      <c r="O278" s="456"/>
      <c r="P278" s="457">
        <v>0</v>
      </c>
      <c r="Q278" s="457"/>
      <c r="R278" s="457"/>
      <c r="S278" s="457">
        <v>0</v>
      </c>
      <c r="T278" s="457"/>
      <c r="U278" s="457"/>
      <c r="V278" s="457"/>
      <c r="W278" s="457"/>
      <c r="X278" s="457"/>
      <c r="Y278" s="457"/>
      <c r="Z278" s="457"/>
      <c r="AA278" s="457"/>
      <c r="AB278" s="457"/>
      <c r="AC278" s="457"/>
      <c r="AD278" s="457"/>
      <c r="AE278" s="457">
        <f t="shared" si="13"/>
        <v>0</v>
      </c>
      <c r="AF278" s="456"/>
      <c r="AG278" s="488">
        <f t="shared" si="15"/>
        <v>0</v>
      </c>
      <c r="AH278" s="462">
        <f t="shared" si="14"/>
        <v>0</v>
      </c>
      <c r="AI278" s="456"/>
      <c r="AJ278" s="792"/>
      <c r="AK278" s="456"/>
      <c r="AL278" s="456"/>
      <c r="AM278" s="456"/>
      <c r="AN278" s="456"/>
      <c r="AO278" s="456"/>
      <c r="AP278" s="456"/>
      <c r="AQ278" s="456"/>
      <c r="AR278" s="456"/>
      <c r="AS278" s="792"/>
      <c r="AT278" s="776"/>
    </row>
    <row r="279" spans="1:46" ht="45" x14ac:dyDescent="0.2">
      <c r="A279" s="729"/>
      <c r="B279" s="727"/>
      <c r="C279" s="711"/>
      <c r="D279" s="714"/>
      <c r="E279" s="708"/>
      <c r="F279" s="708"/>
      <c r="G279" s="720"/>
      <c r="H279" s="708"/>
      <c r="I279" s="708"/>
      <c r="J279" s="485" t="s">
        <v>1406</v>
      </c>
      <c r="K279" s="480" t="s">
        <v>1407</v>
      </c>
      <c r="L279" s="480">
        <v>1</v>
      </c>
      <c r="M279" s="480">
        <v>1</v>
      </c>
      <c r="N279" s="480"/>
      <c r="O279" s="456"/>
      <c r="P279" s="457">
        <v>0</v>
      </c>
      <c r="Q279" s="457"/>
      <c r="R279" s="457"/>
      <c r="S279" s="457">
        <v>0</v>
      </c>
      <c r="T279" s="457"/>
      <c r="U279" s="457"/>
      <c r="V279" s="457"/>
      <c r="W279" s="457"/>
      <c r="X279" s="457">
        <v>1</v>
      </c>
      <c r="Y279" s="457"/>
      <c r="Z279" s="457"/>
      <c r="AA279" s="457"/>
      <c r="AB279" s="457"/>
      <c r="AC279" s="457"/>
      <c r="AD279" s="457"/>
      <c r="AE279" s="457">
        <f t="shared" si="13"/>
        <v>1</v>
      </c>
      <c r="AF279" s="456"/>
      <c r="AG279" s="488">
        <f t="shared" si="15"/>
        <v>1</v>
      </c>
      <c r="AH279" s="462">
        <f t="shared" si="14"/>
        <v>1</v>
      </c>
      <c r="AI279" s="456"/>
      <c r="AJ279" s="792"/>
      <c r="AK279" s="456"/>
      <c r="AL279" s="456"/>
      <c r="AM279" s="456"/>
      <c r="AN279" s="456"/>
      <c r="AO279" s="456"/>
      <c r="AP279" s="456"/>
      <c r="AQ279" s="456"/>
      <c r="AR279" s="456"/>
      <c r="AS279" s="792"/>
      <c r="AT279" s="776"/>
    </row>
    <row r="280" spans="1:46" ht="78.75" x14ac:dyDescent="0.2">
      <c r="A280" s="729"/>
      <c r="B280" s="727"/>
      <c r="C280" s="711"/>
      <c r="D280" s="714"/>
      <c r="E280" s="708"/>
      <c r="F280" s="708"/>
      <c r="G280" s="720"/>
      <c r="H280" s="708"/>
      <c r="I280" s="708"/>
      <c r="J280" s="485" t="s">
        <v>1408</v>
      </c>
      <c r="K280" s="480" t="s">
        <v>1409</v>
      </c>
      <c r="L280" s="480">
        <v>1</v>
      </c>
      <c r="M280" s="480">
        <v>0</v>
      </c>
      <c r="N280" s="480"/>
      <c r="O280" s="456"/>
      <c r="P280" s="457">
        <v>0</v>
      </c>
      <c r="Q280" s="457"/>
      <c r="R280" s="457"/>
      <c r="S280" s="457">
        <v>0</v>
      </c>
      <c r="T280" s="457"/>
      <c r="U280" s="457"/>
      <c r="V280" s="457"/>
      <c r="W280" s="457"/>
      <c r="X280" s="457"/>
      <c r="Y280" s="457"/>
      <c r="Z280" s="457"/>
      <c r="AA280" s="457"/>
      <c r="AB280" s="457"/>
      <c r="AC280" s="457"/>
      <c r="AD280" s="457"/>
      <c r="AE280" s="457">
        <f t="shared" si="13"/>
        <v>0</v>
      </c>
      <c r="AF280" s="456"/>
      <c r="AG280" s="488">
        <f t="shared" si="15"/>
        <v>0</v>
      </c>
      <c r="AH280" s="462">
        <f t="shared" si="14"/>
        <v>0</v>
      </c>
      <c r="AI280" s="456"/>
      <c r="AJ280" s="792"/>
      <c r="AK280" s="456"/>
      <c r="AL280" s="456"/>
      <c r="AM280" s="456"/>
      <c r="AN280" s="456"/>
      <c r="AO280" s="456"/>
      <c r="AP280" s="456"/>
      <c r="AQ280" s="456"/>
      <c r="AR280" s="456"/>
      <c r="AS280" s="792"/>
      <c r="AT280" s="776"/>
    </row>
    <row r="281" spans="1:46" ht="112.5" x14ac:dyDescent="0.2">
      <c r="A281" s="729"/>
      <c r="B281" s="727"/>
      <c r="C281" s="711"/>
      <c r="D281" s="714"/>
      <c r="E281" s="708"/>
      <c r="F281" s="708"/>
      <c r="G281" s="720"/>
      <c r="H281" s="708"/>
      <c r="I281" s="708"/>
      <c r="J281" s="485" t="s">
        <v>1410</v>
      </c>
      <c r="K281" s="480" t="s">
        <v>1411</v>
      </c>
      <c r="L281" s="480">
        <v>1</v>
      </c>
      <c r="M281" s="480">
        <v>0</v>
      </c>
      <c r="N281" s="480"/>
      <c r="O281" s="456"/>
      <c r="P281" s="457">
        <v>0</v>
      </c>
      <c r="Q281" s="457"/>
      <c r="R281" s="457"/>
      <c r="S281" s="457">
        <v>0</v>
      </c>
      <c r="T281" s="457"/>
      <c r="U281" s="457"/>
      <c r="V281" s="457"/>
      <c r="W281" s="457"/>
      <c r="X281" s="457"/>
      <c r="Y281" s="457"/>
      <c r="Z281" s="457"/>
      <c r="AA281" s="457"/>
      <c r="AB281" s="457"/>
      <c r="AC281" s="457"/>
      <c r="AD281" s="457"/>
      <c r="AE281" s="457">
        <f t="shared" si="13"/>
        <v>0</v>
      </c>
      <c r="AF281" s="456"/>
      <c r="AG281" s="488">
        <f t="shared" si="15"/>
        <v>0</v>
      </c>
      <c r="AH281" s="462">
        <f t="shared" si="14"/>
        <v>0</v>
      </c>
      <c r="AI281" s="456"/>
      <c r="AJ281" s="792"/>
      <c r="AK281" s="456"/>
      <c r="AL281" s="456"/>
      <c r="AM281" s="456"/>
      <c r="AN281" s="456"/>
      <c r="AO281" s="456"/>
      <c r="AP281" s="456"/>
      <c r="AQ281" s="456"/>
      <c r="AR281" s="456"/>
      <c r="AS281" s="792"/>
      <c r="AT281" s="776"/>
    </row>
    <row r="282" spans="1:46" ht="78.75" x14ac:dyDescent="0.2">
      <c r="A282" s="729"/>
      <c r="B282" s="727"/>
      <c r="C282" s="711"/>
      <c r="D282" s="714"/>
      <c r="E282" s="708"/>
      <c r="F282" s="708"/>
      <c r="G282" s="720"/>
      <c r="H282" s="708"/>
      <c r="I282" s="708"/>
      <c r="J282" s="485" t="s">
        <v>1412</v>
      </c>
      <c r="K282" s="480" t="s">
        <v>1413</v>
      </c>
      <c r="L282" s="480">
        <v>4</v>
      </c>
      <c r="M282" s="480">
        <v>0</v>
      </c>
      <c r="N282" s="480"/>
      <c r="O282" s="456"/>
      <c r="P282" s="457">
        <v>0</v>
      </c>
      <c r="Q282" s="457"/>
      <c r="R282" s="457"/>
      <c r="S282" s="457">
        <v>0</v>
      </c>
      <c r="T282" s="457"/>
      <c r="U282" s="457"/>
      <c r="V282" s="457"/>
      <c r="W282" s="457"/>
      <c r="X282" s="457"/>
      <c r="Y282" s="457"/>
      <c r="Z282" s="457"/>
      <c r="AA282" s="457"/>
      <c r="AB282" s="457"/>
      <c r="AC282" s="457"/>
      <c r="AD282" s="457"/>
      <c r="AE282" s="457">
        <f t="shared" si="13"/>
        <v>0</v>
      </c>
      <c r="AF282" s="456"/>
      <c r="AG282" s="488">
        <f t="shared" si="15"/>
        <v>0</v>
      </c>
      <c r="AH282" s="462">
        <f t="shared" si="14"/>
        <v>0</v>
      </c>
      <c r="AI282" s="456"/>
      <c r="AJ282" s="792"/>
      <c r="AK282" s="456"/>
      <c r="AL282" s="456"/>
      <c r="AM282" s="456"/>
      <c r="AN282" s="456"/>
      <c r="AO282" s="456"/>
      <c r="AP282" s="456"/>
      <c r="AQ282" s="456"/>
      <c r="AR282" s="456"/>
      <c r="AS282" s="792"/>
      <c r="AT282" s="776"/>
    </row>
    <row r="283" spans="1:46" ht="56.25" x14ac:dyDescent="0.2">
      <c r="A283" s="729"/>
      <c r="B283" s="727"/>
      <c r="C283" s="711"/>
      <c r="D283" s="714"/>
      <c r="E283" s="708"/>
      <c r="F283" s="708"/>
      <c r="G283" s="720"/>
      <c r="H283" s="708"/>
      <c r="I283" s="708"/>
      <c r="J283" s="485" t="s">
        <v>1414</v>
      </c>
      <c r="K283" s="480" t="s">
        <v>1415</v>
      </c>
      <c r="L283" s="480">
        <v>1</v>
      </c>
      <c r="M283" s="480">
        <v>0</v>
      </c>
      <c r="N283" s="480"/>
      <c r="O283" s="456"/>
      <c r="P283" s="457">
        <v>0</v>
      </c>
      <c r="Q283" s="457"/>
      <c r="R283" s="457"/>
      <c r="S283" s="457">
        <v>0</v>
      </c>
      <c r="T283" s="457"/>
      <c r="U283" s="457"/>
      <c r="V283" s="457"/>
      <c r="W283" s="457"/>
      <c r="X283" s="457"/>
      <c r="Y283" s="457"/>
      <c r="Z283" s="457"/>
      <c r="AA283" s="457"/>
      <c r="AB283" s="457"/>
      <c r="AC283" s="457"/>
      <c r="AD283" s="457"/>
      <c r="AE283" s="457">
        <f t="shared" ref="AE283:AE311" si="16">+SUM(N283:AC283)</f>
        <v>0</v>
      </c>
      <c r="AF283" s="456"/>
      <c r="AG283" s="488">
        <f t="shared" si="15"/>
        <v>0</v>
      </c>
      <c r="AH283" s="462">
        <f t="shared" si="14"/>
        <v>0</v>
      </c>
      <c r="AI283" s="456"/>
      <c r="AJ283" s="792"/>
      <c r="AK283" s="456"/>
      <c r="AL283" s="456"/>
      <c r="AM283" s="456"/>
      <c r="AN283" s="456"/>
      <c r="AO283" s="456"/>
      <c r="AP283" s="456"/>
      <c r="AQ283" s="456"/>
      <c r="AR283" s="456"/>
      <c r="AS283" s="792"/>
      <c r="AT283" s="776"/>
    </row>
    <row r="284" spans="1:46" ht="45" x14ac:dyDescent="0.2">
      <c r="A284" s="729"/>
      <c r="B284" s="727"/>
      <c r="C284" s="711"/>
      <c r="D284" s="714"/>
      <c r="E284" s="708"/>
      <c r="F284" s="708"/>
      <c r="G284" s="720"/>
      <c r="H284" s="708"/>
      <c r="I284" s="708"/>
      <c r="J284" s="485" t="s">
        <v>1416</v>
      </c>
      <c r="K284" s="480" t="s">
        <v>1417</v>
      </c>
      <c r="L284" s="480">
        <v>1</v>
      </c>
      <c r="M284" s="480">
        <v>0</v>
      </c>
      <c r="N284" s="480"/>
      <c r="O284" s="456"/>
      <c r="P284" s="457">
        <v>0</v>
      </c>
      <c r="Q284" s="457"/>
      <c r="R284" s="457"/>
      <c r="S284" s="457">
        <v>0</v>
      </c>
      <c r="T284" s="457"/>
      <c r="U284" s="457"/>
      <c r="V284" s="457"/>
      <c r="W284" s="457"/>
      <c r="X284" s="457"/>
      <c r="Y284" s="457"/>
      <c r="Z284" s="457"/>
      <c r="AA284" s="457"/>
      <c r="AB284" s="457"/>
      <c r="AC284" s="457"/>
      <c r="AD284" s="457"/>
      <c r="AE284" s="457">
        <f t="shared" si="16"/>
        <v>0</v>
      </c>
      <c r="AF284" s="456"/>
      <c r="AG284" s="488">
        <f t="shared" si="15"/>
        <v>0</v>
      </c>
      <c r="AH284" s="462">
        <f t="shared" si="14"/>
        <v>0</v>
      </c>
      <c r="AI284" s="456"/>
      <c r="AJ284" s="792"/>
      <c r="AK284" s="456"/>
      <c r="AL284" s="456"/>
      <c r="AM284" s="456"/>
      <c r="AN284" s="456"/>
      <c r="AO284" s="456"/>
      <c r="AP284" s="456"/>
      <c r="AQ284" s="456"/>
      <c r="AR284" s="456"/>
      <c r="AS284" s="792"/>
      <c r="AT284" s="776"/>
    </row>
    <row r="285" spans="1:46" ht="45" x14ac:dyDescent="0.2">
      <c r="A285" s="729"/>
      <c r="B285" s="727"/>
      <c r="C285" s="711"/>
      <c r="D285" s="714"/>
      <c r="E285" s="708"/>
      <c r="F285" s="708"/>
      <c r="G285" s="720"/>
      <c r="H285" s="708"/>
      <c r="I285" s="708"/>
      <c r="J285" s="485" t="s">
        <v>1418</v>
      </c>
      <c r="K285" s="480" t="s">
        <v>1419</v>
      </c>
      <c r="L285" s="480">
        <v>24</v>
      </c>
      <c r="M285" s="480">
        <v>0</v>
      </c>
      <c r="N285" s="480"/>
      <c r="O285" s="456"/>
      <c r="P285" s="457">
        <v>0</v>
      </c>
      <c r="Q285" s="457"/>
      <c r="R285" s="457"/>
      <c r="S285" s="457">
        <v>0</v>
      </c>
      <c r="T285" s="457"/>
      <c r="U285" s="457"/>
      <c r="V285" s="457"/>
      <c r="W285" s="457"/>
      <c r="X285" s="545"/>
      <c r="Y285" s="457"/>
      <c r="Z285" s="457"/>
      <c r="AA285" s="457"/>
      <c r="AB285" s="457"/>
      <c r="AC285" s="457"/>
      <c r="AD285" s="457"/>
      <c r="AE285" s="457">
        <f t="shared" si="16"/>
        <v>0</v>
      </c>
      <c r="AF285" s="456"/>
      <c r="AG285" s="488">
        <f t="shared" si="15"/>
        <v>0</v>
      </c>
      <c r="AH285" s="462">
        <f t="shared" si="14"/>
        <v>0</v>
      </c>
      <c r="AI285" s="456"/>
      <c r="AJ285" s="792"/>
      <c r="AK285" s="456"/>
      <c r="AL285" s="456"/>
      <c r="AM285" s="456"/>
      <c r="AN285" s="456"/>
      <c r="AO285" s="456"/>
      <c r="AP285" s="456"/>
      <c r="AQ285" s="456"/>
      <c r="AR285" s="456"/>
      <c r="AS285" s="792"/>
      <c r="AT285" s="776"/>
    </row>
    <row r="286" spans="1:46" ht="56.25" x14ac:dyDescent="0.2">
      <c r="A286" s="729"/>
      <c r="B286" s="727"/>
      <c r="C286" s="711"/>
      <c r="D286" s="714"/>
      <c r="E286" s="708"/>
      <c r="F286" s="708"/>
      <c r="G286" s="720"/>
      <c r="H286" s="708"/>
      <c r="I286" s="708"/>
      <c r="J286" s="485" t="s">
        <v>1420</v>
      </c>
      <c r="K286" s="480" t="s">
        <v>1421</v>
      </c>
      <c r="L286" s="480">
        <v>1</v>
      </c>
      <c r="M286" s="480">
        <v>0</v>
      </c>
      <c r="N286" s="480"/>
      <c r="O286" s="456"/>
      <c r="P286" s="457">
        <v>0</v>
      </c>
      <c r="Q286" s="457"/>
      <c r="R286" s="457"/>
      <c r="S286" s="457">
        <v>0</v>
      </c>
      <c r="T286" s="457"/>
      <c r="U286" s="457"/>
      <c r="V286" s="457"/>
      <c r="W286" s="457"/>
      <c r="X286" s="545"/>
      <c r="Y286" s="457"/>
      <c r="Z286" s="457"/>
      <c r="AA286" s="457"/>
      <c r="AB286" s="457"/>
      <c r="AC286" s="457"/>
      <c r="AD286" s="457"/>
      <c r="AE286" s="457">
        <f t="shared" si="16"/>
        <v>0</v>
      </c>
      <c r="AF286" s="456"/>
      <c r="AG286" s="488">
        <f t="shared" si="15"/>
        <v>0</v>
      </c>
      <c r="AH286" s="462">
        <f t="shared" si="14"/>
        <v>0</v>
      </c>
      <c r="AI286" s="456"/>
      <c r="AJ286" s="792"/>
      <c r="AK286" s="456"/>
      <c r="AL286" s="456"/>
      <c r="AM286" s="456"/>
      <c r="AN286" s="456"/>
      <c r="AO286" s="456"/>
      <c r="AP286" s="456"/>
      <c r="AQ286" s="456"/>
      <c r="AR286" s="456"/>
      <c r="AS286" s="792"/>
      <c r="AT286" s="776"/>
    </row>
    <row r="287" spans="1:46" ht="146.25" x14ac:dyDescent="0.2">
      <c r="A287" s="729"/>
      <c r="B287" s="727"/>
      <c r="C287" s="711"/>
      <c r="D287" s="714"/>
      <c r="E287" s="708"/>
      <c r="F287" s="708"/>
      <c r="G287" s="720"/>
      <c r="H287" s="708"/>
      <c r="I287" s="708"/>
      <c r="J287" s="485" t="s">
        <v>1422</v>
      </c>
      <c r="K287" s="480" t="s">
        <v>1423</v>
      </c>
      <c r="L287" s="480">
        <v>1</v>
      </c>
      <c r="M287" s="480">
        <v>0</v>
      </c>
      <c r="N287" s="480"/>
      <c r="O287" s="456"/>
      <c r="P287" s="457">
        <v>0</v>
      </c>
      <c r="Q287" s="457"/>
      <c r="R287" s="457"/>
      <c r="S287" s="457">
        <v>0</v>
      </c>
      <c r="T287" s="457"/>
      <c r="U287" s="457"/>
      <c r="V287" s="457"/>
      <c r="W287" s="457"/>
      <c r="X287" s="457"/>
      <c r="Y287" s="457"/>
      <c r="Z287" s="457"/>
      <c r="AA287" s="457"/>
      <c r="AB287" s="457"/>
      <c r="AC287" s="457"/>
      <c r="AD287" s="457"/>
      <c r="AE287" s="457">
        <f t="shared" si="16"/>
        <v>0</v>
      </c>
      <c r="AF287" s="456"/>
      <c r="AG287" s="488">
        <f t="shared" si="15"/>
        <v>0</v>
      </c>
      <c r="AH287" s="462">
        <f t="shared" si="14"/>
        <v>0</v>
      </c>
      <c r="AI287" s="456"/>
      <c r="AJ287" s="792"/>
      <c r="AK287" s="456"/>
      <c r="AL287" s="456"/>
      <c r="AM287" s="456"/>
      <c r="AN287" s="456"/>
      <c r="AO287" s="456"/>
      <c r="AP287" s="456"/>
      <c r="AQ287" s="456"/>
      <c r="AR287" s="456"/>
      <c r="AS287" s="792"/>
      <c r="AT287" s="776"/>
    </row>
    <row r="288" spans="1:46" ht="80.25" customHeight="1" x14ac:dyDescent="0.2">
      <c r="A288" s="729"/>
      <c r="B288" s="727"/>
      <c r="C288" s="711"/>
      <c r="D288" s="714"/>
      <c r="E288" s="708"/>
      <c r="F288" s="708"/>
      <c r="G288" s="720"/>
      <c r="H288" s="708"/>
      <c r="I288" s="709"/>
      <c r="J288" s="485"/>
      <c r="K288" s="480"/>
      <c r="L288" s="480"/>
      <c r="M288" s="480"/>
      <c r="N288" s="546"/>
      <c r="O288" s="547"/>
      <c r="P288" s="456"/>
      <c r="Q288" s="456"/>
      <c r="R288" s="456"/>
      <c r="S288" s="456"/>
      <c r="T288" s="456"/>
      <c r="U288" s="456"/>
      <c r="V288" s="456"/>
      <c r="W288" s="456"/>
      <c r="X288" s="456"/>
      <c r="Y288" s="456"/>
      <c r="Z288" s="456"/>
      <c r="AA288" s="456"/>
      <c r="AB288" s="456"/>
      <c r="AC288" s="456"/>
      <c r="AD288" s="456"/>
      <c r="AE288" s="457"/>
      <c r="AF288" s="456"/>
      <c r="AG288" s="548">
        <f>AVERAGE(AG268:AG287)</f>
        <v>0.33750000000000002</v>
      </c>
      <c r="AH288" s="462">
        <f t="shared" si="14"/>
        <v>0.33750000000000002</v>
      </c>
      <c r="AI288" s="456"/>
      <c r="AJ288" s="792"/>
      <c r="AK288" s="456"/>
      <c r="AL288" s="456"/>
      <c r="AM288" s="456"/>
      <c r="AN288" s="456"/>
      <c r="AO288" s="456"/>
      <c r="AP288" s="456"/>
      <c r="AQ288" s="456"/>
      <c r="AR288" s="456"/>
      <c r="AS288" s="792"/>
      <c r="AT288" s="776"/>
    </row>
    <row r="289" spans="1:46" ht="56.25" x14ac:dyDescent="0.2">
      <c r="A289" s="729"/>
      <c r="B289" s="727"/>
      <c r="C289" s="711"/>
      <c r="D289" s="714"/>
      <c r="E289" s="708"/>
      <c r="F289" s="708"/>
      <c r="G289" s="720"/>
      <c r="H289" s="708"/>
      <c r="I289" s="707" t="s">
        <v>1451</v>
      </c>
      <c r="J289" s="476" t="s">
        <v>1452</v>
      </c>
      <c r="K289" s="476" t="s">
        <v>1454</v>
      </c>
      <c r="L289" s="457">
        <v>35</v>
      </c>
      <c r="M289" s="465" t="s">
        <v>127</v>
      </c>
      <c r="N289" s="549"/>
      <c r="O289" s="547"/>
      <c r="P289" s="457">
        <v>0</v>
      </c>
      <c r="Q289" s="457"/>
      <c r="R289" s="457"/>
      <c r="S289" s="457">
        <v>23</v>
      </c>
      <c r="T289" s="457"/>
      <c r="U289" s="457"/>
      <c r="V289" s="457"/>
      <c r="W289" s="457"/>
      <c r="X289" s="457">
        <v>5</v>
      </c>
      <c r="Y289" s="457"/>
      <c r="Z289" s="457"/>
      <c r="AA289" s="457"/>
      <c r="AB289" s="457"/>
      <c r="AC289" s="457"/>
      <c r="AD289" s="457"/>
      <c r="AE289" s="457">
        <f t="shared" si="16"/>
        <v>28</v>
      </c>
      <c r="AF289" s="456"/>
      <c r="AG289" s="488">
        <f>+(AE289/L289)</f>
        <v>0.8</v>
      </c>
      <c r="AH289" s="462">
        <f t="shared" si="14"/>
        <v>0.8</v>
      </c>
      <c r="AI289" s="456"/>
      <c r="AJ289" s="792"/>
      <c r="AK289" s="456"/>
      <c r="AL289" s="456"/>
      <c r="AM289" s="456"/>
      <c r="AN289" s="456"/>
      <c r="AO289" s="456"/>
      <c r="AP289" s="456"/>
      <c r="AQ289" s="456"/>
      <c r="AR289" s="456"/>
      <c r="AS289" s="792"/>
      <c r="AT289" s="776"/>
    </row>
    <row r="290" spans="1:46" ht="67.5" x14ac:dyDescent="0.2">
      <c r="A290" s="729"/>
      <c r="B290" s="727"/>
      <c r="C290" s="711"/>
      <c r="D290" s="714"/>
      <c r="E290" s="708"/>
      <c r="F290" s="708"/>
      <c r="G290" s="720"/>
      <c r="H290" s="708"/>
      <c r="I290" s="708"/>
      <c r="J290" s="476" t="s">
        <v>1453</v>
      </c>
      <c r="K290" s="476" t="s">
        <v>1455</v>
      </c>
      <c r="L290" s="457">
        <v>220</v>
      </c>
      <c r="M290" s="465" t="s">
        <v>127</v>
      </c>
      <c r="N290" s="549"/>
      <c r="O290" s="547"/>
      <c r="P290" s="457">
        <v>0</v>
      </c>
      <c r="Q290" s="457"/>
      <c r="R290" s="457"/>
      <c r="S290" s="457">
        <v>51</v>
      </c>
      <c r="T290" s="457"/>
      <c r="U290" s="457"/>
      <c r="V290" s="457"/>
      <c r="W290" s="457"/>
      <c r="X290" s="457">
        <v>38</v>
      </c>
      <c r="Y290" s="457"/>
      <c r="Z290" s="457"/>
      <c r="AA290" s="457"/>
      <c r="AB290" s="457"/>
      <c r="AC290" s="457"/>
      <c r="AD290" s="457"/>
      <c r="AE290" s="457">
        <f t="shared" si="16"/>
        <v>89</v>
      </c>
      <c r="AF290" s="456"/>
      <c r="AG290" s="488">
        <f>+(AE290/L290)</f>
        <v>0.40454545454545454</v>
      </c>
      <c r="AH290" s="462">
        <f t="shared" si="14"/>
        <v>0.40454545454545454</v>
      </c>
      <c r="AI290" s="456"/>
      <c r="AJ290" s="792"/>
      <c r="AK290" s="456"/>
      <c r="AL290" s="456"/>
      <c r="AM290" s="456"/>
      <c r="AN290" s="456"/>
      <c r="AO290" s="456"/>
      <c r="AP290" s="456"/>
      <c r="AQ290" s="456"/>
      <c r="AR290" s="456"/>
      <c r="AS290" s="792"/>
      <c r="AT290" s="776"/>
    </row>
    <row r="291" spans="1:46" ht="67.5" x14ac:dyDescent="0.2">
      <c r="A291" s="729"/>
      <c r="B291" s="727"/>
      <c r="C291" s="711"/>
      <c r="D291" s="714"/>
      <c r="E291" s="708"/>
      <c r="F291" s="708"/>
      <c r="G291" s="720"/>
      <c r="H291" s="708"/>
      <c r="I291" s="708"/>
      <c r="J291" s="476" t="s">
        <v>2182</v>
      </c>
      <c r="K291" s="480" t="s">
        <v>1456</v>
      </c>
      <c r="L291" s="457">
        <v>1</v>
      </c>
      <c r="M291" s="465" t="s">
        <v>127</v>
      </c>
      <c r="N291" s="549"/>
      <c r="O291" s="547"/>
      <c r="P291" s="457">
        <v>0</v>
      </c>
      <c r="Q291" s="457"/>
      <c r="R291" s="457"/>
      <c r="S291" s="457">
        <v>0</v>
      </c>
      <c r="T291" s="457"/>
      <c r="U291" s="457"/>
      <c r="V291" s="457"/>
      <c r="W291" s="457"/>
      <c r="X291" s="457">
        <v>0</v>
      </c>
      <c r="Y291" s="457"/>
      <c r="Z291" s="457"/>
      <c r="AA291" s="457"/>
      <c r="AB291" s="457"/>
      <c r="AC291" s="457"/>
      <c r="AD291" s="457"/>
      <c r="AE291" s="457">
        <f t="shared" si="16"/>
        <v>0</v>
      </c>
      <c r="AF291" s="456"/>
      <c r="AG291" s="488">
        <f>+(AE291/L291)</f>
        <v>0</v>
      </c>
      <c r="AH291" s="462">
        <f t="shared" si="14"/>
        <v>0</v>
      </c>
      <c r="AI291" s="456"/>
      <c r="AJ291" s="792"/>
      <c r="AK291" s="456"/>
      <c r="AL291" s="456"/>
      <c r="AM291" s="456"/>
      <c r="AN291" s="456"/>
      <c r="AO291" s="456"/>
      <c r="AP291" s="456"/>
      <c r="AQ291" s="456"/>
      <c r="AR291" s="456"/>
      <c r="AS291" s="792"/>
      <c r="AT291" s="776"/>
    </row>
    <row r="292" spans="1:46" ht="69.75" customHeight="1" x14ac:dyDescent="0.2">
      <c r="A292" s="729"/>
      <c r="B292" s="727"/>
      <c r="C292" s="711"/>
      <c r="D292" s="714"/>
      <c r="E292" s="708"/>
      <c r="F292" s="708"/>
      <c r="G292" s="720"/>
      <c r="H292" s="708"/>
      <c r="I292" s="709"/>
      <c r="J292" s="476"/>
      <c r="K292" s="480"/>
      <c r="L292" s="550"/>
      <c r="M292" s="465"/>
      <c r="N292" s="549"/>
      <c r="O292" s="547"/>
      <c r="P292" s="456"/>
      <c r="Q292" s="456"/>
      <c r="R292" s="456"/>
      <c r="S292" s="456"/>
      <c r="T292" s="456"/>
      <c r="U292" s="456"/>
      <c r="V292" s="456"/>
      <c r="W292" s="456"/>
      <c r="X292" s="456"/>
      <c r="Y292" s="456"/>
      <c r="Z292" s="456"/>
      <c r="AA292" s="456"/>
      <c r="AB292" s="456"/>
      <c r="AC292" s="456"/>
      <c r="AD292" s="456"/>
      <c r="AE292" s="457"/>
      <c r="AF292" s="456"/>
      <c r="AG292" s="551">
        <f>AVERAGE(AG289:AG291)</f>
        <v>0.40151515151515155</v>
      </c>
      <c r="AH292" s="462">
        <f t="shared" si="14"/>
        <v>0.40151515151515155</v>
      </c>
      <c r="AI292" s="456"/>
      <c r="AJ292" s="792"/>
      <c r="AK292" s="456"/>
      <c r="AL292" s="456"/>
      <c r="AM292" s="456"/>
      <c r="AN292" s="456"/>
      <c r="AO292" s="456"/>
      <c r="AP292" s="456"/>
      <c r="AQ292" s="456"/>
      <c r="AR292" s="456"/>
      <c r="AS292" s="792"/>
      <c r="AT292" s="776"/>
    </row>
    <row r="293" spans="1:46" ht="135" x14ac:dyDescent="0.2">
      <c r="A293" s="729"/>
      <c r="B293" s="727"/>
      <c r="C293" s="711"/>
      <c r="D293" s="714"/>
      <c r="E293" s="708"/>
      <c r="F293" s="708"/>
      <c r="G293" s="720"/>
      <c r="H293" s="708"/>
      <c r="I293" s="722" t="s">
        <v>1457</v>
      </c>
      <c r="J293" s="476" t="s">
        <v>2183</v>
      </c>
      <c r="K293" s="480" t="s">
        <v>1459</v>
      </c>
      <c r="L293" s="552">
        <v>2</v>
      </c>
      <c r="M293" s="465" t="s">
        <v>127</v>
      </c>
      <c r="N293" s="465"/>
      <c r="O293" s="456"/>
      <c r="P293" s="457">
        <v>0</v>
      </c>
      <c r="Q293" s="457"/>
      <c r="R293" s="457"/>
      <c r="S293" s="457">
        <v>1</v>
      </c>
      <c r="T293" s="457"/>
      <c r="U293" s="457"/>
      <c r="V293" s="457"/>
      <c r="W293" s="457"/>
      <c r="X293" s="457"/>
      <c r="Y293" s="457"/>
      <c r="Z293" s="457"/>
      <c r="AA293" s="457"/>
      <c r="AB293" s="457"/>
      <c r="AC293" s="457"/>
      <c r="AD293" s="457"/>
      <c r="AE293" s="457">
        <f t="shared" si="16"/>
        <v>1</v>
      </c>
      <c r="AF293" s="456"/>
      <c r="AG293" s="488">
        <f>+(AE293/L293)</f>
        <v>0.5</v>
      </c>
      <c r="AH293" s="462">
        <f t="shared" si="14"/>
        <v>0.5</v>
      </c>
      <c r="AI293" s="456"/>
      <c r="AJ293" s="792"/>
      <c r="AK293" s="456"/>
      <c r="AL293" s="456"/>
      <c r="AM293" s="456"/>
      <c r="AN293" s="456"/>
      <c r="AO293" s="456"/>
      <c r="AP293" s="456"/>
      <c r="AQ293" s="456"/>
      <c r="AR293" s="456"/>
      <c r="AS293" s="792"/>
      <c r="AT293" s="776"/>
    </row>
    <row r="294" spans="1:46" ht="56.25" x14ac:dyDescent="0.2">
      <c r="A294" s="729"/>
      <c r="B294" s="727"/>
      <c r="C294" s="711"/>
      <c r="D294" s="714"/>
      <c r="E294" s="708"/>
      <c r="F294" s="708"/>
      <c r="G294" s="720"/>
      <c r="H294" s="708"/>
      <c r="I294" s="722"/>
      <c r="J294" s="553" t="s">
        <v>2184</v>
      </c>
      <c r="K294" s="507" t="s">
        <v>1458</v>
      </c>
      <c r="L294" s="552">
        <v>35</v>
      </c>
      <c r="M294" s="465" t="s">
        <v>127</v>
      </c>
      <c r="N294" s="465"/>
      <c r="O294" s="456"/>
      <c r="P294" s="457">
        <v>0</v>
      </c>
      <c r="Q294" s="457"/>
      <c r="R294" s="457"/>
      <c r="S294" s="457">
        <v>27</v>
      </c>
      <c r="T294" s="457"/>
      <c r="U294" s="457"/>
      <c r="V294" s="457"/>
      <c r="W294" s="457"/>
      <c r="X294" s="457">
        <v>15</v>
      </c>
      <c r="Y294" s="457"/>
      <c r="Z294" s="457"/>
      <c r="AA294" s="457"/>
      <c r="AB294" s="457"/>
      <c r="AC294" s="457"/>
      <c r="AD294" s="457"/>
      <c r="AE294" s="457">
        <f t="shared" si="16"/>
        <v>42</v>
      </c>
      <c r="AF294" s="456"/>
      <c r="AG294" s="488">
        <v>1</v>
      </c>
      <c r="AH294" s="462">
        <f t="shared" si="14"/>
        <v>1</v>
      </c>
      <c r="AI294" s="456"/>
      <c r="AJ294" s="792"/>
      <c r="AK294" s="456"/>
      <c r="AL294" s="456"/>
      <c r="AM294" s="456"/>
      <c r="AN294" s="456"/>
      <c r="AO294" s="456"/>
      <c r="AP294" s="456"/>
      <c r="AQ294" s="456"/>
      <c r="AR294" s="456"/>
      <c r="AS294" s="792"/>
      <c r="AT294" s="776"/>
    </row>
    <row r="295" spans="1:46" ht="54.75" customHeight="1" x14ac:dyDescent="0.2">
      <c r="A295" s="729"/>
      <c r="B295" s="727"/>
      <c r="C295" s="711"/>
      <c r="D295" s="714"/>
      <c r="E295" s="708"/>
      <c r="F295" s="708"/>
      <c r="G295" s="720"/>
      <c r="H295" s="708"/>
      <c r="I295" s="554"/>
      <c r="J295" s="507"/>
      <c r="K295" s="507"/>
      <c r="L295" s="552"/>
      <c r="M295" s="465"/>
      <c r="N295" s="465"/>
      <c r="O295" s="456"/>
      <c r="P295" s="456"/>
      <c r="Q295" s="456"/>
      <c r="R295" s="456"/>
      <c r="S295" s="456"/>
      <c r="T295" s="456"/>
      <c r="U295" s="456"/>
      <c r="V295" s="456"/>
      <c r="W295" s="456"/>
      <c r="X295" s="456"/>
      <c r="Y295" s="456"/>
      <c r="Z295" s="456"/>
      <c r="AA295" s="456"/>
      <c r="AB295" s="456"/>
      <c r="AC295" s="456"/>
      <c r="AD295" s="456"/>
      <c r="AE295" s="457"/>
      <c r="AF295" s="456"/>
      <c r="AG295" s="551">
        <f>AVERAGE(AG293:AG294)</f>
        <v>0.75</v>
      </c>
      <c r="AH295" s="462">
        <f t="shared" si="14"/>
        <v>0.75</v>
      </c>
      <c r="AI295" s="456"/>
      <c r="AJ295" s="791"/>
      <c r="AK295" s="456"/>
      <c r="AL295" s="456"/>
      <c r="AM295" s="456"/>
      <c r="AN295" s="456"/>
      <c r="AO295" s="456"/>
      <c r="AP295" s="456"/>
      <c r="AQ295" s="456"/>
      <c r="AR295" s="456"/>
      <c r="AS295" s="791"/>
      <c r="AT295" s="777"/>
    </row>
    <row r="296" spans="1:46" ht="101.25" x14ac:dyDescent="0.2">
      <c r="A296" s="729"/>
      <c r="B296" s="727"/>
      <c r="C296" s="711"/>
      <c r="D296" s="714"/>
      <c r="E296" s="708"/>
      <c r="F296" s="708"/>
      <c r="G296" s="720"/>
      <c r="H296" s="708"/>
      <c r="I296" s="707" t="s">
        <v>1460</v>
      </c>
      <c r="J296" s="507" t="s">
        <v>1461</v>
      </c>
      <c r="K296" s="507" t="s">
        <v>1462</v>
      </c>
      <c r="L296" s="483">
        <v>7</v>
      </c>
      <c r="M296" s="483">
        <v>0</v>
      </c>
      <c r="N296" s="483"/>
      <c r="O296" s="456"/>
      <c r="P296" s="457">
        <v>0</v>
      </c>
      <c r="Q296" s="457"/>
      <c r="R296" s="457"/>
      <c r="S296" s="457">
        <v>2</v>
      </c>
      <c r="T296" s="457"/>
      <c r="U296" s="457"/>
      <c r="V296" s="457">
        <v>2</v>
      </c>
      <c r="W296" s="457">
        <v>0</v>
      </c>
      <c r="X296" s="457">
        <v>0</v>
      </c>
      <c r="Y296" s="457"/>
      <c r="Z296" s="457"/>
      <c r="AA296" s="457"/>
      <c r="AB296" s="457"/>
      <c r="AC296" s="457"/>
      <c r="AD296" s="457"/>
      <c r="AE296" s="457">
        <f t="shared" si="16"/>
        <v>4</v>
      </c>
      <c r="AF296" s="456"/>
      <c r="AG296" s="488">
        <f>+(AE296/L296)</f>
        <v>0.5714285714285714</v>
      </c>
      <c r="AH296" s="462">
        <f t="shared" si="14"/>
        <v>0.5714285714285714</v>
      </c>
      <c r="AI296" s="456"/>
      <c r="AJ296" s="790">
        <v>83696602</v>
      </c>
      <c r="AK296" s="500"/>
      <c r="AL296" s="456"/>
      <c r="AM296" s="456"/>
      <c r="AN296" s="456"/>
      <c r="AO296" s="456"/>
      <c r="AP296" s="456"/>
      <c r="AQ296" s="456"/>
      <c r="AR296" s="456"/>
      <c r="AS296" s="790">
        <v>71155390</v>
      </c>
      <c r="AT296" s="723">
        <f>+AS296/AJ296</f>
        <v>0.85015864801775343</v>
      </c>
    </row>
    <row r="297" spans="1:46" ht="90" x14ac:dyDescent="0.2">
      <c r="A297" s="729"/>
      <c r="B297" s="727"/>
      <c r="C297" s="711"/>
      <c r="D297" s="714"/>
      <c r="E297" s="708"/>
      <c r="F297" s="708"/>
      <c r="G297" s="720"/>
      <c r="H297" s="708"/>
      <c r="I297" s="708"/>
      <c r="J297" s="507" t="s">
        <v>1463</v>
      </c>
      <c r="K297" s="507" t="s">
        <v>1464</v>
      </c>
      <c r="L297" s="483">
        <v>3</v>
      </c>
      <c r="M297" s="483">
        <v>0</v>
      </c>
      <c r="N297" s="483"/>
      <c r="O297" s="456"/>
      <c r="P297" s="457">
        <v>0</v>
      </c>
      <c r="Q297" s="457"/>
      <c r="R297" s="457"/>
      <c r="S297" s="457">
        <v>0</v>
      </c>
      <c r="T297" s="457"/>
      <c r="U297" s="457"/>
      <c r="V297" s="457"/>
      <c r="W297" s="457"/>
      <c r="X297" s="457"/>
      <c r="Y297" s="457"/>
      <c r="Z297" s="457"/>
      <c r="AA297" s="457"/>
      <c r="AB297" s="457"/>
      <c r="AC297" s="457"/>
      <c r="AD297" s="457"/>
      <c r="AE297" s="457">
        <f t="shared" si="16"/>
        <v>0</v>
      </c>
      <c r="AF297" s="456"/>
      <c r="AG297" s="488">
        <f>+(AE297/L297)</f>
        <v>0</v>
      </c>
      <c r="AH297" s="462">
        <f t="shared" si="14"/>
        <v>0</v>
      </c>
      <c r="AI297" s="456"/>
      <c r="AJ297" s="792"/>
      <c r="AK297" s="456"/>
      <c r="AL297" s="456"/>
      <c r="AM297" s="456"/>
      <c r="AN297" s="456"/>
      <c r="AO297" s="456"/>
      <c r="AP297" s="456"/>
      <c r="AQ297" s="456"/>
      <c r="AR297" s="456"/>
      <c r="AS297" s="792"/>
      <c r="AT297" s="724"/>
    </row>
    <row r="298" spans="1:46" ht="56.25" x14ac:dyDescent="0.2">
      <c r="A298" s="729"/>
      <c r="B298" s="727"/>
      <c r="C298" s="711"/>
      <c r="D298" s="714"/>
      <c r="E298" s="708"/>
      <c r="F298" s="708"/>
      <c r="G298" s="720"/>
      <c r="H298" s="708"/>
      <c r="I298" s="708"/>
      <c r="J298" s="507" t="s">
        <v>1465</v>
      </c>
      <c r="K298" s="507" t="s">
        <v>1466</v>
      </c>
      <c r="L298" s="483">
        <v>1</v>
      </c>
      <c r="M298" s="483">
        <v>0</v>
      </c>
      <c r="N298" s="483"/>
      <c r="O298" s="456"/>
      <c r="P298" s="457">
        <v>0</v>
      </c>
      <c r="Q298" s="457"/>
      <c r="R298" s="457"/>
      <c r="S298" s="457">
        <v>0</v>
      </c>
      <c r="T298" s="457"/>
      <c r="U298" s="457"/>
      <c r="V298" s="457"/>
      <c r="W298" s="457"/>
      <c r="X298" s="457"/>
      <c r="Y298" s="457"/>
      <c r="Z298" s="457"/>
      <c r="AA298" s="457"/>
      <c r="AB298" s="457"/>
      <c r="AC298" s="457"/>
      <c r="AD298" s="457"/>
      <c r="AE298" s="457">
        <f t="shared" si="16"/>
        <v>0</v>
      </c>
      <c r="AF298" s="456"/>
      <c r="AG298" s="488">
        <f>+(AE298/L298)</f>
        <v>0</v>
      </c>
      <c r="AH298" s="462">
        <f t="shared" si="14"/>
        <v>0</v>
      </c>
      <c r="AI298" s="456"/>
      <c r="AJ298" s="791"/>
      <c r="AK298" s="456"/>
      <c r="AL298" s="456"/>
      <c r="AM298" s="456"/>
      <c r="AN298" s="456"/>
      <c r="AO298" s="456"/>
      <c r="AP298" s="456"/>
      <c r="AQ298" s="456"/>
      <c r="AR298" s="456"/>
      <c r="AS298" s="791"/>
      <c r="AT298" s="725"/>
    </row>
    <row r="299" spans="1:46" ht="65.25" customHeight="1" x14ac:dyDescent="0.2">
      <c r="A299" s="729"/>
      <c r="B299" s="727"/>
      <c r="C299" s="711"/>
      <c r="D299" s="714"/>
      <c r="E299" s="708"/>
      <c r="F299" s="708"/>
      <c r="G299" s="720"/>
      <c r="H299" s="708"/>
      <c r="I299" s="709"/>
      <c r="J299" s="507"/>
      <c r="K299" s="507"/>
      <c r="L299" s="483"/>
      <c r="M299" s="483"/>
      <c r="N299" s="483"/>
      <c r="O299" s="456"/>
      <c r="P299" s="456"/>
      <c r="Q299" s="456"/>
      <c r="R299" s="456"/>
      <c r="S299" s="456"/>
      <c r="T299" s="456"/>
      <c r="U299" s="456"/>
      <c r="V299" s="456"/>
      <c r="W299" s="456"/>
      <c r="X299" s="456"/>
      <c r="Y299" s="456"/>
      <c r="Z299" s="456"/>
      <c r="AA299" s="456"/>
      <c r="AB299" s="456"/>
      <c r="AC299" s="456"/>
      <c r="AD299" s="456"/>
      <c r="AE299" s="457"/>
      <c r="AF299" s="456"/>
      <c r="AG299" s="551">
        <f>AVERAGE(AG296:AG298)</f>
        <v>0.19047619047619047</v>
      </c>
      <c r="AH299" s="462">
        <f t="shared" si="14"/>
        <v>0.19047619047619047</v>
      </c>
      <c r="AI299" s="456"/>
      <c r="AJ299" s="456"/>
      <c r="AK299" s="456"/>
      <c r="AL299" s="456"/>
      <c r="AM299" s="456"/>
      <c r="AN299" s="456"/>
      <c r="AO299" s="456"/>
      <c r="AP299" s="456"/>
      <c r="AQ299" s="456"/>
      <c r="AR299" s="456"/>
      <c r="AS299" s="456"/>
      <c r="AT299" s="456"/>
    </row>
    <row r="300" spans="1:46" ht="45" x14ac:dyDescent="0.2">
      <c r="A300" s="729"/>
      <c r="B300" s="727"/>
      <c r="C300" s="711"/>
      <c r="D300" s="714"/>
      <c r="E300" s="708"/>
      <c r="F300" s="708"/>
      <c r="G300" s="720"/>
      <c r="H300" s="708"/>
      <c r="I300" s="707" t="s">
        <v>1429</v>
      </c>
      <c r="J300" s="483" t="s">
        <v>1436</v>
      </c>
      <c r="K300" s="483" t="s">
        <v>1430</v>
      </c>
      <c r="L300" s="457">
        <v>20000</v>
      </c>
      <c r="M300" s="457" t="s">
        <v>127</v>
      </c>
      <c r="N300" s="457"/>
      <c r="O300" s="456"/>
      <c r="P300" s="456"/>
      <c r="Q300" s="456"/>
      <c r="R300" s="456"/>
      <c r="S300" s="457">
        <v>0</v>
      </c>
      <c r="T300" s="456"/>
      <c r="U300" s="456"/>
      <c r="V300" s="456"/>
      <c r="W300" s="456"/>
      <c r="X300" s="456"/>
      <c r="Y300" s="456"/>
      <c r="Z300" s="456"/>
      <c r="AA300" s="456"/>
      <c r="AB300" s="456"/>
      <c r="AC300" s="456"/>
      <c r="AD300" s="456"/>
      <c r="AE300" s="457">
        <f t="shared" si="16"/>
        <v>0</v>
      </c>
      <c r="AF300" s="456"/>
      <c r="AG300" s="488">
        <f t="shared" ref="AG300:AG306" si="17">+(AE300/L300)</f>
        <v>0</v>
      </c>
      <c r="AH300" s="462">
        <f t="shared" si="14"/>
        <v>0</v>
      </c>
      <c r="AI300" s="456"/>
      <c r="AJ300" s="456"/>
      <c r="AK300" s="456"/>
      <c r="AL300" s="456"/>
      <c r="AM300" s="456"/>
      <c r="AN300" s="456"/>
      <c r="AO300" s="456"/>
      <c r="AP300" s="456"/>
      <c r="AQ300" s="456"/>
      <c r="AR300" s="456"/>
      <c r="AS300" s="456"/>
      <c r="AT300" s="456"/>
    </row>
    <row r="301" spans="1:46" ht="45" x14ac:dyDescent="0.2">
      <c r="A301" s="729"/>
      <c r="B301" s="727"/>
      <c r="C301" s="711"/>
      <c r="D301" s="714"/>
      <c r="E301" s="708"/>
      <c r="F301" s="708"/>
      <c r="G301" s="720"/>
      <c r="H301" s="708"/>
      <c r="I301" s="708"/>
      <c r="J301" s="483" t="s">
        <v>1435</v>
      </c>
      <c r="K301" s="483" t="s">
        <v>1431</v>
      </c>
      <c r="L301" s="457">
        <v>8</v>
      </c>
      <c r="M301" s="457" t="s">
        <v>127</v>
      </c>
      <c r="N301" s="457"/>
      <c r="O301" s="456"/>
      <c r="P301" s="456"/>
      <c r="Q301" s="456"/>
      <c r="R301" s="456"/>
      <c r="S301" s="457">
        <v>0</v>
      </c>
      <c r="T301" s="456"/>
      <c r="U301" s="456"/>
      <c r="V301" s="456"/>
      <c r="W301" s="456"/>
      <c r="X301" s="456"/>
      <c r="Y301" s="456"/>
      <c r="Z301" s="456"/>
      <c r="AA301" s="456"/>
      <c r="AB301" s="456"/>
      <c r="AC301" s="456"/>
      <c r="AD301" s="456"/>
      <c r="AE301" s="457">
        <f t="shared" si="16"/>
        <v>0</v>
      </c>
      <c r="AF301" s="456"/>
      <c r="AG301" s="488">
        <f t="shared" si="17"/>
        <v>0</v>
      </c>
      <c r="AH301" s="462">
        <f t="shared" si="14"/>
        <v>0</v>
      </c>
      <c r="AI301" s="456"/>
      <c r="AJ301" s="456"/>
      <c r="AK301" s="456"/>
      <c r="AL301" s="456"/>
      <c r="AM301" s="456"/>
      <c r="AN301" s="456"/>
      <c r="AO301" s="456"/>
      <c r="AP301" s="456"/>
      <c r="AQ301" s="456"/>
      <c r="AR301" s="456"/>
      <c r="AS301" s="456"/>
      <c r="AT301" s="456"/>
    </row>
    <row r="302" spans="1:46" ht="33.75" x14ac:dyDescent="0.2">
      <c r="A302" s="729"/>
      <c r="B302" s="727"/>
      <c r="C302" s="711"/>
      <c r="D302" s="714"/>
      <c r="E302" s="708"/>
      <c r="F302" s="708"/>
      <c r="G302" s="720"/>
      <c r="H302" s="708"/>
      <c r="I302" s="708"/>
      <c r="J302" s="483" t="s">
        <v>1434</v>
      </c>
      <c r="K302" s="483" t="s">
        <v>1432</v>
      </c>
      <c r="L302" s="555">
        <v>100000</v>
      </c>
      <c r="M302" s="457" t="s">
        <v>127</v>
      </c>
      <c r="N302" s="457"/>
      <c r="O302" s="456"/>
      <c r="P302" s="456"/>
      <c r="Q302" s="457">
        <v>18000</v>
      </c>
      <c r="R302" s="456"/>
      <c r="S302" s="457">
        <v>12000</v>
      </c>
      <c r="T302" s="456"/>
      <c r="U302" s="456"/>
      <c r="V302" s="456"/>
      <c r="W302" s="456"/>
      <c r="X302" s="456"/>
      <c r="Y302" s="456"/>
      <c r="Z302" s="456"/>
      <c r="AA302" s="456"/>
      <c r="AB302" s="456"/>
      <c r="AC302" s="456"/>
      <c r="AD302" s="456"/>
      <c r="AE302" s="457">
        <f t="shared" si="16"/>
        <v>30000</v>
      </c>
      <c r="AF302" s="456"/>
      <c r="AG302" s="488">
        <f t="shared" si="17"/>
        <v>0.3</v>
      </c>
      <c r="AH302" s="462">
        <f t="shared" si="14"/>
        <v>0.3</v>
      </c>
      <c r="AI302" s="456"/>
      <c r="AJ302" s="456"/>
      <c r="AK302" s="456"/>
      <c r="AL302" s="456"/>
      <c r="AM302" s="456"/>
      <c r="AN302" s="456"/>
      <c r="AO302" s="456"/>
      <c r="AP302" s="456"/>
      <c r="AQ302" s="456"/>
      <c r="AR302" s="456"/>
      <c r="AS302" s="456"/>
      <c r="AT302" s="456"/>
    </row>
    <row r="303" spans="1:46" ht="33.75" x14ac:dyDescent="0.2">
      <c r="A303" s="729"/>
      <c r="B303" s="727"/>
      <c r="C303" s="711"/>
      <c r="D303" s="714"/>
      <c r="E303" s="708"/>
      <c r="F303" s="708"/>
      <c r="G303" s="720"/>
      <c r="H303" s="708"/>
      <c r="I303" s="708"/>
      <c r="J303" s="483" t="s">
        <v>1433</v>
      </c>
      <c r="K303" s="483" t="s">
        <v>1432</v>
      </c>
      <c r="L303" s="519">
        <v>1</v>
      </c>
      <c r="M303" s="457" t="s">
        <v>127</v>
      </c>
      <c r="N303" s="457"/>
      <c r="O303" s="456"/>
      <c r="P303" s="456"/>
      <c r="Q303" s="456"/>
      <c r="R303" s="456"/>
      <c r="S303" s="457">
        <v>0</v>
      </c>
      <c r="T303" s="456"/>
      <c r="U303" s="456"/>
      <c r="V303" s="456"/>
      <c r="W303" s="456"/>
      <c r="X303" s="456"/>
      <c r="Y303" s="456"/>
      <c r="Z303" s="456"/>
      <c r="AA303" s="456"/>
      <c r="AB303" s="456"/>
      <c r="AC303" s="456"/>
      <c r="AD303" s="456"/>
      <c r="AE303" s="457">
        <f t="shared" si="16"/>
        <v>0</v>
      </c>
      <c r="AF303" s="456"/>
      <c r="AG303" s="488">
        <f t="shared" si="17"/>
        <v>0</v>
      </c>
      <c r="AH303" s="462">
        <f t="shared" si="14"/>
        <v>0</v>
      </c>
      <c r="AI303" s="456"/>
      <c r="AJ303" s="456"/>
      <c r="AK303" s="456"/>
      <c r="AL303" s="456"/>
      <c r="AM303" s="456"/>
      <c r="AN303" s="456"/>
      <c r="AO303" s="456"/>
      <c r="AP303" s="456"/>
      <c r="AQ303" s="456"/>
      <c r="AR303" s="456"/>
      <c r="AS303" s="456"/>
      <c r="AT303" s="456"/>
    </row>
    <row r="304" spans="1:46" ht="78.75" x14ac:dyDescent="0.2">
      <c r="A304" s="729"/>
      <c r="B304" s="727"/>
      <c r="C304" s="711"/>
      <c r="D304" s="714"/>
      <c r="E304" s="708"/>
      <c r="F304" s="708"/>
      <c r="G304" s="720"/>
      <c r="H304" s="708"/>
      <c r="I304" s="708"/>
      <c r="J304" s="507" t="s">
        <v>1437</v>
      </c>
      <c r="K304" s="483" t="s">
        <v>1432</v>
      </c>
      <c r="L304" s="519">
        <v>1</v>
      </c>
      <c r="M304" s="457" t="s">
        <v>127</v>
      </c>
      <c r="N304" s="457"/>
      <c r="O304" s="456"/>
      <c r="P304" s="456"/>
      <c r="Q304" s="456"/>
      <c r="R304" s="456"/>
      <c r="S304" s="457">
        <v>0</v>
      </c>
      <c r="T304" s="456"/>
      <c r="U304" s="456"/>
      <c r="V304" s="456"/>
      <c r="W304" s="456"/>
      <c r="X304" s="456"/>
      <c r="Y304" s="456"/>
      <c r="Z304" s="456"/>
      <c r="AA304" s="456"/>
      <c r="AB304" s="456"/>
      <c r="AC304" s="456"/>
      <c r="AD304" s="456"/>
      <c r="AE304" s="457">
        <f t="shared" si="16"/>
        <v>0</v>
      </c>
      <c r="AF304" s="456"/>
      <c r="AG304" s="488">
        <f t="shared" si="17"/>
        <v>0</v>
      </c>
      <c r="AH304" s="462">
        <f t="shared" si="14"/>
        <v>0</v>
      </c>
      <c r="AI304" s="456"/>
      <c r="AJ304" s="456"/>
      <c r="AK304" s="456"/>
      <c r="AL304" s="456"/>
      <c r="AM304" s="456"/>
      <c r="AN304" s="456"/>
      <c r="AO304" s="456"/>
      <c r="AP304" s="456"/>
      <c r="AQ304" s="456"/>
      <c r="AR304" s="456"/>
      <c r="AS304" s="456"/>
      <c r="AT304" s="456"/>
    </row>
    <row r="305" spans="1:46" ht="67.5" x14ac:dyDescent="0.2">
      <c r="A305" s="729"/>
      <c r="B305" s="727"/>
      <c r="C305" s="711"/>
      <c r="D305" s="714"/>
      <c r="E305" s="708"/>
      <c r="F305" s="708"/>
      <c r="G305" s="720"/>
      <c r="H305" s="708"/>
      <c r="I305" s="708"/>
      <c r="J305" s="507" t="s">
        <v>1438</v>
      </c>
      <c r="K305" s="483" t="s">
        <v>1432</v>
      </c>
      <c r="L305" s="519">
        <v>1</v>
      </c>
      <c r="M305" s="457" t="s">
        <v>127</v>
      </c>
      <c r="N305" s="457"/>
      <c r="O305" s="456"/>
      <c r="P305" s="456"/>
      <c r="Q305" s="456"/>
      <c r="R305" s="456"/>
      <c r="S305" s="457">
        <v>0</v>
      </c>
      <c r="T305" s="456"/>
      <c r="U305" s="456"/>
      <c r="V305" s="456"/>
      <c r="W305" s="456"/>
      <c r="X305" s="456"/>
      <c r="Y305" s="456"/>
      <c r="Z305" s="456"/>
      <c r="AA305" s="456"/>
      <c r="AB305" s="456"/>
      <c r="AC305" s="456"/>
      <c r="AD305" s="456"/>
      <c r="AE305" s="457">
        <f t="shared" si="16"/>
        <v>0</v>
      </c>
      <c r="AF305" s="456"/>
      <c r="AG305" s="488">
        <f t="shared" si="17"/>
        <v>0</v>
      </c>
      <c r="AH305" s="462">
        <f t="shared" si="14"/>
        <v>0</v>
      </c>
      <c r="AI305" s="456"/>
      <c r="AJ305" s="456"/>
      <c r="AK305" s="456"/>
      <c r="AL305" s="456"/>
      <c r="AM305" s="456"/>
      <c r="AN305" s="456"/>
      <c r="AO305" s="456"/>
      <c r="AP305" s="456"/>
      <c r="AQ305" s="456"/>
      <c r="AR305" s="456"/>
      <c r="AS305" s="456"/>
      <c r="AT305" s="456"/>
    </row>
    <row r="306" spans="1:46" ht="90" x14ac:dyDescent="0.2">
      <c r="A306" s="729"/>
      <c r="B306" s="727"/>
      <c r="C306" s="711"/>
      <c r="D306" s="714"/>
      <c r="E306" s="708"/>
      <c r="F306" s="708"/>
      <c r="G306" s="720"/>
      <c r="H306" s="708"/>
      <c r="I306" s="708"/>
      <c r="J306" s="507" t="s">
        <v>1439</v>
      </c>
      <c r="K306" s="483" t="s">
        <v>1432</v>
      </c>
      <c r="L306" s="519">
        <v>1</v>
      </c>
      <c r="M306" s="457" t="s">
        <v>127</v>
      </c>
      <c r="N306" s="457"/>
      <c r="O306" s="456"/>
      <c r="P306" s="456"/>
      <c r="Q306" s="456"/>
      <c r="R306" s="456"/>
      <c r="S306" s="457">
        <v>0</v>
      </c>
      <c r="T306" s="456"/>
      <c r="U306" s="456"/>
      <c r="V306" s="456"/>
      <c r="W306" s="456"/>
      <c r="X306" s="456"/>
      <c r="Y306" s="456"/>
      <c r="Z306" s="456"/>
      <c r="AA306" s="456"/>
      <c r="AB306" s="456"/>
      <c r="AC306" s="456"/>
      <c r="AD306" s="456"/>
      <c r="AE306" s="457">
        <f t="shared" si="16"/>
        <v>0</v>
      </c>
      <c r="AF306" s="456"/>
      <c r="AG306" s="488">
        <f t="shared" si="17"/>
        <v>0</v>
      </c>
      <c r="AH306" s="462">
        <f t="shared" si="14"/>
        <v>0</v>
      </c>
      <c r="AI306" s="456"/>
      <c r="AJ306" s="456"/>
      <c r="AK306" s="456"/>
      <c r="AL306" s="456"/>
      <c r="AM306" s="456"/>
      <c r="AN306" s="456"/>
      <c r="AO306" s="456"/>
      <c r="AP306" s="456"/>
      <c r="AQ306" s="456"/>
      <c r="AR306" s="456"/>
      <c r="AS306" s="456"/>
      <c r="AT306" s="456"/>
    </row>
    <row r="307" spans="1:46" ht="54.75" customHeight="1" x14ac:dyDescent="0.2">
      <c r="A307" s="729"/>
      <c r="B307" s="727"/>
      <c r="C307" s="711"/>
      <c r="D307" s="714"/>
      <c r="E307" s="708"/>
      <c r="F307" s="708"/>
      <c r="G307" s="720"/>
      <c r="H307" s="708"/>
      <c r="I307" s="709"/>
      <c r="J307" s="507"/>
      <c r="K307" s="483"/>
      <c r="L307" s="519"/>
      <c r="M307" s="457"/>
      <c r="N307" s="457"/>
      <c r="O307" s="456"/>
      <c r="P307" s="456"/>
      <c r="Q307" s="456"/>
      <c r="R307" s="456"/>
      <c r="S307" s="457"/>
      <c r="T307" s="456"/>
      <c r="U307" s="456"/>
      <c r="V307" s="456"/>
      <c r="W307" s="456"/>
      <c r="X307" s="456"/>
      <c r="Y307" s="456"/>
      <c r="Z307" s="456"/>
      <c r="AA307" s="456"/>
      <c r="AB307" s="456"/>
      <c r="AC307" s="456"/>
      <c r="AD307" s="456"/>
      <c r="AE307" s="457"/>
      <c r="AF307" s="456"/>
      <c r="AG307" s="551">
        <f>AVERAGE(AG300:AG306)</f>
        <v>4.2857142857142858E-2</v>
      </c>
      <c r="AH307" s="462">
        <f t="shared" si="14"/>
        <v>4.2857142857142858E-2</v>
      </c>
      <c r="AI307" s="456"/>
      <c r="AJ307" s="456"/>
      <c r="AK307" s="456"/>
      <c r="AL307" s="456"/>
      <c r="AM307" s="456"/>
      <c r="AN307" s="456"/>
      <c r="AO307" s="456"/>
      <c r="AP307" s="456"/>
      <c r="AQ307" s="456"/>
      <c r="AR307" s="456"/>
      <c r="AS307" s="456"/>
      <c r="AT307" s="456"/>
    </row>
    <row r="308" spans="1:46" ht="30" customHeight="1" x14ac:dyDescent="0.2">
      <c r="A308" s="729"/>
      <c r="B308" s="727"/>
      <c r="C308" s="711"/>
      <c r="D308" s="714"/>
      <c r="E308" s="708"/>
      <c r="F308" s="708"/>
      <c r="G308" s="720"/>
      <c r="H308" s="708"/>
      <c r="I308" s="718" t="s">
        <v>1440</v>
      </c>
      <c r="J308" s="556" t="s">
        <v>1443</v>
      </c>
      <c r="K308" s="457" t="s">
        <v>1445</v>
      </c>
      <c r="L308" s="457">
        <v>3</v>
      </c>
      <c r="M308" s="457" t="s">
        <v>127</v>
      </c>
      <c r="N308" s="457"/>
      <c r="O308" s="456"/>
      <c r="P308" s="456"/>
      <c r="Q308" s="456"/>
      <c r="R308" s="456"/>
      <c r="S308" s="457">
        <v>3</v>
      </c>
      <c r="T308" s="456"/>
      <c r="U308" s="456"/>
      <c r="V308" s="456"/>
      <c r="W308" s="456"/>
      <c r="X308" s="456"/>
      <c r="Y308" s="456"/>
      <c r="Z308" s="456"/>
      <c r="AA308" s="456"/>
      <c r="AB308" s="456"/>
      <c r="AC308" s="456"/>
      <c r="AD308" s="456"/>
      <c r="AE308" s="457">
        <f t="shared" si="16"/>
        <v>3</v>
      </c>
      <c r="AF308" s="456"/>
      <c r="AG308" s="488">
        <f>+(AE308/L308)</f>
        <v>1</v>
      </c>
      <c r="AH308" s="462">
        <f t="shared" si="14"/>
        <v>1</v>
      </c>
      <c r="AI308" s="456"/>
      <c r="AJ308" s="456"/>
      <c r="AK308" s="456"/>
      <c r="AL308" s="456"/>
      <c r="AM308" s="456"/>
      <c r="AN308" s="456"/>
      <c r="AO308" s="456"/>
      <c r="AP308" s="456"/>
      <c r="AQ308" s="456"/>
      <c r="AR308" s="456"/>
      <c r="AS308" s="456"/>
      <c r="AT308" s="456"/>
    </row>
    <row r="309" spans="1:46" ht="33.75" x14ac:dyDescent="0.2">
      <c r="A309" s="729"/>
      <c r="B309" s="727"/>
      <c r="C309" s="711"/>
      <c r="D309" s="714"/>
      <c r="E309" s="708"/>
      <c r="F309" s="708"/>
      <c r="G309" s="720"/>
      <c r="H309" s="708"/>
      <c r="I309" s="718"/>
      <c r="J309" s="557" t="s">
        <v>1441</v>
      </c>
      <c r="K309" s="483" t="s">
        <v>1446</v>
      </c>
      <c r="L309" s="457">
        <v>3</v>
      </c>
      <c r="M309" s="457" t="s">
        <v>127</v>
      </c>
      <c r="N309" s="457"/>
      <c r="O309" s="456"/>
      <c r="P309" s="456"/>
      <c r="Q309" s="456"/>
      <c r="R309" s="456"/>
      <c r="S309" s="457">
        <v>3</v>
      </c>
      <c r="T309" s="456"/>
      <c r="U309" s="456"/>
      <c r="V309" s="456"/>
      <c r="W309" s="456"/>
      <c r="X309" s="456"/>
      <c r="Y309" s="456"/>
      <c r="Z309" s="456"/>
      <c r="AA309" s="456"/>
      <c r="AB309" s="456"/>
      <c r="AC309" s="456"/>
      <c r="AD309" s="456"/>
      <c r="AE309" s="457">
        <f t="shared" si="16"/>
        <v>3</v>
      </c>
      <c r="AF309" s="456"/>
      <c r="AG309" s="488">
        <f>+(AE309/L309)</f>
        <v>1</v>
      </c>
      <c r="AH309" s="462">
        <f t="shared" si="14"/>
        <v>1</v>
      </c>
      <c r="AI309" s="456"/>
      <c r="AJ309" s="456"/>
      <c r="AK309" s="456"/>
      <c r="AL309" s="456"/>
      <c r="AM309" s="456"/>
      <c r="AN309" s="456"/>
      <c r="AO309" s="456"/>
      <c r="AP309" s="456"/>
      <c r="AQ309" s="456"/>
      <c r="AR309" s="456"/>
      <c r="AS309" s="456"/>
      <c r="AT309" s="456"/>
    </row>
    <row r="310" spans="1:46" ht="33.75" x14ac:dyDescent="0.2">
      <c r="A310" s="729"/>
      <c r="B310" s="727"/>
      <c r="C310" s="711"/>
      <c r="D310" s="714"/>
      <c r="E310" s="708"/>
      <c r="F310" s="708"/>
      <c r="G310" s="720"/>
      <c r="H310" s="708"/>
      <c r="I310" s="718"/>
      <c r="J310" s="557" t="s">
        <v>1442</v>
      </c>
      <c r="K310" s="483" t="s">
        <v>1447</v>
      </c>
      <c r="L310" s="457">
        <v>3</v>
      </c>
      <c r="M310" s="457" t="s">
        <v>127</v>
      </c>
      <c r="N310" s="457"/>
      <c r="O310" s="456"/>
      <c r="P310" s="456"/>
      <c r="Q310" s="456"/>
      <c r="R310" s="456"/>
      <c r="S310" s="457">
        <v>3</v>
      </c>
      <c r="T310" s="456"/>
      <c r="U310" s="456"/>
      <c r="V310" s="456"/>
      <c r="W310" s="456"/>
      <c r="X310" s="456"/>
      <c r="Y310" s="456"/>
      <c r="Z310" s="456"/>
      <c r="AA310" s="456"/>
      <c r="AB310" s="456"/>
      <c r="AC310" s="456"/>
      <c r="AD310" s="456"/>
      <c r="AE310" s="457">
        <f t="shared" si="16"/>
        <v>3</v>
      </c>
      <c r="AF310" s="456"/>
      <c r="AG310" s="488">
        <f>+(AE310/L310)</f>
        <v>1</v>
      </c>
      <c r="AH310" s="462">
        <f t="shared" si="14"/>
        <v>1</v>
      </c>
      <c r="AI310" s="456"/>
      <c r="AJ310" s="456"/>
      <c r="AK310" s="456"/>
      <c r="AL310" s="456"/>
      <c r="AM310" s="456"/>
      <c r="AN310" s="456"/>
      <c r="AO310" s="456"/>
      <c r="AP310" s="456"/>
      <c r="AQ310" s="456"/>
      <c r="AR310" s="456"/>
      <c r="AS310" s="456"/>
      <c r="AT310" s="456"/>
    </row>
    <row r="311" spans="1:46" ht="33.75" x14ac:dyDescent="0.2">
      <c r="A311" s="729"/>
      <c r="B311" s="727"/>
      <c r="C311" s="711"/>
      <c r="D311" s="714"/>
      <c r="E311" s="708"/>
      <c r="F311" s="708"/>
      <c r="G311" s="720"/>
      <c r="H311" s="708"/>
      <c r="I311" s="718"/>
      <c r="J311" s="557" t="s">
        <v>1450</v>
      </c>
      <c r="K311" s="457" t="s">
        <v>1448</v>
      </c>
      <c r="L311" s="555">
        <v>80000000000</v>
      </c>
      <c r="M311" s="457" t="s">
        <v>127</v>
      </c>
      <c r="N311" s="457"/>
      <c r="O311" s="456"/>
      <c r="P311" s="456"/>
      <c r="Q311" s="456"/>
      <c r="R311" s="456"/>
      <c r="S311" s="555">
        <v>80000000000</v>
      </c>
      <c r="T311" s="456"/>
      <c r="U311" s="456"/>
      <c r="V311" s="456"/>
      <c r="W311" s="456"/>
      <c r="X311" s="456"/>
      <c r="Y311" s="456"/>
      <c r="Z311" s="456"/>
      <c r="AA311" s="456"/>
      <c r="AB311" s="456"/>
      <c r="AC311" s="456"/>
      <c r="AD311" s="456"/>
      <c r="AE311" s="457">
        <f t="shared" si="16"/>
        <v>80000000000</v>
      </c>
      <c r="AF311" s="456"/>
      <c r="AG311" s="488">
        <f>+(AE311/L311)</f>
        <v>1</v>
      </c>
      <c r="AH311" s="462">
        <f t="shared" si="14"/>
        <v>1</v>
      </c>
      <c r="AI311" s="456"/>
      <c r="AJ311" s="456"/>
      <c r="AK311" s="456"/>
      <c r="AL311" s="456"/>
      <c r="AM311" s="456"/>
      <c r="AN311" s="456"/>
      <c r="AO311" s="456"/>
      <c r="AP311" s="456"/>
      <c r="AQ311" s="456"/>
      <c r="AR311" s="456"/>
      <c r="AS311" s="456"/>
      <c r="AT311" s="456"/>
    </row>
    <row r="312" spans="1:46" x14ac:dyDescent="0.2">
      <c r="A312" s="729"/>
      <c r="B312" s="727"/>
      <c r="C312" s="711"/>
      <c r="D312" s="714"/>
      <c r="E312" s="708"/>
      <c r="F312" s="708"/>
      <c r="G312" s="720"/>
      <c r="H312" s="708"/>
      <c r="I312" s="718"/>
      <c r="J312" s="557" t="s">
        <v>1444</v>
      </c>
      <c r="K312" s="457" t="s">
        <v>1449</v>
      </c>
      <c r="L312" s="519">
        <v>0.9</v>
      </c>
      <c r="M312" s="457" t="s">
        <v>127</v>
      </c>
      <c r="N312" s="457"/>
      <c r="O312" s="456"/>
      <c r="P312" s="456"/>
      <c r="Q312" s="456"/>
      <c r="R312" s="456"/>
      <c r="S312" s="457">
        <v>0.1</v>
      </c>
      <c r="T312" s="456"/>
      <c r="U312" s="456"/>
      <c r="V312" s="456"/>
      <c r="W312" s="456"/>
      <c r="X312" s="456"/>
      <c r="Y312" s="456"/>
      <c r="Z312" s="456"/>
      <c r="AA312" s="456"/>
      <c r="AB312" s="456"/>
      <c r="AC312" s="456"/>
      <c r="AD312" s="456"/>
      <c r="AE312" s="457">
        <f>+S312</f>
        <v>0.1</v>
      </c>
      <c r="AF312" s="456"/>
      <c r="AG312" s="488">
        <v>1</v>
      </c>
      <c r="AH312" s="462">
        <f t="shared" si="14"/>
        <v>1</v>
      </c>
      <c r="AI312" s="456"/>
      <c r="AJ312" s="456"/>
      <c r="AK312" s="456"/>
      <c r="AL312" s="456"/>
      <c r="AM312" s="456"/>
      <c r="AN312" s="456"/>
      <c r="AO312" s="456"/>
      <c r="AP312" s="456"/>
      <c r="AQ312" s="456"/>
      <c r="AR312" s="456"/>
      <c r="AS312" s="456"/>
      <c r="AT312" s="456"/>
    </row>
    <row r="313" spans="1:46" ht="47.25" customHeight="1" x14ac:dyDescent="0.2">
      <c r="A313" s="729"/>
      <c r="B313" s="727"/>
      <c r="C313" s="711"/>
      <c r="D313" s="714"/>
      <c r="E313" s="708"/>
      <c r="F313" s="709"/>
      <c r="G313" s="721"/>
      <c r="H313" s="709"/>
      <c r="I313" s="707"/>
      <c r="J313" s="456"/>
      <c r="K313" s="456"/>
      <c r="L313" s="456"/>
      <c r="M313" s="456"/>
      <c r="N313" s="456"/>
      <c r="O313" s="456"/>
      <c r="P313" s="456"/>
      <c r="Q313" s="456"/>
      <c r="R313" s="456"/>
      <c r="S313" s="456"/>
      <c r="T313" s="456"/>
      <c r="U313" s="456"/>
      <c r="V313" s="456"/>
      <c r="W313" s="456"/>
      <c r="X313" s="456"/>
      <c r="Y313" s="456"/>
      <c r="Z313" s="456"/>
      <c r="AA313" s="456"/>
      <c r="AB313" s="456"/>
      <c r="AC313" s="456"/>
      <c r="AD313" s="456"/>
      <c r="AE313" s="457"/>
      <c r="AF313" s="456"/>
      <c r="AG313" s="548">
        <f>AVERAGE(AG308:AG312)</f>
        <v>1</v>
      </c>
      <c r="AH313" s="462">
        <f t="shared" si="14"/>
        <v>1</v>
      </c>
      <c r="AI313" s="456"/>
      <c r="AJ313" s="456"/>
      <c r="AK313" s="456"/>
      <c r="AL313" s="456"/>
      <c r="AM313" s="456"/>
      <c r="AN313" s="456"/>
      <c r="AO313" s="456"/>
      <c r="AP313" s="456"/>
      <c r="AQ313" s="456"/>
      <c r="AR313" s="456"/>
      <c r="AS313" s="456"/>
      <c r="AT313" s="456"/>
    </row>
    <row r="314" spans="1:46" ht="50.25" customHeight="1" x14ac:dyDescent="0.2">
      <c r="A314" s="729"/>
      <c r="B314" s="727"/>
      <c r="C314" s="711"/>
      <c r="D314" s="715"/>
      <c r="E314" s="709"/>
      <c r="F314" s="456"/>
      <c r="G314" s="456"/>
      <c r="H314" s="456"/>
      <c r="I314" s="456"/>
      <c r="J314" s="456"/>
      <c r="K314" s="456"/>
      <c r="L314" s="456"/>
      <c r="M314" s="456"/>
      <c r="N314" s="456"/>
      <c r="O314" s="456"/>
      <c r="P314" s="456"/>
      <c r="Q314" s="456"/>
      <c r="R314" s="456"/>
      <c r="S314" s="456"/>
      <c r="T314" s="456"/>
      <c r="U314" s="456"/>
      <c r="V314" s="456"/>
      <c r="W314" s="456"/>
      <c r="X314" s="456"/>
      <c r="Y314" s="456"/>
      <c r="Z314" s="456"/>
      <c r="AA314" s="456"/>
      <c r="AB314" s="456"/>
      <c r="AC314" s="456"/>
      <c r="AD314" s="456"/>
      <c r="AE314" s="457"/>
      <c r="AF314" s="456"/>
      <c r="AG314" s="558">
        <f>+(AG288+AG292+AG295+AG299+AG307+AG313)/6</f>
        <v>0.4537247474747475</v>
      </c>
      <c r="AH314" s="462">
        <f t="shared" si="14"/>
        <v>0.4537247474747475</v>
      </c>
      <c r="AI314" s="456"/>
      <c r="AJ314" s="456"/>
      <c r="AK314" s="456"/>
      <c r="AL314" s="456"/>
      <c r="AM314" s="456"/>
      <c r="AN314" s="456"/>
      <c r="AO314" s="456"/>
      <c r="AP314" s="456"/>
      <c r="AQ314" s="456"/>
      <c r="AR314" s="456"/>
      <c r="AS314" s="456"/>
      <c r="AT314" s="456"/>
    </row>
    <row r="315" spans="1:46" ht="35.25" customHeight="1" x14ac:dyDescent="0.2">
      <c r="A315" s="729"/>
      <c r="B315" s="727"/>
      <c r="C315" s="712"/>
      <c r="D315" s="456"/>
      <c r="E315" s="456"/>
      <c r="F315" s="456"/>
      <c r="G315" s="456"/>
      <c r="H315" s="456"/>
      <c r="I315" s="456"/>
      <c r="J315" s="456"/>
      <c r="K315" s="456"/>
      <c r="L315" s="456"/>
      <c r="M315" s="456"/>
      <c r="N315" s="456"/>
      <c r="O315" s="456"/>
      <c r="P315" s="456"/>
      <c r="Q315" s="456"/>
      <c r="R315" s="456"/>
      <c r="S315" s="456"/>
      <c r="T315" s="456"/>
      <c r="U315" s="456"/>
      <c r="V315" s="456"/>
      <c r="W315" s="456"/>
      <c r="X315" s="456"/>
      <c r="Y315" s="456"/>
      <c r="Z315" s="456"/>
      <c r="AA315" s="456"/>
      <c r="AB315" s="456"/>
      <c r="AC315" s="456"/>
      <c r="AD315" s="456"/>
      <c r="AE315" s="457"/>
      <c r="AF315" s="456"/>
      <c r="AG315" s="559">
        <f>+(AG267+AG314)/2</f>
        <v>0.54304910213243551</v>
      </c>
      <c r="AH315" s="462">
        <f t="shared" si="14"/>
        <v>0.54304910213243551</v>
      </c>
      <c r="AI315" s="456"/>
      <c r="AJ315" s="456"/>
      <c r="AK315" s="456"/>
      <c r="AL315" s="456"/>
      <c r="AM315" s="456"/>
      <c r="AN315" s="456"/>
      <c r="AO315" s="456"/>
      <c r="AP315" s="456"/>
      <c r="AQ315" s="456"/>
      <c r="AR315" s="456"/>
      <c r="AS315" s="456"/>
      <c r="AT315" s="456"/>
    </row>
    <row r="316" spans="1:46" ht="50.25" customHeight="1" x14ac:dyDescent="0.2">
      <c r="A316" s="729"/>
      <c r="B316" s="728"/>
      <c r="C316" s="560"/>
      <c r="D316" s="456"/>
      <c r="E316" s="456"/>
      <c r="F316" s="456"/>
      <c r="G316" s="456"/>
      <c r="H316" s="456"/>
      <c r="I316" s="456"/>
      <c r="J316" s="456"/>
      <c r="K316" s="456"/>
      <c r="L316" s="456"/>
      <c r="M316" s="456"/>
      <c r="N316" s="456"/>
      <c r="O316" s="456"/>
      <c r="P316" s="456"/>
      <c r="Q316" s="456"/>
      <c r="R316" s="456"/>
      <c r="S316" s="456"/>
      <c r="T316" s="456"/>
      <c r="U316" s="456"/>
      <c r="V316" s="456"/>
      <c r="W316" s="456"/>
      <c r="X316" s="456"/>
      <c r="Y316" s="456"/>
      <c r="Z316" s="456"/>
      <c r="AA316" s="456"/>
      <c r="AB316" s="456"/>
      <c r="AC316" s="456"/>
      <c r="AD316" s="456"/>
      <c r="AE316" s="457"/>
      <c r="AF316" s="456"/>
      <c r="AG316" s="510">
        <f>+(AG179+AG210+AG232+AG257+AG315)/5</f>
        <v>0.63532366008723695</v>
      </c>
      <c r="AH316" s="462">
        <f t="shared" si="14"/>
        <v>0.63532366008723695</v>
      </c>
      <c r="AI316" s="456"/>
      <c r="AJ316" s="456"/>
      <c r="AK316" s="456"/>
      <c r="AL316" s="456"/>
      <c r="AM316" s="456"/>
      <c r="AN316" s="456"/>
      <c r="AO316" s="456"/>
      <c r="AP316" s="456"/>
      <c r="AQ316" s="456"/>
      <c r="AR316" s="456"/>
      <c r="AS316" s="456"/>
      <c r="AT316" s="456"/>
    </row>
    <row r="317" spans="1:46" ht="169.5" customHeight="1" x14ac:dyDescent="0.2">
      <c r="A317" s="729"/>
      <c r="B317" s="456"/>
      <c r="C317" s="456"/>
      <c r="D317" s="456"/>
      <c r="E317" s="456"/>
      <c r="F317" s="456"/>
      <c r="G317" s="456"/>
      <c r="H317" s="456"/>
      <c r="I317" s="456"/>
      <c r="J317" s="456"/>
      <c r="K317" s="456"/>
      <c r="L317" s="456"/>
      <c r="M317" s="456"/>
      <c r="N317" s="456"/>
      <c r="O317" s="456"/>
      <c r="P317" s="456"/>
      <c r="Q317" s="456"/>
      <c r="R317" s="456"/>
      <c r="S317" s="456"/>
      <c r="T317" s="456"/>
      <c r="U317" s="456"/>
      <c r="V317" s="456"/>
      <c r="W317" s="456"/>
      <c r="X317" s="456"/>
      <c r="Y317" s="456"/>
      <c r="Z317" s="456"/>
      <c r="AA317" s="456"/>
      <c r="AB317" s="456"/>
      <c r="AC317" s="456"/>
      <c r="AD317" s="456"/>
      <c r="AE317" s="457"/>
      <c r="AF317" s="456"/>
      <c r="AG317" s="561">
        <f>+(AG97+AG164+AG316)/3</f>
        <v>0.64528991237731059</v>
      </c>
      <c r="AH317" s="462">
        <f t="shared" si="14"/>
        <v>0.64528991237731059</v>
      </c>
      <c r="AI317" s="456"/>
      <c r="AJ317" s="456"/>
      <c r="AK317" s="456"/>
      <c r="AL317" s="456"/>
      <c r="AM317" s="456"/>
      <c r="AN317" s="456"/>
      <c r="AO317" s="456"/>
      <c r="AP317" s="456"/>
      <c r="AQ317" s="456"/>
      <c r="AR317" s="456"/>
      <c r="AS317" s="456"/>
      <c r="AT317" s="456"/>
    </row>
  </sheetData>
  <autoFilter ref="A2:AT2" xr:uid="{00000000-0009-0000-0000-000001000000}"/>
  <mergeCells count="310">
    <mergeCell ref="Q150:Q151"/>
    <mergeCell ref="AJ218:AJ220"/>
    <mergeCell ref="AS218:AS220"/>
    <mergeCell ref="AT218:AT220"/>
    <mergeCell ref="AJ173:AJ175"/>
    <mergeCell ref="AS173:AS175"/>
    <mergeCell ref="AT173:AT175"/>
    <mergeCell ref="AS211:AS216"/>
    <mergeCell ref="AT211:AT216"/>
    <mergeCell ref="AJ165:AJ172"/>
    <mergeCell ref="AS165:AS172"/>
    <mergeCell ref="AE150:AE151"/>
    <mergeCell ref="AJ249:AJ250"/>
    <mergeCell ref="AS249:AS250"/>
    <mergeCell ref="AT249:AT250"/>
    <mergeCell ref="AJ63:AJ70"/>
    <mergeCell ref="AS63:AS70"/>
    <mergeCell ref="AT63:AT70"/>
    <mergeCell ref="AT165:AT172"/>
    <mergeCell ref="AJ211:AJ216"/>
    <mergeCell ref="AJ117:AJ118"/>
    <mergeCell ref="AS117:AS118"/>
    <mergeCell ref="AT117:AT118"/>
    <mergeCell ref="AJ122:AJ123"/>
    <mergeCell ref="AS122:AS123"/>
    <mergeCell ref="AT122:AT123"/>
    <mergeCell ref="AJ106:AJ111"/>
    <mergeCell ref="AS106:AS111"/>
    <mergeCell ref="AT106:AT111"/>
    <mergeCell ref="AJ114:AJ115"/>
    <mergeCell ref="AS114:AS115"/>
    <mergeCell ref="AT114:AT115"/>
    <mergeCell ref="AJ99:AJ101"/>
    <mergeCell ref="AS99:AS101"/>
    <mergeCell ref="AT99:AT101"/>
    <mergeCell ref="AJ103:AJ104"/>
    <mergeCell ref="AS103:AS104"/>
    <mergeCell ref="AT103:AT104"/>
    <mergeCell ref="AJ269:AJ295"/>
    <mergeCell ref="AS269:AS295"/>
    <mergeCell ref="AT270:AT295"/>
    <mergeCell ref="AJ296:AJ298"/>
    <mergeCell ref="AS296:AS298"/>
    <mergeCell ref="AT296:AT298"/>
    <mergeCell ref="H233:H243"/>
    <mergeCell ref="I233:I243"/>
    <mergeCell ref="I244:I248"/>
    <mergeCell ref="I249:I251"/>
    <mergeCell ref="I211:I215"/>
    <mergeCell ref="I216:I217"/>
    <mergeCell ref="I218:I221"/>
    <mergeCell ref="I222:I226"/>
    <mergeCell ref="I180:I185"/>
    <mergeCell ref="I186:I187"/>
    <mergeCell ref="I188:I189"/>
    <mergeCell ref="I190:I191"/>
    <mergeCell ref="L150:L151"/>
    <mergeCell ref="M150:M151"/>
    <mergeCell ref="I148:I149"/>
    <mergeCell ref="I140:I146"/>
    <mergeCell ref="I252:I256"/>
    <mergeCell ref="C233:C257"/>
    <mergeCell ref="D233:D257"/>
    <mergeCell ref="E244:E257"/>
    <mergeCell ref="F244:F257"/>
    <mergeCell ref="G244:G256"/>
    <mergeCell ref="H244:H256"/>
    <mergeCell ref="E233:E243"/>
    <mergeCell ref="F233:F243"/>
    <mergeCell ref="G233:G243"/>
    <mergeCell ref="I204:I209"/>
    <mergeCell ref="I193:I198"/>
    <mergeCell ref="D193:D199"/>
    <mergeCell ref="E193:E199"/>
    <mergeCell ref="F193:F199"/>
    <mergeCell ref="G193:G199"/>
    <mergeCell ref="H193:H199"/>
    <mergeCell ref="I200:I203"/>
    <mergeCell ref="C211:C232"/>
    <mergeCell ref="I227:I230"/>
    <mergeCell ref="G211:G231"/>
    <mergeCell ref="H211:H231"/>
    <mergeCell ref="D211:D232"/>
    <mergeCell ref="E211:E232"/>
    <mergeCell ref="F211:F231"/>
    <mergeCell ref="I171:I172"/>
    <mergeCell ref="I173:I175"/>
    <mergeCell ref="I176:I177"/>
    <mergeCell ref="D165:D178"/>
    <mergeCell ref="E171:E178"/>
    <mergeCell ref="F171:F178"/>
    <mergeCell ref="G171:G178"/>
    <mergeCell ref="H171:H178"/>
    <mergeCell ref="I165:I168"/>
    <mergeCell ref="I169:I170"/>
    <mergeCell ref="G122:G124"/>
    <mergeCell ref="H122:H124"/>
    <mergeCell ref="C180:C210"/>
    <mergeCell ref="D200:D209"/>
    <mergeCell ref="E200:E209"/>
    <mergeCell ref="F200:F209"/>
    <mergeCell ref="G200:G209"/>
    <mergeCell ref="H200:H209"/>
    <mergeCell ref="G186:G191"/>
    <mergeCell ref="H186:H191"/>
    <mergeCell ref="D180:D192"/>
    <mergeCell ref="E186:E191"/>
    <mergeCell ref="F186:F191"/>
    <mergeCell ref="E183:E184"/>
    <mergeCell ref="F183:F184"/>
    <mergeCell ref="G183:G184"/>
    <mergeCell ref="H169:H170"/>
    <mergeCell ref="E169:E170"/>
    <mergeCell ref="F169:F170"/>
    <mergeCell ref="G169:G170"/>
    <mergeCell ref="G154:G163"/>
    <mergeCell ref="H154:H163"/>
    <mergeCell ref="F126:F147"/>
    <mergeCell ref="G126:G147"/>
    <mergeCell ref="G148:G149"/>
    <mergeCell ref="H148:H149"/>
    <mergeCell ref="E148:E149"/>
    <mergeCell ref="F148:F149"/>
    <mergeCell ref="H150:H151"/>
    <mergeCell ref="G150:G151"/>
    <mergeCell ref="C154:C163"/>
    <mergeCell ref="D154:D163"/>
    <mergeCell ref="E154:E163"/>
    <mergeCell ref="F154:F163"/>
    <mergeCell ref="C98:C113"/>
    <mergeCell ref="D114:D116"/>
    <mergeCell ref="C114:C125"/>
    <mergeCell ref="D126:D147"/>
    <mergeCell ref="E126:E147"/>
    <mergeCell ref="C126:C153"/>
    <mergeCell ref="D148:D152"/>
    <mergeCell ref="E150:E151"/>
    <mergeCell ref="F150:F151"/>
    <mergeCell ref="D120:D121"/>
    <mergeCell ref="D122:D124"/>
    <mergeCell ref="E122:E124"/>
    <mergeCell ref="F122:F124"/>
    <mergeCell ref="D103:D105"/>
    <mergeCell ref="E103:E105"/>
    <mergeCell ref="F103:F105"/>
    <mergeCell ref="D98:D102"/>
    <mergeCell ref="E98:E102"/>
    <mergeCell ref="F98:F102"/>
    <mergeCell ref="D106:D112"/>
    <mergeCell ref="I150:I151"/>
    <mergeCell ref="J150:J151"/>
    <mergeCell ref="K150:K151"/>
    <mergeCell ref="I126:I134"/>
    <mergeCell ref="I135:I139"/>
    <mergeCell ref="O150:O151"/>
    <mergeCell ref="P150:P151"/>
    <mergeCell ref="I154:I163"/>
    <mergeCell ref="J148:J149"/>
    <mergeCell ref="K148:K149"/>
    <mergeCell ref="N150:N151"/>
    <mergeCell ref="I114:I115"/>
    <mergeCell ref="E117:E118"/>
    <mergeCell ref="F117:F118"/>
    <mergeCell ref="G117:G118"/>
    <mergeCell ref="H117:H118"/>
    <mergeCell ref="I117:I118"/>
    <mergeCell ref="D117:D119"/>
    <mergeCell ref="H79:H95"/>
    <mergeCell ref="I106:I112"/>
    <mergeCell ref="I98:I102"/>
    <mergeCell ref="G103:G105"/>
    <mergeCell ref="H103:H105"/>
    <mergeCell ref="I103:I105"/>
    <mergeCell ref="E106:E112"/>
    <mergeCell ref="I35:I39"/>
    <mergeCell ref="E30:E39"/>
    <mergeCell ref="F30:F39"/>
    <mergeCell ref="G30:G39"/>
    <mergeCell ref="H30:H39"/>
    <mergeCell ref="I72:I74"/>
    <mergeCell ref="E72:E78"/>
    <mergeCell ref="F72:F78"/>
    <mergeCell ref="G72:G78"/>
    <mergeCell ref="H72:H78"/>
    <mergeCell ref="G40:G44"/>
    <mergeCell ref="I75:I77"/>
    <mergeCell ref="I40:I44"/>
    <mergeCell ref="E40:E44"/>
    <mergeCell ref="F40:F44"/>
    <mergeCell ref="G106:G112"/>
    <mergeCell ref="E165:E168"/>
    <mergeCell ref="F165:F168"/>
    <mergeCell ref="G165:G168"/>
    <mergeCell ref="H165:H168"/>
    <mergeCell ref="H106:H112"/>
    <mergeCell ref="G114:G115"/>
    <mergeCell ref="H126:H147"/>
    <mergeCell ref="E63:E71"/>
    <mergeCell ref="F63:F71"/>
    <mergeCell ref="G63:G71"/>
    <mergeCell ref="H63:H71"/>
    <mergeCell ref="H40:H44"/>
    <mergeCell ref="I122:I124"/>
    <mergeCell ref="E114:E115"/>
    <mergeCell ref="F114:F115"/>
    <mergeCell ref="I79:I83"/>
    <mergeCell ref="I84:I86"/>
    <mergeCell ref="I87:I90"/>
    <mergeCell ref="I91:I94"/>
    <mergeCell ref="E79:E95"/>
    <mergeCell ref="A1:A2"/>
    <mergeCell ref="B1:B2"/>
    <mergeCell ref="C1:C2"/>
    <mergeCell ref="D1:D2"/>
    <mergeCell ref="E1:E2"/>
    <mergeCell ref="F1:F2"/>
    <mergeCell ref="AQ1:AQ2"/>
    <mergeCell ref="AR1:AR2"/>
    <mergeCell ref="AS1:AS2"/>
    <mergeCell ref="M1:M2"/>
    <mergeCell ref="R1:U1"/>
    <mergeCell ref="V1:Y1"/>
    <mergeCell ref="Z1:AC1"/>
    <mergeCell ref="AD1:AD2"/>
    <mergeCell ref="AE1:AE2"/>
    <mergeCell ref="AF1:AF2"/>
    <mergeCell ref="AG1:AG2"/>
    <mergeCell ref="AH1:AH2"/>
    <mergeCell ref="G1:G2"/>
    <mergeCell ref="H1:H2"/>
    <mergeCell ref="I1:I2"/>
    <mergeCell ref="J1:J2"/>
    <mergeCell ref="K1:K2"/>
    <mergeCell ref="L1:L2"/>
    <mergeCell ref="AT1:AT2"/>
    <mergeCell ref="AK1:AK2"/>
    <mergeCell ref="AL1:AL2"/>
    <mergeCell ref="AM1:AM2"/>
    <mergeCell ref="AN1:AN2"/>
    <mergeCell ref="AO1:AO2"/>
    <mergeCell ref="AP1:AP2"/>
    <mergeCell ref="AI1:AI2"/>
    <mergeCell ref="AJ1:AJ2"/>
    <mergeCell ref="N1:Q1"/>
    <mergeCell ref="I63:I66"/>
    <mergeCell ref="I67:I70"/>
    <mergeCell ref="D29:D49"/>
    <mergeCell ref="E45:E48"/>
    <mergeCell ref="F45:F48"/>
    <mergeCell ref="G45:G48"/>
    <mergeCell ref="H45:H48"/>
    <mergeCell ref="I45:I48"/>
    <mergeCell ref="I50:I51"/>
    <mergeCell ref="I52:I53"/>
    <mergeCell ref="I58:I59"/>
    <mergeCell ref="D50:D62"/>
    <mergeCell ref="E50:E62"/>
    <mergeCell ref="F50:F62"/>
    <mergeCell ref="G50:G62"/>
    <mergeCell ref="H50:H62"/>
    <mergeCell ref="I60:I61"/>
    <mergeCell ref="I54:I57"/>
    <mergeCell ref="I3:I10"/>
    <mergeCell ref="I12:I27"/>
    <mergeCell ref="I29:I34"/>
    <mergeCell ref="D3:D28"/>
    <mergeCell ref="E12:E28"/>
    <mergeCell ref="B165:B316"/>
    <mergeCell ref="A3:A317"/>
    <mergeCell ref="B3:B97"/>
    <mergeCell ref="C3:C97"/>
    <mergeCell ref="H183:H184"/>
    <mergeCell ref="C165:C176"/>
    <mergeCell ref="G98:G102"/>
    <mergeCell ref="H98:H102"/>
    <mergeCell ref="H114:H115"/>
    <mergeCell ref="F106:F112"/>
    <mergeCell ref="G258:G267"/>
    <mergeCell ref="E3:E11"/>
    <mergeCell ref="F3:F11"/>
    <mergeCell ref="D63:D71"/>
    <mergeCell ref="G3:G11"/>
    <mergeCell ref="H3:H11"/>
    <mergeCell ref="F12:F28"/>
    <mergeCell ref="G12:G28"/>
    <mergeCell ref="H12:H28"/>
    <mergeCell ref="D72:D78"/>
    <mergeCell ref="D79:D95"/>
    <mergeCell ref="F79:F95"/>
    <mergeCell ref="G79:G95"/>
    <mergeCell ref="B98:B164"/>
    <mergeCell ref="I268:I288"/>
    <mergeCell ref="I289:I292"/>
    <mergeCell ref="I296:I299"/>
    <mergeCell ref="C258:C315"/>
    <mergeCell ref="D268:D314"/>
    <mergeCell ref="E268:E314"/>
    <mergeCell ref="I265:I266"/>
    <mergeCell ref="D258:D267"/>
    <mergeCell ref="E258:E267"/>
    <mergeCell ref="F258:F267"/>
    <mergeCell ref="I300:I307"/>
    <mergeCell ref="I308:I313"/>
    <mergeCell ref="F268:F313"/>
    <mergeCell ref="G268:G313"/>
    <mergeCell ref="H268:H313"/>
    <mergeCell ref="I293:I294"/>
    <mergeCell ref="I258:I260"/>
    <mergeCell ref="I261:I264"/>
    <mergeCell ref="H258:H267"/>
  </mergeCells>
  <conditionalFormatting sqref="AH3:AH317">
    <cfRule type="cellIs" dxfId="8" priority="1" stopIfTrue="1" operator="between">
      <formula>0.7875</formula>
      <formula>1</formula>
    </cfRule>
    <cfRule type="cellIs" dxfId="7" priority="2" stopIfTrue="1" operator="between">
      <formula>0.7874</formula>
      <formula>0.525</formula>
    </cfRule>
    <cfRule type="cellIs" dxfId="6" priority="3" stopIfTrue="1" operator="between">
      <formula>0</formula>
      <formula>0.524</formula>
    </cfRule>
  </conditionalFormatting>
  <pageMargins left="0.7" right="0.7" top="0.75" bottom="0.75" header="0.3" footer="0.3"/>
  <pageSetup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A1:AT208"/>
  <sheetViews>
    <sheetView topLeftCell="C1" zoomScale="60" zoomScaleNormal="60" workbookViewId="0">
      <pane xSplit="2" ySplit="2" topLeftCell="P199" activePane="bottomRight" state="frozen"/>
      <selection activeCell="C1" sqref="C1"/>
      <selection pane="topRight" activeCell="E1" sqref="E1"/>
      <selection pane="bottomLeft" activeCell="C3" sqref="C3"/>
      <selection pane="bottomRight" activeCell="AG200" sqref="AG200"/>
    </sheetView>
  </sheetViews>
  <sheetFormatPr baseColWidth="10" defaultRowHeight="15" x14ac:dyDescent="0.25"/>
  <cols>
    <col min="1" max="1" width="13" style="101" customWidth="1"/>
    <col min="2" max="2" width="12.5703125" style="101" customWidth="1"/>
    <col min="3" max="3" width="12.85546875" style="101" hidden="1" customWidth="1"/>
    <col min="4" max="4" width="36.140625" style="101" hidden="1" customWidth="1"/>
    <col min="5" max="5" width="17.5703125" style="101" hidden="1" customWidth="1"/>
    <col min="6" max="6" width="15" style="101" hidden="1" customWidth="1"/>
    <col min="7" max="7" width="15.28515625" style="101" hidden="1" customWidth="1"/>
    <col min="8" max="8" width="23.85546875" style="101" hidden="1" customWidth="1"/>
    <col min="9" max="9" width="22.85546875" style="101" customWidth="1"/>
    <col min="10" max="10" width="27.28515625" style="101" customWidth="1"/>
    <col min="11" max="11" width="0.85546875" style="101" customWidth="1"/>
    <col min="12" max="12" width="28.28515625" style="101" customWidth="1"/>
    <col min="13" max="13" width="11.28515625" style="101" hidden="1" customWidth="1"/>
    <col min="14" max="14" width="10.140625" style="101" hidden="1" customWidth="1"/>
    <col min="15" max="15" width="9.42578125" style="101" hidden="1" customWidth="1"/>
    <col min="16" max="16" width="15.5703125" style="101" customWidth="1"/>
    <col min="17" max="17" width="14.85546875" style="101" customWidth="1"/>
    <col min="18" max="18" width="9.140625" style="101" customWidth="1"/>
    <col min="19" max="19" width="10.85546875" style="122" customWidth="1"/>
    <col min="20" max="20" width="10.7109375" style="101" customWidth="1"/>
    <col min="21" max="21" width="22.140625" style="101" customWidth="1"/>
    <col min="22" max="22" width="15.42578125" style="101" customWidth="1"/>
    <col min="23" max="23" width="12" style="101" customWidth="1"/>
    <col min="24" max="24" width="17.5703125" style="101" customWidth="1"/>
    <col min="25" max="25" width="21.140625" style="101" customWidth="1"/>
    <col min="26" max="26" width="22.5703125" style="101" customWidth="1"/>
    <col min="27" max="27" width="19.5703125" style="101" customWidth="1"/>
    <col min="28" max="28" width="10" style="101" hidden="1" customWidth="1"/>
    <col min="29" max="29" width="13.7109375" style="101" hidden="1" customWidth="1"/>
    <col min="30" max="30" width="14.28515625" style="101" hidden="1" customWidth="1"/>
    <col min="31" max="31" width="23.85546875" style="101" customWidth="1"/>
    <col min="32" max="32" width="18.42578125" style="101" hidden="1" customWidth="1"/>
    <col min="33" max="33" width="15.42578125" style="101" customWidth="1"/>
    <col min="34" max="34" width="19.7109375" style="101" customWidth="1"/>
    <col min="35" max="35" width="15.42578125" style="101" hidden="1" customWidth="1"/>
    <col min="36" max="36" width="19.7109375" style="101" customWidth="1"/>
    <col min="37" max="37" width="12" style="101" hidden="1" customWidth="1"/>
    <col min="38" max="38" width="15.85546875" style="101" hidden="1" customWidth="1"/>
    <col min="39" max="39" width="7.5703125" style="101" hidden="1" customWidth="1"/>
    <col min="40" max="40" width="14.140625" style="101" hidden="1" customWidth="1"/>
    <col min="41" max="41" width="17.28515625" style="101" hidden="1" customWidth="1"/>
    <col min="42" max="42" width="11.42578125" style="101" hidden="1" customWidth="1"/>
    <col min="43" max="43" width="14.7109375" style="101" hidden="1" customWidth="1"/>
    <col min="44" max="44" width="11.42578125" style="101" hidden="1" customWidth="1"/>
    <col min="45" max="45" width="17.5703125" style="101" bestFit="1" customWidth="1"/>
    <col min="46" max="46" width="19.42578125" style="101" customWidth="1"/>
    <col min="47" max="16384" width="11.42578125" style="101"/>
  </cols>
  <sheetData>
    <row r="1" spans="1:46" ht="36.75" customHeight="1" x14ac:dyDescent="0.25">
      <c r="A1" s="803" t="s">
        <v>0</v>
      </c>
      <c r="B1" s="803" t="s">
        <v>1</v>
      </c>
      <c r="C1" s="803" t="s">
        <v>2</v>
      </c>
      <c r="D1" s="803" t="s">
        <v>3</v>
      </c>
      <c r="E1" s="803" t="s">
        <v>5</v>
      </c>
      <c r="F1" s="803" t="s">
        <v>20</v>
      </c>
      <c r="G1" s="803" t="s">
        <v>33</v>
      </c>
      <c r="H1" s="803" t="s">
        <v>34</v>
      </c>
      <c r="I1" s="803" t="s">
        <v>4</v>
      </c>
      <c r="J1" s="803" t="s">
        <v>6</v>
      </c>
      <c r="K1" s="819" t="s">
        <v>21</v>
      </c>
      <c r="L1" s="803" t="s">
        <v>35</v>
      </c>
      <c r="M1" s="819" t="s">
        <v>31</v>
      </c>
      <c r="N1" s="823">
        <v>2016</v>
      </c>
      <c r="O1" s="824"/>
      <c r="P1" s="824"/>
      <c r="Q1" s="825"/>
      <c r="R1" s="814">
        <v>2017</v>
      </c>
      <c r="S1" s="815"/>
      <c r="T1" s="815"/>
      <c r="U1" s="816"/>
      <c r="V1" s="814">
        <v>2018</v>
      </c>
      <c r="W1" s="815"/>
      <c r="X1" s="815"/>
      <c r="Y1" s="816"/>
      <c r="Z1" s="814">
        <v>2019</v>
      </c>
      <c r="AA1" s="815"/>
      <c r="AB1" s="815"/>
      <c r="AC1" s="816"/>
      <c r="AD1" s="819" t="s">
        <v>22</v>
      </c>
      <c r="AE1" s="821" t="s">
        <v>2139</v>
      </c>
      <c r="AF1" s="819" t="s">
        <v>7</v>
      </c>
      <c r="AG1" s="821" t="s">
        <v>23</v>
      </c>
      <c r="AH1" s="819" t="s">
        <v>24</v>
      </c>
      <c r="AI1" s="819" t="s">
        <v>8</v>
      </c>
      <c r="AJ1" s="819" t="s">
        <v>9</v>
      </c>
      <c r="AK1" s="819" t="s">
        <v>10</v>
      </c>
      <c r="AL1" s="819" t="s">
        <v>11</v>
      </c>
      <c r="AM1" s="819" t="s">
        <v>12</v>
      </c>
      <c r="AN1" s="819" t="s">
        <v>13</v>
      </c>
      <c r="AO1" s="819" t="s">
        <v>14</v>
      </c>
      <c r="AP1" s="819" t="s">
        <v>15</v>
      </c>
      <c r="AQ1" s="819" t="s">
        <v>16</v>
      </c>
      <c r="AR1" s="819" t="s">
        <v>17</v>
      </c>
      <c r="AS1" s="819" t="s">
        <v>18</v>
      </c>
      <c r="AT1" s="819" t="s">
        <v>19</v>
      </c>
    </row>
    <row r="2" spans="1:46" ht="41.25" customHeight="1" x14ac:dyDescent="0.25">
      <c r="A2" s="804"/>
      <c r="B2" s="804"/>
      <c r="C2" s="804"/>
      <c r="D2" s="804"/>
      <c r="E2" s="804"/>
      <c r="F2" s="804"/>
      <c r="G2" s="804"/>
      <c r="H2" s="804"/>
      <c r="I2" s="804"/>
      <c r="J2" s="804"/>
      <c r="K2" s="820"/>
      <c r="L2" s="804"/>
      <c r="M2" s="820"/>
      <c r="N2" s="287" t="s">
        <v>2146</v>
      </c>
      <c r="O2" s="287" t="s">
        <v>2147</v>
      </c>
      <c r="P2" s="287" t="s">
        <v>2145</v>
      </c>
      <c r="Q2" s="287" t="s">
        <v>2190</v>
      </c>
      <c r="R2" s="286" t="s">
        <v>2146</v>
      </c>
      <c r="S2" s="286" t="s">
        <v>2147</v>
      </c>
      <c r="T2" s="287" t="s">
        <v>2145</v>
      </c>
      <c r="U2" s="287" t="s">
        <v>2188</v>
      </c>
      <c r="V2" s="286" t="s">
        <v>2146</v>
      </c>
      <c r="W2" s="286" t="s">
        <v>2147</v>
      </c>
      <c r="X2" s="287" t="s">
        <v>2145</v>
      </c>
      <c r="Y2" s="287" t="s">
        <v>2188</v>
      </c>
      <c r="Z2" s="286" t="s">
        <v>2146</v>
      </c>
      <c r="AA2" s="286" t="s">
        <v>2147</v>
      </c>
      <c r="AB2" s="287" t="s">
        <v>2145</v>
      </c>
      <c r="AC2" s="287" t="s">
        <v>2188</v>
      </c>
      <c r="AD2" s="820"/>
      <c r="AE2" s="822"/>
      <c r="AF2" s="820"/>
      <c r="AG2" s="822"/>
      <c r="AH2" s="820"/>
      <c r="AI2" s="820"/>
      <c r="AJ2" s="820"/>
      <c r="AK2" s="820"/>
      <c r="AL2" s="820"/>
      <c r="AM2" s="820"/>
      <c r="AN2" s="820"/>
      <c r="AO2" s="820"/>
      <c r="AP2" s="820"/>
      <c r="AQ2" s="820"/>
      <c r="AR2" s="820"/>
      <c r="AS2" s="820"/>
      <c r="AT2" s="820"/>
    </row>
    <row r="3" spans="1:46" ht="88.5" customHeight="1" x14ac:dyDescent="0.25">
      <c r="A3" s="659" t="s">
        <v>1467</v>
      </c>
      <c r="B3" s="817" t="s">
        <v>1468</v>
      </c>
      <c r="C3" s="811" t="s">
        <v>1469</v>
      </c>
      <c r="D3" s="659" t="s">
        <v>1470</v>
      </c>
      <c r="E3" s="132" t="s">
        <v>1473</v>
      </c>
      <c r="F3" s="132" t="s">
        <v>1472</v>
      </c>
      <c r="G3" s="132">
        <v>23</v>
      </c>
      <c r="H3" s="132">
        <v>27</v>
      </c>
      <c r="I3" s="632" t="s">
        <v>1471</v>
      </c>
      <c r="J3" s="95"/>
      <c r="K3" s="95"/>
      <c r="L3" s="132"/>
      <c r="M3" s="132"/>
      <c r="N3" s="132"/>
      <c r="O3" s="95"/>
      <c r="P3" s="99"/>
      <c r="Q3" s="99"/>
      <c r="R3" s="99"/>
      <c r="S3" s="99"/>
      <c r="T3" s="99"/>
      <c r="U3" s="99"/>
      <c r="V3" s="99"/>
      <c r="W3" s="99"/>
      <c r="X3" s="99"/>
      <c r="Y3" s="99"/>
      <c r="Z3" s="99"/>
      <c r="AA3" s="99"/>
      <c r="AB3" s="99"/>
      <c r="AC3" s="99"/>
      <c r="AD3" s="99"/>
      <c r="AE3" s="99">
        <f>+SUM(N3:AC3)</f>
        <v>0</v>
      </c>
      <c r="AF3" s="95"/>
      <c r="AG3" s="102">
        <v>1</v>
      </c>
      <c r="AH3" s="94">
        <f>+AG3</f>
        <v>1</v>
      </c>
      <c r="AI3" s="95"/>
      <c r="AJ3" s="95"/>
      <c r="AK3" s="95"/>
      <c r="AL3" s="95"/>
      <c r="AM3" s="95"/>
      <c r="AN3" s="95"/>
      <c r="AO3" s="95"/>
      <c r="AP3" s="95"/>
      <c r="AQ3" s="95"/>
      <c r="AR3" s="95"/>
      <c r="AS3" s="95"/>
      <c r="AT3" s="95"/>
    </row>
    <row r="4" spans="1:46" ht="88.5" customHeight="1" x14ac:dyDescent="0.25">
      <c r="A4" s="659"/>
      <c r="B4" s="817"/>
      <c r="C4" s="811"/>
      <c r="D4" s="659"/>
      <c r="E4" s="132" t="s">
        <v>1497</v>
      </c>
      <c r="F4" s="132" t="s">
        <v>1498</v>
      </c>
      <c r="G4" s="132">
        <v>6.4</v>
      </c>
      <c r="H4" s="132">
        <v>7.4</v>
      </c>
      <c r="I4" s="632"/>
      <c r="J4" s="131" t="s">
        <v>1478</v>
      </c>
      <c r="K4" s="131" t="s">
        <v>1480</v>
      </c>
      <c r="L4" s="99">
        <v>10</v>
      </c>
      <c r="M4" s="99">
        <v>74</v>
      </c>
      <c r="N4" s="99"/>
      <c r="O4" s="95"/>
      <c r="P4" s="99"/>
      <c r="Q4" s="99"/>
      <c r="R4" s="99"/>
      <c r="S4" s="99">
        <v>4</v>
      </c>
      <c r="T4" s="99"/>
      <c r="U4" s="99"/>
      <c r="V4" s="99"/>
      <c r="W4" s="99"/>
      <c r="X4" s="99"/>
      <c r="Y4" s="99"/>
      <c r="Z4" s="99"/>
      <c r="AA4" s="99"/>
      <c r="AB4" s="99"/>
      <c r="AC4" s="99"/>
      <c r="AD4" s="99"/>
      <c r="AE4" s="99">
        <f>+SUM(N4:AC4)</f>
        <v>4</v>
      </c>
      <c r="AF4" s="95"/>
      <c r="AG4" s="102">
        <f>+(AE4/L4)</f>
        <v>0.4</v>
      </c>
      <c r="AH4" s="94">
        <f t="shared" ref="AH4:AH67" si="0">+AG4</f>
        <v>0.4</v>
      </c>
      <c r="AI4" s="95"/>
      <c r="AJ4" s="95"/>
      <c r="AK4" s="95"/>
      <c r="AL4" s="95"/>
      <c r="AM4" s="95"/>
      <c r="AN4" s="95"/>
      <c r="AO4" s="95"/>
      <c r="AP4" s="95"/>
      <c r="AQ4" s="95"/>
      <c r="AR4" s="95"/>
      <c r="AS4" s="95"/>
      <c r="AT4" s="95"/>
    </row>
    <row r="5" spans="1:46" ht="90" customHeight="1" x14ac:dyDescent="0.25">
      <c r="A5" s="659"/>
      <c r="B5" s="817"/>
      <c r="C5" s="811"/>
      <c r="D5" s="659"/>
      <c r="E5" s="98" t="s">
        <v>1485</v>
      </c>
      <c r="F5" s="131" t="s">
        <v>1486</v>
      </c>
      <c r="G5" s="99">
        <v>0.4</v>
      </c>
      <c r="H5" s="99">
        <v>1.3</v>
      </c>
      <c r="I5" s="632"/>
      <c r="J5" s="131" t="s">
        <v>1479</v>
      </c>
      <c r="K5" s="131" t="s">
        <v>1481</v>
      </c>
      <c r="L5" s="99">
        <v>9</v>
      </c>
      <c r="M5" s="99">
        <v>13</v>
      </c>
      <c r="N5" s="99"/>
      <c r="O5" s="95"/>
      <c r="P5" s="99"/>
      <c r="Q5" s="99"/>
      <c r="R5" s="99"/>
      <c r="S5" s="99">
        <v>8</v>
      </c>
      <c r="T5" s="99"/>
      <c r="U5" s="99">
        <v>0</v>
      </c>
      <c r="V5" s="99">
        <v>0</v>
      </c>
      <c r="W5" s="99">
        <v>5</v>
      </c>
      <c r="X5" s="99"/>
      <c r="Y5" s="99"/>
      <c r="Z5" s="99">
        <v>2</v>
      </c>
      <c r="AA5" s="99"/>
      <c r="AB5" s="99"/>
      <c r="AC5" s="99"/>
      <c r="AD5" s="99"/>
      <c r="AE5" s="99">
        <f>+Z5+W5</f>
        <v>7</v>
      </c>
      <c r="AF5" s="95"/>
      <c r="AG5" s="102">
        <v>1</v>
      </c>
      <c r="AH5" s="94">
        <f t="shared" si="0"/>
        <v>1</v>
      </c>
      <c r="AI5" s="95"/>
      <c r="AJ5" s="95"/>
      <c r="AK5" s="95"/>
      <c r="AL5" s="95"/>
      <c r="AM5" s="95"/>
      <c r="AN5" s="95"/>
      <c r="AO5" s="95"/>
      <c r="AP5" s="95"/>
      <c r="AQ5" s="95"/>
      <c r="AR5" s="95"/>
      <c r="AS5" s="95"/>
      <c r="AT5" s="95"/>
    </row>
    <row r="6" spans="1:46" ht="104.25" customHeight="1" x14ac:dyDescent="0.25">
      <c r="A6" s="659"/>
      <c r="B6" s="817"/>
      <c r="C6" s="811"/>
      <c r="D6" s="659"/>
      <c r="E6" s="622" t="s">
        <v>1484</v>
      </c>
      <c r="F6" s="622" t="s">
        <v>1482</v>
      </c>
      <c r="G6" s="622">
        <v>9.4</v>
      </c>
      <c r="H6" s="622" t="s">
        <v>1483</v>
      </c>
      <c r="I6" s="632"/>
      <c r="J6" s="131" t="s">
        <v>1474</v>
      </c>
      <c r="K6" s="131" t="s">
        <v>1475</v>
      </c>
      <c r="L6" s="246">
        <v>9</v>
      </c>
      <c r="M6" s="131">
        <v>1</v>
      </c>
      <c r="N6" s="131"/>
      <c r="O6" s="95"/>
      <c r="P6" s="99">
        <v>1</v>
      </c>
      <c r="Q6" s="99">
        <v>0</v>
      </c>
      <c r="R6" s="99"/>
      <c r="S6" s="99">
        <v>0</v>
      </c>
      <c r="T6" s="99"/>
      <c r="U6" s="99">
        <v>0</v>
      </c>
      <c r="V6" s="288">
        <v>0</v>
      </c>
      <c r="W6" s="288">
        <v>0</v>
      </c>
      <c r="X6" s="288">
        <v>6.3E-2</v>
      </c>
      <c r="Y6" s="99">
        <v>0</v>
      </c>
      <c r="Z6" s="99">
        <v>0.89</v>
      </c>
      <c r="AA6" s="99">
        <v>0</v>
      </c>
      <c r="AB6" s="99"/>
      <c r="AC6" s="99"/>
      <c r="AD6" s="99"/>
      <c r="AE6" s="99">
        <v>9</v>
      </c>
      <c r="AF6" s="95"/>
      <c r="AG6" s="102">
        <f>+(AE6/L6)</f>
        <v>1</v>
      </c>
      <c r="AH6" s="94">
        <f t="shared" si="0"/>
        <v>1</v>
      </c>
      <c r="AI6" s="95"/>
      <c r="AJ6" s="95"/>
      <c r="AK6" s="95"/>
      <c r="AL6" s="95"/>
      <c r="AM6" s="95"/>
      <c r="AN6" s="95"/>
      <c r="AO6" s="95"/>
      <c r="AP6" s="95"/>
      <c r="AQ6" s="95"/>
      <c r="AR6" s="95"/>
      <c r="AS6" s="95"/>
      <c r="AT6" s="95"/>
    </row>
    <row r="7" spans="1:46" ht="89.25" customHeight="1" x14ac:dyDescent="0.25">
      <c r="A7" s="659"/>
      <c r="B7" s="817"/>
      <c r="C7" s="811"/>
      <c r="D7" s="659"/>
      <c r="E7" s="622"/>
      <c r="F7" s="622"/>
      <c r="G7" s="622"/>
      <c r="H7" s="622"/>
      <c r="I7" s="632"/>
      <c r="J7" s="131" t="s">
        <v>1476</v>
      </c>
      <c r="K7" s="632" t="s">
        <v>1477</v>
      </c>
      <c r="L7" s="246">
        <v>9</v>
      </c>
      <c r="M7" s="131">
        <v>0</v>
      </c>
      <c r="N7" s="131"/>
      <c r="O7" s="95"/>
      <c r="P7" s="99">
        <v>0</v>
      </c>
      <c r="Q7" s="99">
        <v>0</v>
      </c>
      <c r="R7" s="99">
        <v>5</v>
      </c>
      <c r="S7" s="99">
        <v>1</v>
      </c>
      <c r="T7" s="99">
        <v>5</v>
      </c>
      <c r="U7" s="99">
        <v>0</v>
      </c>
      <c r="V7" s="288">
        <v>7</v>
      </c>
      <c r="W7" s="360">
        <v>2</v>
      </c>
      <c r="X7" s="360">
        <v>5</v>
      </c>
      <c r="Y7" s="99">
        <v>2</v>
      </c>
      <c r="Z7" s="99">
        <v>7</v>
      </c>
      <c r="AA7" s="99">
        <v>5</v>
      </c>
      <c r="AB7" s="99"/>
      <c r="AC7" s="99"/>
      <c r="AD7" s="99"/>
      <c r="AE7" s="99">
        <f>+SUM(N7:AC7)</f>
        <v>39</v>
      </c>
      <c r="AF7" s="95"/>
      <c r="AG7" s="102">
        <v>1</v>
      </c>
      <c r="AH7" s="94">
        <f t="shared" si="0"/>
        <v>1</v>
      </c>
      <c r="AI7" s="95"/>
      <c r="AJ7" s="95"/>
      <c r="AK7" s="95"/>
      <c r="AL7" s="95"/>
      <c r="AM7" s="95"/>
      <c r="AN7" s="95"/>
      <c r="AO7" s="95"/>
      <c r="AP7" s="95"/>
      <c r="AQ7" s="95"/>
      <c r="AR7" s="95"/>
      <c r="AS7" s="95"/>
      <c r="AT7" s="95"/>
    </row>
    <row r="8" spans="1:46" ht="43.5" customHeight="1" x14ac:dyDescent="0.25">
      <c r="A8" s="659"/>
      <c r="B8" s="817"/>
      <c r="C8" s="811"/>
      <c r="D8" s="659"/>
      <c r="E8" s="132"/>
      <c r="F8" s="132"/>
      <c r="G8" s="132"/>
      <c r="H8" s="132"/>
      <c r="I8" s="632"/>
      <c r="J8" s="131"/>
      <c r="K8" s="632"/>
      <c r="L8" s="131"/>
      <c r="M8" s="131"/>
      <c r="N8" s="131"/>
      <c r="O8" s="95"/>
      <c r="P8" s="95"/>
      <c r="Q8" s="95"/>
      <c r="R8" s="95"/>
      <c r="S8" s="134"/>
      <c r="T8" s="95"/>
      <c r="U8" s="95"/>
      <c r="V8" s="95"/>
      <c r="W8" s="95"/>
      <c r="X8" s="95"/>
      <c r="Y8" s="95"/>
      <c r="Z8" s="95"/>
      <c r="AA8" s="95"/>
      <c r="AB8" s="95"/>
      <c r="AC8" s="95"/>
      <c r="AD8" s="95"/>
      <c r="AE8" s="99"/>
      <c r="AF8" s="95"/>
      <c r="AG8" s="7">
        <f>AVERAGE(AG3:AG7)</f>
        <v>0.88000000000000012</v>
      </c>
      <c r="AH8" s="94">
        <f t="shared" si="0"/>
        <v>0.88000000000000012</v>
      </c>
      <c r="AI8" s="95"/>
      <c r="AJ8" s="95"/>
      <c r="AK8" s="95"/>
      <c r="AL8" s="95"/>
      <c r="AM8" s="95"/>
      <c r="AN8" s="95"/>
      <c r="AO8" s="95"/>
      <c r="AP8" s="95"/>
      <c r="AQ8" s="95"/>
      <c r="AR8" s="95"/>
      <c r="AS8" s="95"/>
      <c r="AT8" s="95"/>
    </row>
    <row r="9" spans="1:46" ht="229.5" customHeight="1" x14ac:dyDescent="0.25">
      <c r="A9" s="659"/>
      <c r="B9" s="817"/>
      <c r="C9" s="811"/>
      <c r="D9" s="659"/>
      <c r="E9" s="132" t="s">
        <v>1494</v>
      </c>
      <c r="F9" s="132" t="s">
        <v>1487</v>
      </c>
      <c r="G9" s="132" t="s">
        <v>1488</v>
      </c>
      <c r="H9" s="132">
        <v>80</v>
      </c>
      <c r="I9" s="632" t="s">
        <v>1496</v>
      </c>
      <c r="J9" s="251" t="s">
        <v>1490</v>
      </c>
      <c r="K9" s="131" t="s">
        <v>1491</v>
      </c>
      <c r="L9" s="131">
        <v>8</v>
      </c>
      <c r="M9" s="131">
        <v>2</v>
      </c>
      <c r="N9" s="131"/>
      <c r="O9" s="95"/>
      <c r="P9" s="99">
        <v>1</v>
      </c>
      <c r="Q9" s="99">
        <v>1</v>
      </c>
      <c r="R9" s="99">
        <v>0</v>
      </c>
      <c r="S9" s="99">
        <v>0</v>
      </c>
      <c r="T9" s="99">
        <v>2</v>
      </c>
      <c r="U9" s="99">
        <v>0</v>
      </c>
      <c r="V9" s="363">
        <v>7</v>
      </c>
      <c r="W9" s="372">
        <v>4</v>
      </c>
      <c r="X9" s="372">
        <v>2</v>
      </c>
      <c r="Y9" s="99">
        <v>0</v>
      </c>
      <c r="Z9" s="99">
        <v>2</v>
      </c>
      <c r="AA9" s="99">
        <v>2</v>
      </c>
      <c r="AB9" s="99"/>
      <c r="AC9" s="99"/>
      <c r="AD9" s="99"/>
      <c r="AE9" s="99">
        <f>+P9+Q9+R9+S9+T9+U9+V9+W9+X9+Z9+AA9</f>
        <v>21</v>
      </c>
      <c r="AF9" s="95"/>
      <c r="AG9" s="102">
        <v>1</v>
      </c>
      <c r="AH9" s="94">
        <f t="shared" si="0"/>
        <v>1</v>
      </c>
      <c r="AI9" s="95"/>
      <c r="AJ9" s="95"/>
      <c r="AK9" s="95"/>
      <c r="AL9" s="95"/>
      <c r="AM9" s="95"/>
      <c r="AN9" s="95"/>
      <c r="AO9" s="95"/>
      <c r="AP9" s="95"/>
      <c r="AQ9" s="95"/>
      <c r="AR9" s="95"/>
      <c r="AS9" s="95"/>
      <c r="AT9" s="95"/>
    </row>
    <row r="10" spans="1:46" ht="156.75" customHeight="1" x14ac:dyDescent="0.25">
      <c r="A10" s="659"/>
      <c r="B10" s="817"/>
      <c r="C10" s="811"/>
      <c r="D10" s="659"/>
      <c r="E10" s="622" t="s">
        <v>1495</v>
      </c>
      <c r="F10" s="622" t="s">
        <v>1489</v>
      </c>
      <c r="G10" s="622">
        <v>217</v>
      </c>
      <c r="H10" s="622">
        <v>0.5</v>
      </c>
      <c r="I10" s="632"/>
      <c r="J10" s="621" t="s">
        <v>1492</v>
      </c>
      <c r="K10" s="632" t="s">
        <v>1493</v>
      </c>
      <c r="L10" s="632">
        <v>30</v>
      </c>
      <c r="M10" s="632">
        <v>15</v>
      </c>
      <c r="N10" s="131"/>
      <c r="O10" s="95"/>
      <c r="P10" s="99">
        <v>5</v>
      </c>
      <c r="Q10" s="99">
        <v>2</v>
      </c>
      <c r="R10" s="99">
        <v>0</v>
      </c>
      <c r="S10" s="99">
        <v>0</v>
      </c>
      <c r="T10" s="99">
        <v>7</v>
      </c>
      <c r="U10" s="99">
        <v>3</v>
      </c>
      <c r="V10" s="84">
        <v>0</v>
      </c>
      <c r="W10" s="372">
        <v>0</v>
      </c>
      <c r="X10" s="372">
        <v>4</v>
      </c>
      <c r="Y10" s="99">
        <v>5</v>
      </c>
      <c r="Z10" s="99">
        <v>2</v>
      </c>
      <c r="AA10" s="99">
        <v>1</v>
      </c>
      <c r="AB10" s="99"/>
      <c r="AC10" s="99"/>
      <c r="AD10" s="99"/>
      <c r="AE10" s="99">
        <f>+SUM(N10:AC10)</f>
        <v>29</v>
      </c>
      <c r="AF10" s="95"/>
      <c r="AG10" s="102">
        <f>+(AE10/L10)</f>
        <v>0.96666666666666667</v>
      </c>
      <c r="AH10" s="94">
        <f t="shared" si="0"/>
        <v>0.96666666666666667</v>
      </c>
      <c r="AI10" s="95"/>
      <c r="AJ10" s="95"/>
      <c r="AK10" s="95"/>
      <c r="AL10" s="95"/>
      <c r="AM10" s="95"/>
      <c r="AN10" s="95"/>
      <c r="AO10" s="95"/>
      <c r="AP10" s="95"/>
      <c r="AQ10" s="95"/>
      <c r="AR10" s="95"/>
      <c r="AS10" s="95"/>
      <c r="AT10" s="95"/>
    </row>
    <row r="11" spans="1:46" ht="39.75" customHeight="1" x14ac:dyDescent="0.25">
      <c r="A11" s="659"/>
      <c r="B11" s="817"/>
      <c r="C11" s="811"/>
      <c r="D11" s="659"/>
      <c r="E11" s="622"/>
      <c r="F11" s="622"/>
      <c r="G11" s="622"/>
      <c r="H11" s="622"/>
      <c r="I11" s="632"/>
      <c r="J11" s="621"/>
      <c r="K11" s="632"/>
      <c r="L11" s="632"/>
      <c r="M11" s="632"/>
      <c r="N11" s="131"/>
      <c r="O11" s="95"/>
      <c r="P11" s="95"/>
      <c r="Q11" s="95"/>
      <c r="R11" s="95"/>
      <c r="S11" s="134"/>
      <c r="T11" s="95"/>
      <c r="U11" s="95"/>
      <c r="V11" s="95"/>
      <c r="W11" s="95"/>
      <c r="X11" s="95"/>
      <c r="Y11" s="95"/>
      <c r="Z11" s="95"/>
      <c r="AA11" s="95"/>
      <c r="AB11" s="95"/>
      <c r="AC11" s="95"/>
      <c r="AD11" s="95"/>
      <c r="AE11" s="99"/>
      <c r="AF11" s="95"/>
      <c r="AG11" s="103">
        <f>AVERAGE(AG9:AG10)</f>
        <v>0.98333333333333339</v>
      </c>
      <c r="AH11" s="94">
        <f t="shared" si="0"/>
        <v>0.98333333333333339</v>
      </c>
      <c r="AI11" s="95"/>
      <c r="AJ11" s="95"/>
      <c r="AK11" s="95"/>
      <c r="AL11" s="95"/>
      <c r="AM11" s="95"/>
      <c r="AN11" s="95"/>
      <c r="AO11" s="95"/>
      <c r="AP11" s="95"/>
      <c r="AQ11" s="95"/>
      <c r="AR11" s="95"/>
      <c r="AS11" s="95"/>
      <c r="AT11" s="95"/>
    </row>
    <row r="12" spans="1:46" ht="39.75" customHeight="1" x14ac:dyDescent="0.25">
      <c r="A12" s="659"/>
      <c r="B12" s="817"/>
      <c r="C12" s="811"/>
      <c r="D12" s="659"/>
      <c r="E12" s="132"/>
      <c r="F12" s="132"/>
      <c r="G12" s="132"/>
      <c r="H12" s="132"/>
      <c r="I12" s="131"/>
      <c r="J12" s="131"/>
      <c r="K12" s="131"/>
      <c r="L12" s="131"/>
      <c r="M12" s="131"/>
      <c r="N12" s="131"/>
      <c r="O12" s="95"/>
      <c r="P12" s="95"/>
      <c r="Q12" s="95"/>
      <c r="R12" s="95"/>
      <c r="S12" s="134"/>
      <c r="T12" s="95"/>
      <c r="U12" s="95"/>
      <c r="V12" s="95"/>
      <c r="W12" s="95"/>
      <c r="X12" s="95"/>
      <c r="Y12" s="95"/>
      <c r="Z12" s="95"/>
      <c r="AA12" s="95"/>
      <c r="AB12" s="95"/>
      <c r="AC12" s="95"/>
      <c r="AD12" s="95"/>
      <c r="AE12" s="99"/>
      <c r="AF12" s="95"/>
      <c r="AG12" s="104">
        <f>+(AG8+AG11)/2</f>
        <v>0.93166666666666675</v>
      </c>
      <c r="AH12" s="94">
        <f t="shared" si="0"/>
        <v>0.93166666666666675</v>
      </c>
      <c r="AI12" s="95"/>
      <c r="AJ12" s="95"/>
      <c r="AK12" s="95"/>
      <c r="AL12" s="95"/>
      <c r="AM12" s="95"/>
      <c r="AN12" s="95"/>
      <c r="AO12" s="95"/>
      <c r="AP12" s="95"/>
      <c r="AQ12" s="95"/>
      <c r="AR12" s="95"/>
      <c r="AS12" s="95"/>
      <c r="AT12" s="95"/>
    </row>
    <row r="13" spans="1:46" ht="105" customHeight="1" x14ac:dyDescent="0.25">
      <c r="A13" s="659"/>
      <c r="B13" s="817"/>
      <c r="C13" s="811"/>
      <c r="D13" s="632" t="s">
        <v>1499</v>
      </c>
      <c r="E13" s="622" t="s">
        <v>1501</v>
      </c>
      <c r="F13" s="622" t="s">
        <v>1500</v>
      </c>
      <c r="G13" s="622">
        <v>165</v>
      </c>
      <c r="H13" s="622">
        <v>110</v>
      </c>
      <c r="I13" s="632" t="s">
        <v>1505</v>
      </c>
      <c r="J13" s="569" t="s">
        <v>1502</v>
      </c>
      <c r="K13" s="131" t="s">
        <v>1503</v>
      </c>
      <c r="L13" s="105">
        <v>50</v>
      </c>
      <c r="M13" s="105">
        <v>25</v>
      </c>
      <c r="N13" s="105"/>
      <c r="O13" s="95"/>
      <c r="P13" s="99">
        <v>47</v>
      </c>
      <c r="Q13" s="99">
        <v>16</v>
      </c>
      <c r="R13" s="99">
        <v>0</v>
      </c>
      <c r="S13" s="99">
        <v>47</v>
      </c>
      <c r="T13" s="99">
        <v>28</v>
      </c>
      <c r="U13" s="99">
        <v>0</v>
      </c>
      <c r="V13" s="84">
        <v>2</v>
      </c>
      <c r="W13" s="84">
        <v>3</v>
      </c>
      <c r="X13" s="372">
        <v>2</v>
      </c>
      <c r="Y13" s="99">
        <v>9</v>
      </c>
      <c r="Z13" s="99">
        <v>2</v>
      </c>
      <c r="AA13" s="99">
        <v>3</v>
      </c>
      <c r="AB13" s="99"/>
      <c r="AC13" s="99"/>
      <c r="AD13" s="99"/>
      <c r="AE13" s="99">
        <f>+SUM(N13:AC13)</f>
        <v>159</v>
      </c>
      <c r="AF13" s="95"/>
      <c r="AG13" s="102">
        <v>1</v>
      </c>
      <c r="AH13" s="94">
        <f t="shared" si="0"/>
        <v>1</v>
      </c>
      <c r="AI13" s="95"/>
      <c r="AJ13" s="95"/>
      <c r="AK13" s="95"/>
      <c r="AL13" s="95"/>
      <c r="AM13" s="95"/>
      <c r="AN13" s="95"/>
      <c r="AO13" s="95"/>
      <c r="AP13" s="95"/>
      <c r="AQ13" s="95"/>
      <c r="AR13" s="95"/>
      <c r="AS13" s="95"/>
      <c r="AT13" s="95"/>
    </row>
    <row r="14" spans="1:46" ht="409.5" x14ac:dyDescent="0.25">
      <c r="A14" s="659"/>
      <c r="B14" s="817"/>
      <c r="C14" s="811"/>
      <c r="D14" s="632"/>
      <c r="E14" s="622"/>
      <c r="F14" s="622"/>
      <c r="G14" s="622"/>
      <c r="H14" s="622"/>
      <c r="I14" s="632"/>
      <c r="J14" s="251" t="s">
        <v>1504</v>
      </c>
      <c r="K14" s="131" t="s">
        <v>2192</v>
      </c>
      <c r="L14" s="105">
        <v>170</v>
      </c>
      <c r="M14" s="105">
        <v>85</v>
      </c>
      <c r="N14" s="105"/>
      <c r="O14" s="95"/>
      <c r="P14" s="99">
        <v>73</v>
      </c>
      <c r="Q14" s="99">
        <v>35</v>
      </c>
      <c r="R14" s="99">
        <v>16</v>
      </c>
      <c r="S14" s="99">
        <v>11</v>
      </c>
      <c r="T14" s="99">
        <v>18</v>
      </c>
      <c r="U14" s="99">
        <v>15</v>
      </c>
      <c r="V14" s="84">
        <v>24</v>
      </c>
      <c r="W14" s="84">
        <v>10</v>
      </c>
      <c r="X14" s="372">
        <v>7</v>
      </c>
      <c r="Y14" s="99">
        <v>42</v>
      </c>
      <c r="Z14" s="99">
        <v>18</v>
      </c>
      <c r="AA14" s="99">
        <v>15</v>
      </c>
      <c r="AB14" s="99"/>
      <c r="AC14" s="99"/>
      <c r="AD14" s="99"/>
      <c r="AE14" s="99">
        <f>+SUM(N14:AC14)</f>
        <v>284</v>
      </c>
      <c r="AF14" s="95"/>
      <c r="AG14" s="102">
        <v>1</v>
      </c>
      <c r="AH14" s="94">
        <f t="shared" si="0"/>
        <v>1</v>
      </c>
      <c r="AI14" s="95"/>
      <c r="AJ14" s="95"/>
      <c r="AK14" s="95"/>
      <c r="AL14" s="95"/>
      <c r="AM14" s="95"/>
      <c r="AN14" s="95"/>
      <c r="AO14" s="95"/>
      <c r="AP14" s="95"/>
      <c r="AQ14" s="95"/>
      <c r="AR14" s="95"/>
      <c r="AS14" s="95"/>
      <c r="AT14" s="95"/>
    </row>
    <row r="15" spans="1:46" ht="47.25" customHeight="1" x14ac:dyDescent="0.25">
      <c r="A15" s="659"/>
      <c r="B15" s="817"/>
      <c r="C15" s="811"/>
      <c r="D15" s="632"/>
      <c r="E15" s="132"/>
      <c r="F15" s="132"/>
      <c r="G15" s="132"/>
      <c r="H15" s="132"/>
      <c r="I15" s="632"/>
      <c r="J15" s="131"/>
      <c r="K15" s="131"/>
      <c r="L15" s="105"/>
      <c r="M15" s="105"/>
      <c r="N15" s="105"/>
      <c r="O15" s="95"/>
      <c r="P15" s="99"/>
      <c r="Q15" s="99"/>
      <c r="R15" s="99"/>
      <c r="S15" s="99"/>
      <c r="T15" s="99"/>
      <c r="U15" s="99"/>
      <c r="V15" s="99"/>
      <c r="W15" s="99"/>
      <c r="X15" s="99"/>
      <c r="Y15" s="99"/>
      <c r="Z15" s="99"/>
      <c r="AA15" s="99"/>
      <c r="AB15" s="99"/>
      <c r="AC15" s="99"/>
      <c r="AD15" s="99"/>
      <c r="AE15" s="99"/>
      <c r="AF15" s="95"/>
      <c r="AG15" s="7">
        <f>AVERAGE(AG13:AG14)</f>
        <v>1</v>
      </c>
      <c r="AH15" s="94">
        <f t="shared" si="0"/>
        <v>1</v>
      </c>
      <c r="AI15" s="95"/>
      <c r="AJ15" s="95"/>
      <c r="AK15" s="95"/>
      <c r="AL15" s="95"/>
      <c r="AM15" s="95"/>
      <c r="AN15" s="95"/>
      <c r="AO15" s="95"/>
      <c r="AP15" s="95"/>
      <c r="AQ15" s="95"/>
      <c r="AR15" s="95"/>
      <c r="AS15" s="95"/>
      <c r="AT15" s="95"/>
    </row>
    <row r="16" spans="1:46" ht="73.5" customHeight="1" x14ac:dyDescent="0.25">
      <c r="A16" s="659"/>
      <c r="B16" s="817"/>
      <c r="C16" s="811"/>
      <c r="D16" s="632"/>
      <c r="E16" s="622" t="s">
        <v>1507</v>
      </c>
      <c r="F16" s="622" t="s">
        <v>1506</v>
      </c>
      <c r="G16" s="622">
        <v>1</v>
      </c>
      <c r="H16" s="622">
        <v>1</v>
      </c>
      <c r="I16" s="632" t="s">
        <v>1508</v>
      </c>
      <c r="J16" s="251" t="s">
        <v>1509</v>
      </c>
      <c r="K16" s="131" t="s">
        <v>1510</v>
      </c>
      <c r="L16" s="131">
        <v>1</v>
      </c>
      <c r="M16" s="131">
        <v>0</v>
      </c>
      <c r="N16" s="131"/>
      <c r="O16" s="95"/>
      <c r="P16" s="99">
        <v>0</v>
      </c>
      <c r="Q16" s="99">
        <v>0</v>
      </c>
      <c r="R16" s="99">
        <v>0</v>
      </c>
      <c r="S16" s="99">
        <v>0</v>
      </c>
      <c r="T16" s="99">
        <v>0</v>
      </c>
      <c r="U16" s="99">
        <v>0</v>
      </c>
      <c r="V16" s="99">
        <v>0</v>
      </c>
      <c r="W16" s="99">
        <v>0</v>
      </c>
      <c r="X16" s="99">
        <v>0</v>
      </c>
      <c r="Y16" s="99">
        <v>0</v>
      </c>
      <c r="Z16" s="99">
        <v>0</v>
      </c>
      <c r="AA16" s="99">
        <v>0</v>
      </c>
      <c r="AB16" s="99"/>
      <c r="AC16" s="99"/>
      <c r="AD16" s="99"/>
      <c r="AE16" s="99">
        <f>+SUM(N16:AC16)</f>
        <v>0</v>
      </c>
      <c r="AF16" s="95"/>
      <c r="AG16" s="102">
        <f>+(AE16/L16)</f>
        <v>0</v>
      </c>
      <c r="AH16" s="94">
        <f t="shared" si="0"/>
        <v>0</v>
      </c>
      <c r="AI16" s="95"/>
      <c r="AJ16" s="95"/>
      <c r="AK16" s="95"/>
      <c r="AL16" s="95"/>
      <c r="AM16" s="95"/>
      <c r="AN16" s="95"/>
      <c r="AO16" s="95"/>
      <c r="AP16" s="95"/>
      <c r="AQ16" s="95"/>
      <c r="AR16" s="95"/>
      <c r="AS16" s="95"/>
      <c r="AT16" s="95"/>
    </row>
    <row r="17" spans="1:46" ht="270" x14ac:dyDescent="0.25">
      <c r="A17" s="659"/>
      <c r="B17" s="817"/>
      <c r="C17" s="811"/>
      <c r="D17" s="632"/>
      <c r="E17" s="622"/>
      <c r="F17" s="622"/>
      <c r="G17" s="622"/>
      <c r="H17" s="622"/>
      <c r="I17" s="632"/>
      <c r="J17" s="251" t="s">
        <v>1511</v>
      </c>
      <c r="K17" s="131" t="s">
        <v>1512</v>
      </c>
      <c r="L17" s="131">
        <v>4</v>
      </c>
      <c r="M17" s="131">
        <v>1</v>
      </c>
      <c r="N17" s="131"/>
      <c r="O17" s="95"/>
      <c r="P17" s="99">
        <v>0</v>
      </c>
      <c r="Q17" s="99">
        <v>1</v>
      </c>
      <c r="R17" s="99">
        <v>0</v>
      </c>
      <c r="S17" s="99">
        <v>0</v>
      </c>
      <c r="T17" s="99">
        <v>1</v>
      </c>
      <c r="U17" s="99">
        <v>0</v>
      </c>
      <c r="V17" s="99">
        <v>0</v>
      </c>
      <c r="W17" s="99">
        <v>0</v>
      </c>
      <c r="X17" s="99">
        <v>0</v>
      </c>
      <c r="Y17" s="99">
        <v>0</v>
      </c>
      <c r="Z17" s="99">
        <v>0</v>
      </c>
      <c r="AA17" s="99">
        <v>3</v>
      </c>
      <c r="AB17" s="99"/>
      <c r="AC17" s="99"/>
      <c r="AD17" s="99"/>
      <c r="AE17" s="99">
        <f>+SUM(N17:AC17)</f>
        <v>5</v>
      </c>
      <c r="AF17" s="95"/>
      <c r="AG17" s="102">
        <v>1</v>
      </c>
      <c r="AH17" s="94">
        <f t="shared" si="0"/>
        <v>1</v>
      </c>
      <c r="AI17" s="95"/>
      <c r="AJ17" s="95"/>
      <c r="AK17" s="95"/>
      <c r="AL17" s="95"/>
      <c r="AM17" s="95"/>
      <c r="AN17" s="95"/>
      <c r="AO17" s="95"/>
      <c r="AP17" s="95"/>
      <c r="AQ17" s="95"/>
      <c r="AR17" s="95"/>
      <c r="AS17" s="95"/>
      <c r="AT17" s="95"/>
    </row>
    <row r="18" spans="1:46" ht="50.25" customHeight="1" x14ac:dyDescent="0.25">
      <c r="A18" s="659"/>
      <c r="B18" s="817"/>
      <c r="C18" s="811"/>
      <c r="D18" s="632"/>
      <c r="E18" s="132"/>
      <c r="F18" s="132"/>
      <c r="G18" s="132"/>
      <c r="H18" s="132"/>
      <c r="I18" s="632"/>
      <c r="J18" s="131"/>
      <c r="K18" s="131"/>
      <c r="L18" s="131"/>
      <c r="M18" s="131"/>
      <c r="N18" s="131"/>
      <c r="O18" s="95"/>
      <c r="P18" s="95"/>
      <c r="Q18" s="95"/>
      <c r="R18" s="95"/>
      <c r="S18" s="134"/>
      <c r="T18" s="95"/>
      <c r="U18" s="95"/>
      <c r="V18" s="95"/>
      <c r="W18" s="95"/>
      <c r="X18" s="95"/>
      <c r="Y18" s="95"/>
      <c r="Z18" s="95"/>
      <c r="AA18" s="95"/>
      <c r="AB18" s="95"/>
      <c r="AC18" s="95"/>
      <c r="AD18" s="95"/>
      <c r="AE18" s="99"/>
      <c r="AF18" s="95"/>
      <c r="AG18" s="106">
        <f>AVERAGE(AG16:AG17)</f>
        <v>0.5</v>
      </c>
      <c r="AH18" s="94">
        <f t="shared" si="0"/>
        <v>0.5</v>
      </c>
      <c r="AI18" s="95"/>
      <c r="AJ18" s="95"/>
      <c r="AK18" s="95"/>
      <c r="AL18" s="95"/>
      <c r="AM18" s="95"/>
      <c r="AN18" s="95"/>
      <c r="AO18" s="95"/>
      <c r="AP18" s="95"/>
      <c r="AQ18" s="95"/>
      <c r="AR18" s="95"/>
      <c r="AS18" s="95"/>
      <c r="AT18" s="95"/>
    </row>
    <row r="19" spans="1:46" ht="409.5" x14ac:dyDescent="0.25">
      <c r="A19" s="659"/>
      <c r="B19" s="817"/>
      <c r="C19" s="811"/>
      <c r="D19" s="632"/>
      <c r="E19" s="135" t="s">
        <v>1515</v>
      </c>
      <c r="F19" s="135" t="s">
        <v>1513</v>
      </c>
      <c r="G19" s="135" t="s">
        <v>1516</v>
      </c>
      <c r="H19" s="135" t="s">
        <v>1514</v>
      </c>
      <c r="I19" s="632" t="s">
        <v>1527</v>
      </c>
      <c r="J19" s="251" t="s">
        <v>1517</v>
      </c>
      <c r="K19" s="131" t="s">
        <v>1518</v>
      </c>
      <c r="L19" s="131">
        <v>1</v>
      </c>
      <c r="M19" s="131">
        <v>0</v>
      </c>
      <c r="N19" s="131"/>
      <c r="O19" s="95"/>
      <c r="P19" s="99">
        <v>0.33</v>
      </c>
      <c r="Q19" s="99">
        <v>0</v>
      </c>
      <c r="R19" s="99">
        <v>0</v>
      </c>
      <c r="S19" s="99">
        <v>0</v>
      </c>
      <c r="T19" s="99">
        <v>0</v>
      </c>
      <c r="U19" s="99">
        <v>0</v>
      </c>
      <c r="V19" s="84">
        <v>0</v>
      </c>
      <c r="W19" s="84">
        <v>0</v>
      </c>
      <c r="X19" s="373">
        <v>0</v>
      </c>
      <c r="Y19" s="99">
        <v>0</v>
      </c>
      <c r="Z19" s="99">
        <v>0</v>
      </c>
      <c r="AA19" s="99">
        <v>0</v>
      </c>
      <c r="AB19" s="99"/>
      <c r="AC19" s="99"/>
      <c r="AD19" s="99"/>
      <c r="AE19" s="99">
        <f>+SUM(N19:AC19)</f>
        <v>0.33</v>
      </c>
      <c r="AF19" s="95"/>
      <c r="AG19" s="102">
        <f>+(AE19/L19)</f>
        <v>0.33</v>
      </c>
      <c r="AH19" s="94">
        <f t="shared" si="0"/>
        <v>0.33</v>
      </c>
      <c r="AI19" s="95"/>
      <c r="AJ19" s="95"/>
      <c r="AK19" s="95"/>
      <c r="AL19" s="95"/>
      <c r="AM19" s="95"/>
      <c r="AN19" s="95"/>
      <c r="AO19" s="95"/>
      <c r="AP19" s="95"/>
      <c r="AQ19" s="95"/>
      <c r="AR19" s="95"/>
      <c r="AS19" s="95"/>
      <c r="AT19" s="95"/>
    </row>
    <row r="20" spans="1:46" ht="409.5" x14ac:dyDescent="0.25">
      <c r="A20" s="659"/>
      <c r="B20" s="817"/>
      <c r="C20" s="811"/>
      <c r="D20" s="632"/>
      <c r="E20" s="135" t="s">
        <v>1525</v>
      </c>
      <c r="F20" s="135" t="s">
        <v>1523</v>
      </c>
      <c r="G20" s="107">
        <v>0.5</v>
      </c>
      <c r="H20" s="108">
        <v>0</v>
      </c>
      <c r="I20" s="632"/>
      <c r="J20" s="251" t="s">
        <v>1519</v>
      </c>
      <c r="K20" s="131" t="s">
        <v>1520</v>
      </c>
      <c r="L20" s="131">
        <v>1</v>
      </c>
      <c r="M20" s="131">
        <v>0</v>
      </c>
      <c r="N20" s="131"/>
      <c r="O20" s="95"/>
      <c r="P20" s="99">
        <v>0.33</v>
      </c>
      <c r="Q20" s="99">
        <v>0</v>
      </c>
      <c r="R20" s="99">
        <v>0</v>
      </c>
      <c r="S20" s="99">
        <v>0</v>
      </c>
      <c r="T20" s="99">
        <v>0</v>
      </c>
      <c r="U20" s="99">
        <v>0</v>
      </c>
      <c r="V20" s="84">
        <v>0</v>
      </c>
      <c r="W20" s="84">
        <v>0</v>
      </c>
      <c r="X20" s="373">
        <v>0</v>
      </c>
      <c r="Y20" s="99">
        <v>0</v>
      </c>
      <c r="Z20" s="99">
        <v>0</v>
      </c>
      <c r="AA20" s="99">
        <v>0</v>
      </c>
      <c r="AB20" s="99"/>
      <c r="AC20" s="99"/>
      <c r="AD20" s="99"/>
      <c r="AE20" s="99">
        <f>+SUM(N20:AC20)</f>
        <v>0.33</v>
      </c>
      <c r="AF20" s="95"/>
      <c r="AG20" s="102">
        <f>+(AE20/L20)</f>
        <v>0.33</v>
      </c>
      <c r="AH20" s="94">
        <f t="shared" si="0"/>
        <v>0.33</v>
      </c>
      <c r="AI20" s="95"/>
      <c r="AJ20" s="95"/>
      <c r="AK20" s="95"/>
      <c r="AL20" s="95"/>
      <c r="AM20" s="95"/>
      <c r="AN20" s="95"/>
      <c r="AO20" s="95"/>
      <c r="AP20" s="95"/>
      <c r="AQ20" s="95"/>
      <c r="AR20" s="95"/>
      <c r="AS20" s="95"/>
      <c r="AT20" s="95"/>
    </row>
    <row r="21" spans="1:46" ht="144.75" customHeight="1" x14ac:dyDescent="0.25">
      <c r="A21" s="659"/>
      <c r="B21" s="817"/>
      <c r="C21" s="811"/>
      <c r="D21" s="632"/>
      <c r="E21" s="622" t="s">
        <v>1526</v>
      </c>
      <c r="F21" s="622" t="s">
        <v>1524</v>
      </c>
      <c r="G21" s="631">
        <v>0.9</v>
      </c>
      <c r="H21" s="623">
        <v>0.7</v>
      </c>
      <c r="I21" s="632"/>
      <c r="J21" s="251" t="s">
        <v>1521</v>
      </c>
      <c r="K21" s="131" t="s">
        <v>1522</v>
      </c>
      <c r="L21" s="131">
        <v>3</v>
      </c>
      <c r="M21" s="131">
        <v>0</v>
      </c>
      <c r="N21" s="131"/>
      <c r="O21" s="95"/>
      <c r="P21" s="99">
        <v>0</v>
      </c>
      <c r="Q21" s="99">
        <v>0</v>
      </c>
      <c r="R21" s="99">
        <v>0</v>
      </c>
      <c r="S21" s="99">
        <v>0</v>
      </c>
      <c r="T21" s="99">
        <v>0</v>
      </c>
      <c r="U21" s="99">
        <v>0</v>
      </c>
      <c r="V21" s="84">
        <v>0</v>
      </c>
      <c r="W21" s="374">
        <v>3</v>
      </c>
      <c r="X21" s="373">
        <v>0</v>
      </c>
      <c r="Y21" s="99">
        <v>3</v>
      </c>
      <c r="Z21" s="99"/>
      <c r="AA21" s="99">
        <v>3</v>
      </c>
      <c r="AB21" s="99"/>
      <c r="AC21" s="99"/>
      <c r="AD21" s="99"/>
      <c r="AE21" s="99">
        <f>+SUM(N21:AC21)</f>
        <v>9</v>
      </c>
      <c r="AF21" s="95"/>
      <c r="AG21" s="102">
        <v>1</v>
      </c>
      <c r="AH21" s="94">
        <f t="shared" si="0"/>
        <v>1</v>
      </c>
      <c r="AI21" s="95"/>
      <c r="AJ21" s="95"/>
      <c r="AK21" s="95"/>
      <c r="AL21" s="95"/>
      <c r="AM21" s="95"/>
      <c r="AN21" s="95"/>
      <c r="AO21" s="95"/>
      <c r="AP21" s="95"/>
      <c r="AQ21" s="95"/>
      <c r="AR21" s="95"/>
      <c r="AS21" s="95"/>
      <c r="AT21" s="95"/>
    </row>
    <row r="22" spans="1:46" ht="39.75" customHeight="1" x14ac:dyDescent="0.25">
      <c r="A22" s="659"/>
      <c r="B22" s="817"/>
      <c r="C22" s="811"/>
      <c r="D22" s="632"/>
      <c r="E22" s="622"/>
      <c r="F22" s="622"/>
      <c r="G22" s="631"/>
      <c r="H22" s="623"/>
      <c r="I22" s="632"/>
      <c r="J22" s="131"/>
      <c r="K22" s="131"/>
      <c r="L22" s="131"/>
      <c r="M22" s="131"/>
      <c r="N22" s="131"/>
      <c r="O22" s="95"/>
      <c r="P22" s="95"/>
      <c r="Q22" s="95"/>
      <c r="R22" s="95"/>
      <c r="S22" s="134"/>
      <c r="T22" s="95"/>
      <c r="U22" s="95"/>
      <c r="V22" s="95"/>
      <c r="W22" s="95"/>
      <c r="X22" s="95"/>
      <c r="Y22" s="95"/>
      <c r="Z22" s="95"/>
      <c r="AA22" s="95"/>
      <c r="AB22" s="95"/>
      <c r="AC22" s="95"/>
      <c r="AD22" s="95"/>
      <c r="AE22" s="99"/>
      <c r="AF22" s="95"/>
      <c r="AG22" s="106">
        <f>AVERAGE(AG19:AG21)</f>
        <v>0.55333333333333334</v>
      </c>
      <c r="AH22" s="94">
        <f t="shared" si="0"/>
        <v>0.55333333333333334</v>
      </c>
      <c r="AI22" s="95"/>
      <c r="AJ22" s="95"/>
      <c r="AK22" s="95"/>
      <c r="AL22" s="95"/>
      <c r="AM22" s="95"/>
      <c r="AN22" s="95"/>
      <c r="AO22" s="95"/>
      <c r="AP22" s="95"/>
      <c r="AQ22" s="95"/>
      <c r="AR22" s="95"/>
      <c r="AS22" s="95"/>
      <c r="AT22" s="95"/>
    </row>
    <row r="23" spans="1:46" ht="47.25" customHeight="1" x14ac:dyDescent="0.25">
      <c r="A23" s="659"/>
      <c r="B23" s="817"/>
      <c r="C23" s="811"/>
      <c r="D23" s="632"/>
      <c r="E23" s="132"/>
      <c r="F23" s="132"/>
      <c r="G23" s="211"/>
      <c r="H23" s="206"/>
      <c r="I23" s="131"/>
      <c r="J23" s="131"/>
      <c r="K23" s="131"/>
      <c r="L23" s="131"/>
      <c r="M23" s="131"/>
      <c r="N23" s="131"/>
      <c r="O23" s="95"/>
      <c r="P23" s="95"/>
      <c r="Q23" s="95"/>
      <c r="R23" s="95"/>
      <c r="S23" s="134"/>
      <c r="T23" s="95"/>
      <c r="U23" s="95"/>
      <c r="V23" s="95"/>
      <c r="W23" s="95"/>
      <c r="X23" s="95"/>
      <c r="Y23" s="95"/>
      <c r="Z23" s="95"/>
      <c r="AA23" s="95"/>
      <c r="AB23" s="95"/>
      <c r="AC23" s="95"/>
      <c r="AD23" s="95"/>
      <c r="AE23" s="99"/>
      <c r="AF23" s="95"/>
      <c r="AG23" s="209">
        <f>+(AG15+AG18+AG22)/3</f>
        <v>0.68444444444444441</v>
      </c>
      <c r="AH23" s="94">
        <f t="shared" si="0"/>
        <v>0.68444444444444441</v>
      </c>
      <c r="AI23" s="95"/>
      <c r="AJ23" s="95"/>
      <c r="AK23" s="95"/>
      <c r="AL23" s="95"/>
      <c r="AM23" s="95"/>
      <c r="AN23" s="95"/>
      <c r="AO23" s="95"/>
      <c r="AP23" s="95"/>
      <c r="AQ23" s="95"/>
      <c r="AR23" s="95"/>
      <c r="AS23" s="95"/>
      <c r="AT23" s="95"/>
    </row>
    <row r="24" spans="1:46" ht="99" customHeight="1" x14ac:dyDescent="0.25">
      <c r="A24" s="659"/>
      <c r="B24" s="817"/>
      <c r="C24" s="811"/>
      <c r="D24" s="632" t="s">
        <v>1528</v>
      </c>
      <c r="E24" s="135" t="s">
        <v>1531</v>
      </c>
      <c r="F24" s="135" t="s">
        <v>1529</v>
      </c>
      <c r="G24" s="135">
        <v>100</v>
      </c>
      <c r="H24" s="135">
        <v>131.9</v>
      </c>
      <c r="I24" s="632"/>
      <c r="J24" s="247" t="s">
        <v>1533</v>
      </c>
      <c r="K24" s="135" t="s">
        <v>1534</v>
      </c>
      <c r="L24" s="105">
        <v>4</v>
      </c>
      <c r="M24" s="105">
        <v>1</v>
      </c>
      <c r="N24" s="105"/>
      <c r="O24" s="95"/>
      <c r="P24" s="99">
        <v>1</v>
      </c>
      <c r="Q24" s="99">
        <v>1</v>
      </c>
      <c r="R24" s="99">
        <v>1</v>
      </c>
      <c r="S24" s="99">
        <v>0</v>
      </c>
      <c r="T24" s="99">
        <v>0</v>
      </c>
      <c r="U24" s="99">
        <v>0</v>
      </c>
      <c r="V24" s="99">
        <v>0</v>
      </c>
      <c r="W24" s="99">
        <v>0</v>
      </c>
      <c r="X24" s="363">
        <v>1</v>
      </c>
      <c r="Y24" s="99">
        <v>0</v>
      </c>
      <c r="Z24" s="99">
        <v>0</v>
      </c>
      <c r="AA24" s="99">
        <v>3</v>
      </c>
      <c r="AB24" s="99"/>
      <c r="AC24" s="99"/>
      <c r="AD24" s="99"/>
      <c r="AE24" s="99">
        <f>+Q24+R24+X24</f>
        <v>3</v>
      </c>
      <c r="AF24" s="95"/>
      <c r="AG24" s="102">
        <v>1</v>
      </c>
      <c r="AH24" s="94">
        <f t="shared" si="0"/>
        <v>1</v>
      </c>
      <c r="AI24" s="95"/>
      <c r="AJ24" s="95"/>
      <c r="AK24" s="95"/>
      <c r="AL24" s="95"/>
      <c r="AM24" s="95"/>
      <c r="AN24" s="95"/>
      <c r="AO24" s="95"/>
      <c r="AP24" s="95"/>
      <c r="AQ24" s="95"/>
      <c r="AR24" s="95"/>
      <c r="AS24" s="95"/>
      <c r="AT24" s="95"/>
    </row>
    <row r="25" spans="1:46" ht="409.5" x14ac:dyDescent="0.25">
      <c r="A25" s="659"/>
      <c r="B25" s="817"/>
      <c r="C25" s="811"/>
      <c r="D25" s="632"/>
      <c r="E25" s="132" t="s">
        <v>1532</v>
      </c>
      <c r="F25" s="132" t="s">
        <v>1530</v>
      </c>
      <c r="G25" s="132">
        <v>339.5</v>
      </c>
      <c r="H25" s="132">
        <v>485</v>
      </c>
      <c r="I25" s="632"/>
      <c r="J25" s="247" t="s">
        <v>1535</v>
      </c>
      <c r="K25" s="132" t="s">
        <v>1536</v>
      </c>
      <c r="L25" s="105">
        <v>40</v>
      </c>
      <c r="M25" s="105">
        <v>40</v>
      </c>
      <c r="N25" s="105"/>
      <c r="O25" s="95"/>
      <c r="P25" s="99">
        <v>0</v>
      </c>
      <c r="Q25" s="99">
        <v>0</v>
      </c>
      <c r="R25" s="99">
        <v>15</v>
      </c>
      <c r="S25" s="99">
        <v>0</v>
      </c>
      <c r="T25" s="99">
        <v>0</v>
      </c>
      <c r="U25" s="99">
        <v>0</v>
      </c>
      <c r="V25" s="99">
        <v>0</v>
      </c>
      <c r="W25" s="99">
        <v>0</v>
      </c>
      <c r="X25" s="99">
        <v>15</v>
      </c>
      <c r="Y25" s="99">
        <v>0</v>
      </c>
      <c r="Z25" s="99">
        <v>0</v>
      </c>
      <c r="AA25" s="99">
        <v>30</v>
      </c>
      <c r="AB25" s="99"/>
      <c r="AC25" s="99"/>
      <c r="AD25" s="99"/>
      <c r="AE25" s="99">
        <f>+SUM(N25:AC25)</f>
        <v>60</v>
      </c>
      <c r="AF25" s="95"/>
      <c r="AG25" s="102">
        <v>1</v>
      </c>
      <c r="AH25" s="94">
        <f t="shared" si="0"/>
        <v>1</v>
      </c>
      <c r="AI25" s="95"/>
      <c r="AJ25" s="95"/>
      <c r="AK25" s="95"/>
      <c r="AL25" s="95"/>
      <c r="AM25" s="95"/>
      <c r="AN25" s="95"/>
      <c r="AO25" s="95"/>
      <c r="AP25" s="95"/>
      <c r="AQ25" s="95"/>
      <c r="AR25" s="95"/>
      <c r="AS25" s="95"/>
      <c r="AT25" s="95"/>
    </row>
    <row r="26" spans="1:46" ht="90" customHeight="1" x14ac:dyDescent="0.25">
      <c r="A26" s="659"/>
      <c r="B26" s="817"/>
      <c r="C26" s="811"/>
      <c r="D26" s="632"/>
      <c r="E26" s="622" t="s">
        <v>1532</v>
      </c>
      <c r="F26" s="622" t="s">
        <v>1530</v>
      </c>
      <c r="G26" s="622">
        <v>339.5</v>
      </c>
      <c r="H26" s="622">
        <v>485</v>
      </c>
      <c r="I26" s="632"/>
      <c r="J26" s="248" t="s">
        <v>1537</v>
      </c>
      <c r="K26" s="109" t="s">
        <v>1538</v>
      </c>
      <c r="L26" s="132">
        <v>120</v>
      </c>
      <c r="M26" s="109">
        <v>0</v>
      </c>
      <c r="N26" s="109"/>
      <c r="O26" s="95"/>
      <c r="P26" s="99">
        <v>16</v>
      </c>
      <c r="Q26" s="99">
        <v>0</v>
      </c>
      <c r="R26" s="99">
        <v>8</v>
      </c>
      <c r="S26" s="99">
        <v>11</v>
      </c>
      <c r="T26" s="99">
        <v>8</v>
      </c>
      <c r="U26" s="99">
        <v>2</v>
      </c>
      <c r="V26" s="84">
        <v>10</v>
      </c>
      <c r="W26" s="84">
        <v>22</v>
      </c>
      <c r="X26" s="373">
        <v>24</v>
      </c>
      <c r="Y26" s="99">
        <v>12</v>
      </c>
      <c r="Z26" s="84">
        <v>44</v>
      </c>
      <c r="AA26" s="84">
        <f>W26+Y26+Z26</f>
        <v>78</v>
      </c>
      <c r="AB26" s="99"/>
      <c r="AC26" s="99"/>
      <c r="AD26" s="99"/>
      <c r="AE26" s="99">
        <f>+SUM(N26:AC26)</f>
        <v>235</v>
      </c>
      <c r="AF26" s="95"/>
      <c r="AG26" s="102">
        <v>1</v>
      </c>
      <c r="AH26" s="94">
        <f t="shared" si="0"/>
        <v>1</v>
      </c>
      <c r="AI26" s="95"/>
      <c r="AJ26" s="95"/>
      <c r="AK26" s="95"/>
      <c r="AL26" s="95"/>
      <c r="AM26" s="95"/>
      <c r="AN26" s="95"/>
      <c r="AO26" s="95"/>
      <c r="AP26" s="95"/>
      <c r="AQ26" s="95"/>
      <c r="AR26" s="95"/>
      <c r="AS26" s="95"/>
      <c r="AT26" s="95"/>
    </row>
    <row r="27" spans="1:46" ht="50.25" customHeight="1" x14ac:dyDescent="0.25">
      <c r="A27" s="659"/>
      <c r="B27" s="817"/>
      <c r="C27" s="811"/>
      <c r="D27" s="632"/>
      <c r="E27" s="622"/>
      <c r="F27" s="622"/>
      <c r="G27" s="622"/>
      <c r="H27" s="622"/>
      <c r="I27" s="131"/>
      <c r="J27" s="135"/>
      <c r="K27" s="132"/>
      <c r="L27" s="132"/>
      <c r="M27" s="132"/>
      <c r="N27" s="132"/>
      <c r="O27" s="95"/>
      <c r="P27" s="95"/>
      <c r="Q27" s="95"/>
      <c r="R27" s="95"/>
      <c r="S27" s="134"/>
      <c r="T27" s="95"/>
      <c r="U27" s="95"/>
      <c r="V27" s="95"/>
      <c r="W27" s="95"/>
      <c r="X27" s="95"/>
      <c r="Y27" s="95"/>
      <c r="Z27" s="95"/>
      <c r="AA27" s="95"/>
      <c r="AB27" s="95"/>
      <c r="AC27" s="95"/>
      <c r="AD27" s="95"/>
      <c r="AE27" s="99"/>
      <c r="AF27" s="95"/>
      <c r="AG27" s="106">
        <f>AVERAGE(AG24:AG26)</f>
        <v>1</v>
      </c>
      <c r="AH27" s="94">
        <f t="shared" si="0"/>
        <v>1</v>
      </c>
      <c r="AI27" s="95"/>
      <c r="AJ27" s="95"/>
      <c r="AK27" s="95"/>
      <c r="AL27" s="95"/>
      <c r="AM27" s="95"/>
      <c r="AN27" s="95"/>
      <c r="AO27" s="95"/>
      <c r="AP27" s="95"/>
      <c r="AQ27" s="95"/>
      <c r="AR27" s="95"/>
      <c r="AS27" s="95"/>
      <c r="AT27" s="95"/>
    </row>
    <row r="28" spans="1:46" ht="50.25" customHeight="1" x14ac:dyDescent="0.25">
      <c r="A28" s="659"/>
      <c r="B28" s="817"/>
      <c r="C28" s="811"/>
      <c r="D28" s="632"/>
      <c r="E28" s="132"/>
      <c r="F28" s="132"/>
      <c r="G28" s="132"/>
      <c r="H28" s="132"/>
      <c r="I28" s="131"/>
      <c r="J28" s="135"/>
      <c r="K28" s="132"/>
      <c r="L28" s="132"/>
      <c r="M28" s="132"/>
      <c r="N28" s="132"/>
      <c r="O28" s="95"/>
      <c r="P28" s="95"/>
      <c r="Q28" s="95"/>
      <c r="R28" s="95"/>
      <c r="S28" s="134"/>
      <c r="T28" s="95"/>
      <c r="U28" s="95"/>
      <c r="V28" s="95"/>
      <c r="W28" s="95"/>
      <c r="X28" s="95"/>
      <c r="Y28" s="95"/>
      <c r="Z28" s="95"/>
      <c r="AA28" s="95"/>
      <c r="AB28" s="95"/>
      <c r="AC28" s="95"/>
      <c r="AD28" s="95"/>
      <c r="AE28" s="99"/>
      <c r="AF28" s="95"/>
      <c r="AG28" s="104">
        <f>+AG27</f>
        <v>1</v>
      </c>
      <c r="AH28" s="94">
        <f t="shared" si="0"/>
        <v>1</v>
      </c>
      <c r="AI28" s="95"/>
      <c r="AJ28" s="95"/>
      <c r="AK28" s="95"/>
      <c r="AL28" s="95"/>
      <c r="AM28" s="95"/>
      <c r="AN28" s="95"/>
      <c r="AO28" s="95"/>
      <c r="AP28" s="95"/>
      <c r="AQ28" s="95"/>
      <c r="AR28" s="95"/>
      <c r="AS28" s="95"/>
      <c r="AT28" s="95"/>
    </row>
    <row r="29" spans="1:46" ht="107.25" customHeight="1" x14ac:dyDescent="0.25">
      <c r="A29" s="659"/>
      <c r="B29" s="817"/>
      <c r="C29" s="811"/>
      <c r="D29" s="632" t="s">
        <v>1539</v>
      </c>
      <c r="E29" s="622" t="s">
        <v>1541</v>
      </c>
      <c r="F29" s="622" t="s">
        <v>1540</v>
      </c>
      <c r="G29" s="623">
        <v>0.214</v>
      </c>
      <c r="H29" s="623">
        <v>0.17399999999999999</v>
      </c>
      <c r="I29" s="813"/>
      <c r="J29" s="247" t="s">
        <v>1542</v>
      </c>
      <c r="K29" s="135" t="s">
        <v>1543</v>
      </c>
      <c r="L29" s="132">
        <v>8</v>
      </c>
      <c r="M29" s="132">
        <v>0</v>
      </c>
      <c r="N29" s="132"/>
      <c r="O29" s="95"/>
      <c r="P29" s="99">
        <v>0</v>
      </c>
      <c r="Q29" s="99">
        <v>0</v>
      </c>
      <c r="R29" s="99">
        <v>0</v>
      </c>
      <c r="S29" s="99">
        <v>0</v>
      </c>
      <c r="T29" s="99">
        <v>0</v>
      </c>
      <c r="U29" s="99">
        <v>1</v>
      </c>
      <c r="V29" s="84">
        <v>2</v>
      </c>
      <c r="W29" s="373">
        <v>1</v>
      </c>
      <c r="X29" s="373">
        <v>4</v>
      </c>
      <c r="Y29" s="99">
        <v>4</v>
      </c>
      <c r="Z29" s="99">
        <v>0</v>
      </c>
      <c r="AA29" s="99">
        <v>10</v>
      </c>
      <c r="AB29" s="99"/>
      <c r="AC29" s="99"/>
      <c r="AD29" s="99"/>
      <c r="AE29" s="99">
        <f>+SUM(N29:AC29)</f>
        <v>22</v>
      </c>
      <c r="AF29" s="95"/>
      <c r="AG29" s="102">
        <v>1</v>
      </c>
      <c r="AH29" s="94">
        <f t="shared" si="0"/>
        <v>1</v>
      </c>
      <c r="AI29" s="95"/>
      <c r="AJ29" s="95"/>
      <c r="AK29" s="95"/>
      <c r="AL29" s="95"/>
      <c r="AM29" s="95"/>
      <c r="AN29" s="95"/>
      <c r="AO29" s="95"/>
      <c r="AP29" s="95"/>
      <c r="AQ29" s="95"/>
      <c r="AR29" s="95"/>
      <c r="AS29" s="95"/>
      <c r="AT29" s="95"/>
    </row>
    <row r="30" spans="1:46" ht="409.5" x14ac:dyDescent="0.25">
      <c r="A30" s="659"/>
      <c r="B30" s="817"/>
      <c r="C30" s="811"/>
      <c r="D30" s="632"/>
      <c r="E30" s="622"/>
      <c r="F30" s="622"/>
      <c r="G30" s="623"/>
      <c r="H30" s="623"/>
      <c r="I30" s="813"/>
      <c r="J30" s="247" t="s">
        <v>1544</v>
      </c>
      <c r="K30" s="132" t="s">
        <v>1545</v>
      </c>
      <c r="L30" s="132">
        <v>60</v>
      </c>
      <c r="M30" s="132">
        <v>15</v>
      </c>
      <c r="N30" s="132"/>
      <c r="O30" s="95"/>
      <c r="P30" s="99">
        <v>4</v>
      </c>
      <c r="Q30" s="99">
        <v>3</v>
      </c>
      <c r="R30" s="99">
        <v>1</v>
      </c>
      <c r="S30" s="99">
        <v>7</v>
      </c>
      <c r="T30" s="99">
        <v>8</v>
      </c>
      <c r="U30" s="99">
        <v>0</v>
      </c>
      <c r="V30" s="363">
        <v>10</v>
      </c>
      <c r="W30" s="373">
        <v>22</v>
      </c>
      <c r="X30" s="373">
        <v>26</v>
      </c>
      <c r="Y30" s="99">
        <v>14</v>
      </c>
      <c r="Z30" s="99"/>
      <c r="AA30" s="99">
        <v>101</v>
      </c>
      <c r="AB30" s="99"/>
      <c r="AC30" s="99"/>
      <c r="AD30" s="99"/>
      <c r="AE30" s="99">
        <f>+SUM(N30:AC30)</f>
        <v>196</v>
      </c>
      <c r="AF30" s="95"/>
      <c r="AG30" s="102">
        <v>1</v>
      </c>
      <c r="AH30" s="94">
        <f t="shared" si="0"/>
        <v>1</v>
      </c>
      <c r="AI30" s="95"/>
      <c r="AJ30" s="95"/>
      <c r="AK30" s="95"/>
      <c r="AL30" s="95"/>
      <c r="AM30" s="95"/>
      <c r="AN30" s="95"/>
      <c r="AO30" s="95"/>
      <c r="AP30" s="95"/>
      <c r="AQ30" s="95"/>
      <c r="AR30" s="95"/>
      <c r="AS30" s="95"/>
      <c r="AT30" s="95"/>
    </row>
    <row r="31" spans="1:46" ht="409.5" x14ac:dyDescent="0.25">
      <c r="A31" s="659"/>
      <c r="B31" s="817"/>
      <c r="C31" s="811"/>
      <c r="D31" s="632"/>
      <c r="E31" s="622"/>
      <c r="F31" s="622"/>
      <c r="G31" s="623"/>
      <c r="H31" s="623"/>
      <c r="I31" s="813"/>
      <c r="J31" s="135" t="s">
        <v>1546</v>
      </c>
      <c r="K31" s="132" t="s">
        <v>1547</v>
      </c>
      <c r="L31" s="132">
        <v>20000</v>
      </c>
      <c r="M31" s="132">
        <v>4622</v>
      </c>
      <c r="N31" s="132"/>
      <c r="O31" s="95"/>
      <c r="P31" s="99">
        <v>2000</v>
      </c>
      <c r="Q31" s="99">
        <v>4800</v>
      </c>
      <c r="R31" s="99">
        <v>0</v>
      </c>
      <c r="S31" s="99">
        <v>3794</v>
      </c>
      <c r="T31" s="99">
        <v>0</v>
      </c>
      <c r="U31" s="99">
        <v>0</v>
      </c>
      <c r="V31" s="390">
        <v>0</v>
      </c>
      <c r="W31" s="390">
        <v>0</v>
      </c>
      <c r="X31" s="378"/>
      <c r="Y31" s="99">
        <v>6100</v>
      </c>
      <c r="Z31" s="99">
        <v>1428</v>
      </c>
      <c r="AA31" s="99"/>
      <c r="AB31" s="99"/>
      <c r="AC31" s="99"/>
      <c r="AD31" s="99"/>
      <c r="AE31" s="99">
        <f>+Q31+S31+V31+W31+Y31+Z31</f>
        <v>16122</v>
      </c>
      <c r="AF31" s="95"/>
      <c r="AG31" s="102">
        <f>+(AE31/L31)</f>
        <v>0.80610000000000004</v>
      </c>
      <c r="AH31" s="94">
        <f t="shared" si="0"/>
        <v>0.80610000000000004</v>
      </c>
      <c r="AI31" s="95"/>
      <c r="AJ31" s="95"/>
      <c r="AK31" s="95"/>
      <c r="AL31" s="95"/>
      <c r="AM31" s="95"/>
      <c r="AN31" s="95"/>
      <c r="AO31" s="95"/>
      <c r="AP31" s="95"/>
      <c r="AQ31" s="95"/>
      <c r="AR31" s="95"/>
      <c r="AS31" s="95"/>
      <c r="AT31" s="95"/>
    </row>
    <row r="32" spans="1:46" ht="54.75" customHeight="1" x14ac:dyDescent="0.25">
      <c r="A32" s="659"/>
      <c r="B32" s="817"/>
      <c r="C32" s="811"/>
      <c r="D32" s="632"/>
      <c r="E32" s="622"/>
      <c r="F32" s="622"/>
      <c r="G32" s="623"/>
      <c r="H32" s="623"/>
      <c r="I32" s="813"/>
      <c r="J32" s="135"/>
      <c r="K32" s="132"/>
      <c r="L32" s="132"/>
      <c r="M32" s="132"/>
      <c r="N32" s="132"/>
      <c r="O32" s="95"/>
      <c r="P32" s="95"/>
      <c r="Q32" s="95"/>
      <c r="R32" s="95"/>
      <c r="S32" s="134"/>
      <c r="T32" s="95"/>
      <c r="U32" s="95"/>
      <c r="V32" s="95"/>
      <c r="W32" s="95"/>
      <c r="X32" s="95"/>
      <c r="Y32" s="95"/>
      <c r="Z32" s="95"/>
      <c r="AA32" s="95"/>
      <c r="AB32" s="95"/>
      <c r="AC32" s="95"/>
      <c r="AD32" s="95"/>
      <c r="AE32" s="99"/>
      <c r="AF32" s="95"/>
      <c r="AG32" s="106">
        <f>AVERAGE(AG29:AG31)</f>
        <v>0.93536666666666657</v>
      </c>
      <c r="AH32" s="94">
        <f t="shared" si="0"/>
        <v>0.93536666666666657</v>
      </c>
      <c r="AI32" s="95"/>
      <c r="AJ32" s="95"/>
      <c r="AK32" s="95"/>
      <c r="AL32" s="95"/>
      <c r="AM32" s="95"/>
      <c r="AN32" s="95"/>
      <c r="AO32" s="95"/>
      <c r="AP32" s="95"/>
      <c r="AQ32" s="95"/>
      <c r="AR32" s="95"/>
      <c r="AS32" s="95"/>
      <c r="AT32" s="95"/>
    </row>
    <row r="33" spans="1:46" ht="45" customHeight="1" x14ac:dyDescent="0.25">
      <c r="A33" s="659"/>
      <c r="B33" s="817"/>
      <c r="C33" s="811"/>
      <c r="D33" s="632"/>
      <c r="E33" s="132"/>
      <c r="F33" s="132"/>
      <c r="G33" s="206"/>
      <c r="H33" s="206"/>
      <c r="I33" s="134"/>
      <c r="J33" s="135"/>
      <c r="K33" s="132"/>
      <c r="L33" s="132"/>
      <c r="M33" s="132"/>
      <c r="N33" s="132"/>
      <c r="O33" s="95"/>
      <c r="P33" s="95"/>
      <c r="Q33" s="95"/>
      <c r="R33" s="95"/>
      <c r="S33" s="134"/>
      <c r="T33" s="95"/>
      <c r="U33" s="95"/>
      <c r="V33" s="95"/>
      <c r="W33" s="95"/>
      <c r="X33" s="95"/>
      <c r="Y33" s="95"/>
      <c r="Z33" s="95"/>
      <c r="AA33" s="95"/>
      <c r="AB33" s="95"/>
      <c r="AC33" s="95"/>
      <c r="AD33" s="95"/>
      <c r="AE33" s="99"/>
      <c r="AF33" s="95"/>
      <c r="AG33" s="104">
        <f>+AG32</f>
        <v>0.93536666666666657</v>
      </c>
      <c r="AH33" s="94">
        <f t="shared" si="0"/>
        <v>0.93536666666666657</v>
      </c>
      <c r="AI33" s="95"/>
      <c r="AJ33" s="95"/>
      <c r="AK33" s="95"/>
      <c r="AL33" s="95"/>
      <c r="AM33" s="95"/>
      <c r="AN33" s="95"/>
      <c r="AO33" s="95"/>
      <c r="AP33" s="95"/>
      <c r="AQ33" s="95"/>
      <c r="AR33" s="95"/>
      <c r="AS33" s="95"/>
      <c r="AT33" s="95"/>
    </row>
    <row r="34" spans="1:46" ht="409.5" x14ac:dyDescent="0.25">
      <c r="A34" s="659"/>
      <c r="B34" s="817"/>
      <c r="C34" s="811"/>
      <c r="D34" s="632" t="s">
        <v>1548</v>
      </c>
      <c r="E34" s="132" t="s">
        <v>1563</v>
      </c>
      <c r="F34" s="132" t="s">
        <v>1561</v>
      </c>
      <c r="G34" s="105">
        <v>35.700000000000003</v>
      </c>
      <c r="H34" s="105">
        <v>51</v>
      </c>
      <c r="I34" s="632" t="s">
        <v>1568</v>
      </c>
      <c r="J34" s="562" t="s">
        <v>1549</v>
      </c>
      <c r="K34" s="135" t="s">
        <v>1550</v>
      </c>
      <c r="L34" s="132">
        <v>1000</v>
      </c>
      <c r="M34" s="132">
        <v>480</v>
      </c>
      <c r="N34" s="132"/>
      <c r="O34" s="95"/>
      <c r="P34" s="99">
        <v>480</v>
      </c>
      <c r="Q34" s="99">
        <v>45</v>
      </c>
      <c r="R34" s="99">
        <v>70</v>
      </c>
      <c r="S34" s="99">
        <v>83</v>
      </c>
      <c r="T34" s="99">
        <v>0</v>
      </c>
      <c r="U34" s="99">
        <v>0</v>
      </c>
      <c r="V34" s="84">
        <v>53</v>
      </c>
      <c r="W34" s="373">
        <v>200</v>
      </c>
      <c r="X34" s="372">
        <v>300</v>
      </c>
      <c r="Y34" s="99">
        <v>570</v>
      </c>
      <c r="Z34" s="593">
        <v>140</v>
      </c>
      <c r="AA34" s="593">
        <f>W34+Y34+Z34</f>
        <v>910</v>
      </c>
      <c r="AB34" s="99"/>
      <c r="AC34" s="99"/>
      <c r="AD34" s="99"/>
      <c r="AE34" s="99">
        <f>+SUM(N34:AC34)</f>
        <v>2851</v>
      </c>
      <c r="AF34" s="95"/>
      <c r="AG34" s="102">
        <v>1</v>
      </c>
      <c r="AH34" s="94">
        <f t="shared" si="0"/>
        <v>1</v>
      </c>
      <c r="AI34" s="95"/>
      <c r="AJ34" s="95"/>
      <c r="AK34" s="95"/>
      <c r="AL34" s="95"/>
      <c r="AM34" s="95"/>
      <c r="AN34" s="95"/>
      <c r="AO34" s="95"/>
      <c r="AP34" s="95"/>
      <c r="AQ34" s="95"/>
      <c r="AR34" s="95"/>
      <c r="AS34" s="95"/>
      <c r="AT34" s="95"/>
    </row>
    <row r="35" spans="1:46" ht="409.5" x14ac:dyDescent="0.25">
      <c r="A35" s="659"/>
      <c r="B35" s="817"/>
      <c r="C35" s="811"/>
      <c r="D35" s="632"/>
      <c r="E35" s="132" t="s">
        <v>1564</v>
      </c>
      <c r="F35" s="132" t="s">
        <v>1561</v>
      </c>
      <c r="G35" s="105">
        <v>14</v>
      </c>
      <c r="H35" s="105">
        <v>24</v>
      </c>
      <c r="I35" s="632"/>
      <c r="J35" s="562" t="s">
        <v>1551</v>
      </c>
      <c r="K35" s="132" t="s">
        <v>1552</v>
      </c>
      <c r="L35" s="132">
        <v>80</v>
      </c>
      <c r="M35" s="132">
        <v>0</v>
      </c>
      <c r="N35" s="132"/>
      <c r="O35" s="95"/>
      <c r="P35" s="99">
        <v>2</v>
      </c>
      <c r="Q35" s="99">
        <v>25</v>
      </c>
      <c r="R35" s="99">
        <v>0</v>
      </c>
      <c r="S35" s="99">
        <v>0</v>
      </c>
      <c r="T35" s="99">
        <v>41</v>
      </c>
      <c r="U35" s="99">
        <v>0</v>
      </c>
      <c r="V35" s="84">
        <v>0</v>
      </c>
      <c r="W35" s="373">
        <v>0</v>
      </c>
      <c r="X35" s="372">
        <v>0</v>
      </c>
      <c r="Y35" s="99">
        <v>0</v>
      </c>
      <c r="Z35" s="99">
        <v>0</v>
      </c>
      <c r="AA35" s="99">
        <v>68</v>
      </c>
      <c r="AB35" s="99"/>
      <c r="AC35" s="99"/>
      <c r="AD35" s="99"/>
      <c r="AE35" s="99">
        <f>+SUM(N35:AC35)</f>
        <v>136</v>
      </c>
      <c r="AF35" s="95"/>
      <c r="AG35" s="102">
        <v>1</v>
      </c>
      <c r="AH35" s="94">
        <f t="shared" si="0"/>
        <v>1</v>
      </c>
      <c r="AI35" s="95"/>
      <c r="AJ35" s="95"/>
      <c r="AK35" s="95"/>
      <c r="AL35" s="95"/>
      <c r="AM35" s="95"/>
      <c r="AN35" s="95"/>
      <c r="AO35" s="95"/>
      <c r="AP35" s="95"/>
      <c r="AQ35" s="95"/>
      <c r="AR35" s="95"/>
      <c r="AS35" s="95"/>
      <c r="AT35" s="95"/>
    </row>
    <row r="36" spans="1:46" ht="409.5" x14ac:dyDescent="0.25">
      <c r="A36" s="659"/>
      <c r="B36" s="817"/>
      <c r="C36" s="811"/>
      <c r="D36" s="632"/>
      <c r="E36" s="132" t="s">
        <v>1565</v>
      </c>
      <c r="F36" s="132" t="s">
        <v>1561</v>
      </c>
      <c r="G36" s="105">
        <v>19</v>
      </c>
      <c r="H36" s="105">
        <v>27</v>
      </c>
      <c r="I36" s="632"/>
      <c r="J36" s="250" t="s">
        <v>1553</v>
      </c>
      <c r="K36" s="132" t="s">
        <v>1554</v>
      </c>
      <c r="L36" s="132">
        <v>24</v>
      </c>
      <c r="M36" s="132">
        <v>0</v>
      </c>
      <c r="N36" s="132"/>
      <c r="O36" s="95"/>
      <c r="P36" s="99">
        <v>1</v>
      </c>
      <c r="Q36" s="99">
        <v>0</v>
      </c>
      <c r="R36" s="99">
        <v>0</v>
      </c>
      <c r="S36" s="99">
        <v>0</v>
      </c>
      <c r="T36" s="99">
        <v>0</v>
      </c>
      <c r="U36" s="99">
        <v>2</v>
      </c>
      <c r="V36" s="84">
        <v>1</v>
      </c>
      <c r="W36" s="373">
        <v>0</v>
      </c>
      <c r="X36" s="372">
        <v>0</v>
      </c>
      <c r="Y36" s="272">
        <v>13</v>
      </c>
      <c r="Z36" s="99">
        <v>4</v>
      </c>
      <c r="AA36" s="99">
        <v>24</v>
      </c>
      <c r="AB36" s="99"/>
      <c r="AC36" s="99"/>
      <c r="AD36" s="99"/>
      <c r="AE36" s="99">
        <f>+SUM(N36:AC36)</f>
        <v>45</v>
      </c>
      <c r="AF36" s="95"/>
      <c r="AG36" s="102">
        <v>1</v>
      </c>
      <c r="AH36" s="94">
        <f t="shared" si="0"/>
        <v>1</v>
      </c>
      <c r="AI36" s="95"/>
      <c r="AJ36" s="95"/>
      <c r="AK36" s="95"/>
      <c r="AL36" s="95"/>
      <c r="AM36" s="95"/>
      <c r="AN36" s="95"/>
      <c r="AO36" s="95"/>
      <c r="AP36" s="95"/>
      <c r="AQ36" s="95"/>
      <c r="AR36" s="95"/>
      <c r="AS36" s="95"/>
      <c r="AT36" s="95"/>
    </row>
    <row r="37" spans="1:46" ht="409.5" x14ac:dyDescent="0.25">
      <c r="A37" s="659"/>
      <c r="B37" s="817"/>
      <c r="C37" s="811"/>
      <c r="D37" s="632"/>
      <c r="E37" s="622" t="s">
        <v>1566</v>
      </c>
      <c r="F37" s="622" t="s">
        <v>1561</v>
      </c>
      <c r="G37" s="622">
        <v>76</v>
      </c>
      <c r="H37" s="622">
        <v>86</v>
      </c>
      <c r="I37" s="632"/>
      <c r="J37" s="250" t="s">
        <v>1555</v>
      </c>
      <c r="K37" s="132" t="s">
        <v>1556</v>
      </c>
      <c r="L37" s="132">
        <v>24</v>
      </c>
      <c r="M37" s="132">
        <v>0</v>
      </c>
      <c r="N37" s="132"/>
      <c r="O37" s="95"/>
      <c r="P37" s="99">
        <v>0</v>
      </c>
      <c r="Q37" s="99">
        <v>0</v>
      </c>
      <c r="R37" s="99">
        <v>0</v>
      </c>
      <c r="S37" s="99">
        <v>8</v>
      </c>
      <c r="T37" s="99">
        <v>0</v>
      </c>
      <c r="U37" s="99">
        <v>6</v>
      </c>
      <c r="V37" s="84">
        <v>0</v>
      </c>
      <c r="W37" s="373">
        <v>0</v>
      </c>
      <c r="X37" s="372">
        <v>10</v>
      </c>
      <c r="Y37" s="99">
        <v>0</v>
      </c>
      <c r="Z37" s="99">
        <v>0</v>
      </c>
      <c r="AA37" s="99">
        <v>24</v>
      </c>
      <c r="AB37" s="99"/>
      <c r="AC37" s="99"/>
      <c r="AD37" s="99"/>
      <c r="AE37" s="99">
        <f>+SUM(N37:AC37)</f>
        <v>48</v>
      </c>
      <c r="AF37" s="95"/>
      <c r="AG37" s="102">
        <v>1</v>
      </c>
      <c r="AH37" s="94">
        <f t="shared" si="0"/>
        <v>1</v>
      </c>
      <c r="AI37" s="95"/>
      <c r="AJ37" s="95"/>
      <c r="AK37" s="95"/>
      <c r="AL37" s="95"/>
      <c r="AM37" s="95"/>
      <c r="AN37" s="95"/>
      <c r="AO37" s="95"/>
      <c r="AP37" s="95"/>
      <c r="AQ37" s="95"/>
      <c r="AR37" s="95"/>
      <c r="AS37" s="95"/>
      <c r="AT37" s="95"/>
    </row>
    <row r="38" spans="1:46" ht="409.5" x14ac:dyDescent="0.25">
      <c r="A38" s="659"/>
      <c r="B38" s="817"/>
      <c r="C38" s="811"/>
      <c r="D38" s="632"/>
      <c r="E38" s="622"/>
      <c r="F38" s="622"/>
      <c r="G38" s="622"/>
      <c r="H38" s="622"/>
      <c r="I38" s="632"/>
      <c r="J38" s="565" t="s">
        <v>1557</v>
      </c>
      <c r="K38" s="132" t="s">
        <v>1558</v>
      </c>
      <c r="L38" s="132">
        <v>8</v>
      </c>
      <c r="M38" s="132">
        <v>2</v>
      </c>
      <c r="N38" s="132"/>
      <c r="O38" s="95"/>
      <c r="P38" s="99">
        <v>0</v>
      </c>
      <c r="Q38" s="99">
        <v>0</v>
      </c>
      <c r="R38" s="99">
        <v>0</v>
      </c>
      <c r="S38" s="99">
        <v>0</v>
      </c>
      <c r="T38" s="99">
        <v>1</v>
      </c>
      <c r="U38" s="99">
        <v>0</v>
      </c>
      <c r="V38" s="99">
        <v>0</v>
      </c>
      <c r="W38" s="99">
        <v>0</v>
      </c>
      <c r="X38" s="99">
        <v>2</v>
      </c>
      <c r="Y38" s="99">
        <v>4</v>
      </c>
      <c r="Z38" s="99">
        <v>0</v>
      </c>
      <c r="AA38" s="99">
        <v>7</v>
      </c>
      <c r="AB38" s="99"/>
      <c r="AC38" s="99"/>
      <c r="AD38" s="99"/>
      <c r="AE38" s="99">
        <f>+SUM(N38:AC38)</f>
        <v>14</v>
      </c>
      <c r="AF38" s="95"/>
      <c r="AG38" s="102">
        <v>1</v>
      </c>
      <c r="AH38" s="94">
        <f t="shared" si="0"/>
        <v>1</v>
      </c>
      <c r="AI38" s="95"/>
      <c r="AJ38" s="95"/>
      <c r="AK38" s="95"/>
      <c r="AL38" s="95"/>
      <c r="AM38" s="95"/>
      <c r="AN38" s="95"/>
      <c r="AO38" s="95"/>
      <c r="AP38" s="95"/>
      <c r="AQ38" s="95"/>
      <c r="AR38" s="95"/>
      <c r="AS38" s="95"/>
      <c r="AT38" s="95"/>
    </row>
    <row r="39" spans="1:46" ht="45" customHeight="1" x14ac:dyDescent="0.25">
      <c r="A39" s="659"/>
      <c r="B39" s="817"/>
      <c r="C39" s="811"/>
      <c r="D39" s="632"/>
      <c r="E39" s="132"/>
      <c r="F39" s="132"/>
      <c r="G39" s="132"/>
      <c r="H39" s="132"/>
      <c r="I39" s="632"/>
      <c r="J39" s="132"/>
      <c r="K39" s="132"/>
      <c r="L39" s="132"/>
      <c r="M39" s="132"/>
      <c r="N39" s="132"/>
      <c r="O39" s="95"/>
      <c r="P39" s="95"/>
      <c r="Q39" s="95"/>
      <c r="R39" s="95"/>
      <c r="S39" s="134"/>
      <c r="T39" s="95"/>
      <c r="U39" s="95"/>
      <c r="V39" s="95"/>
      <c r="W39" s="95"/>
      <c r="X39" s="95"/>
      <c r="Y39" s="95"/>
      <c r="Z39" s="95"/>
      <c r="AA39" s="95"/>
      <c r="AB39" s="95"/>
      <c r="AC39" s="95"/>
      <c r="AD39" s="95"/>
      <c r="AE39" s="99"/>
      <c r="AF39" s="95"/>
      <c r="AG39" s="106">
        <f>AVERAGE(AG34:AG38)</f>
        <v>1</v>
      </c>
      <c r="AH39" s="94">
        <f t="shared" si="0"/>
        <v>1</v>
      </c>
      <c r="AI39" s="95"/>
      <c r="AJ39" s="95"/>
      <c r="AK39" s="95"/>
      <c r="AL39" s="95"/>
      <c r="AM39" s="95"/>
      <c r="AN39" s="95"/>
      <c r="AO39" s="95"/>
      <c r="AP39" s="95"/>
      <c r="AQ39" s="95"/>
      <c r="AR39" s="95"/>
      <c r="AS39" s="95"/>
      <c r="AT39" s="95"/>
    </row>
    <row r="40" spans="1:46" ht="120" customHeight="1" x14ac:dyDescent="0.25">
      <c r="A40" s="659"/>
      <c r="B40" s="817"/>
      <c r="C40" s="811"/>
      <c r="D40" s="632"/>
      <c r="E40" s="622" t="s">
        <v>1567</v>
      </c>
      <c r="F40" s="826" t="s">
        <v>1562</v>
      </c>
      <c r="G40" s="622">
        <v>340</v>
      </c>
      <c r="H40" s="622">
        <v>400</v>
      </c>
      <c r="I40" s="632" t="s">
        <v>1569</v>
      </c>
      <c r="J40" s="250" t="s">
        <v>1559</v>
      </c>
      <c r="K40" s="132" t="s">
        <v>1560</v>
      </c>
      <c r="L40" s="132">
        <v>4</v>
      </c>
      <c r="M40" s="132">
        <v>1</v>
      </c>
      <c r="N40" s="132"/>
      <c r="O40" s="95"/>
      <c r="P40" s="99">
        <v>1</v>
      </c>
      <c r="Q40" s="99">
        <v>0</v>
      </c>
      <c r="R40" s="99">
        <v>1</v>
      </c>
      <c r="S40" s="99">
        <v>0</v>
      </c>
      <c r="T40" s="99">
        <v>0</v>
      </c>
      <c r="U40" s="99">
        <v>0</v>
      </c>
      <c r="V40" s="99">
        <v>0</v>
      </c>
      <c r="W40" s="99">
        <v>0</v>
      </c>
      <c r="X40" s="99">
        <v>0</v>
      </c>
      <c r="Y40" s="99">
        <v>0</v>
      </c>
      <c r="Z40" s="99">
        <v>0</v>
      </c>
      <c r="AA40" s="99">
        <v>3</v>
      </c>
      <c r="AB40" s="99"/>
      <c r="AC40" s="99"/>
      <c r="AD40" s="99"/>
      <c r="AE40" s="99">
        <f>+SUM(N40:AC40)</f>
        <v>5</v>
      </c>
      <c r="AF40" s="95"/>
      <c r="AG40" s="102">
        <v>1</v>
      </c>
      <c r="AH40" s="94">
        <f t="shared" si="0"/>
        <v>1</v>
      </c>
      <c r="AI40" s="95"/>
      <c r="AJ40" s="95"/>
      <c r="AK40" s="95"/>
      <c r="AL40" s="95"/>
      <c r="AM40" s="95"/>
      <c r="AN40" s="95"/>
      <c r="AO40" s="95"/>
      <c r="AP40" s="95"/>
      <c r="AQ40" s="95"/>
      <c r="AR40" s="95"/>
      <c r="AS40" s="95"/>
      <c r="AT40" s="95"/>
    </row>
    <row r="41" spans="1:46" ht="69.75" customHeight="1" x14ac:dyDescent="0.25">
      <c r="A41" s="659"/>
      <c r="B41" s="817"/>
      <c r="C41" s="811"/>
      <c r="D41" s="632"/>
      <c r="E41" s="622"/>
      <c r="F41" s="826"/>
      <c r="G41" s="622"/>
      <c r="H41" s="622"/>
      <c r="I41" s="632"/>
      <c r="J41" s="132"/>
      <c r="K41" s="132"/>
      <c r="L41" s="132"/>
      <c r="M41" s="132"/>
      <c r="N41" s="132"/>
      <c r="O41" s="95"/>
      <c r="P41" s="95"/>
      <c r="Q41" s="95"/>
      <c r="R41" s="95"/>
      <c r="S41" s="134"/>
      <c r="T41" s="95"/>
      <c r="U41" s="95"/>
      <c r="V41" s="95"/>
      <c r="W41" s="95"/>
      <c r="X41" s="95"/>
      <c r="Y41" s="95"/>
      <c r="Z41" s="95"/>
      <c r="AA41" s="95"/>
      <c r="AB41" s="95"/>
      <c r="AC41" s="95"/>
      <c r="AD41" s="95"/>
      <c r="AE41" s="99"/>
      <c r="AF41" s="95"/>
      <c r="AG41" s="106">
        <f>+AG40</f>
        <v>1</v>
      </c>
      <c r="AH41" s="94">
        <f t="shared" si="0"/>
        <v>1</v>
      </c>
      <c r="AI41" s="95"/>
      <c r="AJ41" s="95"/>
      <c r="AK41" s="95"/>
      <c r="AL41" s="95"/>
      <c r="AM41" s="95"/>
      <c r="AN41" s="95"/>
      <c r="AO41" s="95"/>
      <c r="AP41" s="95"/>
      <c r="AQ41" s="95"/>
      <c r="AR41" s="95"/>
      <c r="AS41" s="95"/>
      <c r="AT41" s="95"/>
    </row>
    <row r="42" spans="1:46" ht="69.75" customHeight="1" x14ac:dyDescent="0.25">
      <c r="A42" s="659"/>
      <c r="B42" s="817"/>
      <c r="C42" s="811"/>
      <c r="D42" s="632"/>
      <c r="E42" s="132"/>
      <c r="F42" s="135"/>
      <c r="G42" s="132"/>
      <c r="H42" s="132"/>
      <c r="I42" s="131"/>
      <c r="J42" s="132"/>
      <c r="K42" s="132"/>
      <c r="L42" s="132"/>
      <c r="M42" s="132"/>
      <c r="N42" s="132"/>
      <c r="O42" s="95"/>
      <c r="P42" s="95"/>
      <c r="Q42" s="95"/>
      <c r="R42" s="95"/>
      <c r="S42" s="134"/>
      <c r="T42" s="95"/>
      <c r="U42" s="95"/>
      <c r="V42" s="95"/>
      <c r="W42" s="95"/>
      <c r="X42" s="95"/>
      <c r="Y42" s="95"/>
      <c r="Z42" s="95"/>
      <c r="AA42" s="95"/>
      <c r="AB42" s="95"/>
      <c r="AC42" s="95"/>
      <c r="AD42" s="95"/>
      <c r="AE42" s="99"/>
      <c r="AF42" s="95"/>
      <c r="AG42" s="209">
        <f>+(AG39+AG41)/2</f>
        <v>1</v>
      </c>
      <c r="AH42" s="94">
        <f t="shared" si="0"/>
        <v>1</v>
      </c>
      <c r="AI42" s="95"/>
      <c r="AJ42" s="95"/>
      <c r="AK42" s="95"/>
      <c r="AL42" s="95"/>
      <c r="AM42" s="95"/>
      <c r="AN42" s="95"/>
      <c r="AO42" s="95"/>
      <c r="AP42" s="95"/>
      <c r="AQ42" s="95"/>
      <c r="AR42" s="95"/>
      <c r="AS42" s="95"/>
      <c r="AT42" s="95"/>
    </row>
    <row r="43" spans="1:46" ht="60" customHeight="1" x14ac:dyDescent="0.25">
      <c r="A43" s="659"/>
      <c r="B43" s="817"/>
      <c r="C43" s="811"/>
      <c r="D43" s="632" t="s">
        <v>1570</v>
      </c>
      <c r="E43" s="622" t="s">
        <v>1592</v>
      </c>
      <c r="F43" s="622" t="s">
        <v>1591</v>
      </c>
      <c r="G43" s="622">
        <v>2.8000000000000001E-2</v>
      </c>
      <c r="H43" s="622">
        <v>0.39400000000000002</v>
      </c>
      <c r="I43" s="622" t="s">
        <v>1593</v>
      </c>
      <c r="J43" s="132" t="s">
        <v>1571</v>
      </c>
      <c r="K43" s="132" t="s">
        <v>1572</v>
      </c>
      <c r="L43" s="132">
        <v>430</v>
      </c>
      <c r="M43" s="132">
        <v>31</v>
      </c>
      <c r="N43" s="132"/>
      <c r="O43" s="95"/>
      <c r="P43" s="99">
        <v>150</v>
      </c>
      <c r="Q43" s="99">
        <v>150</v>
      </c>
      <c r="R43" s="99">
        <v>459</v>
      </c>
      <c r="S43" s="99">
        <v>0</v>
      </c>
      <c r="T43" s="99">
        <v>0</v>
      </c>
      <c r="U43" s="99">
        <v>0</v>
      </c>
      <c r="V43" s="99">
        <v>0</v>
      </c>
      <c r="W43" s="99">
        <v>0</v>
      </c>
      <c r="X43" s="99">
        <v>0</v>
      </c>
      <c r="Y43" s="99">
        <v>0</v>
      </c>
      <c r="Z43" s="99">
        <v>0</v>
      </c>
      <c r="AA43" s="99"/>
      <c r="AB43" s="99"/>
      <c r="AC43" s="99"/>
      <c r="AD43" s="99"/>
      <c r="AE43" s="99">
        <f>+Q43+R43</f>
        <v>609</v>
      </c>
      <c r="AF43" s="95"/>
      <c r="AG43" s="102">
        <v>1</v>
      </c>
      <c r="AH43" s="94">
        <f t="shared" si="0"/>
        <v>1</v>
      </c>
      <c r="AI43" s="95"/>
      <c r="AJ43" s="95"/>
      <c r="AK43" s="95"/>
      <c r="AL43" s="95"/>
      <c r="AM43" s="95"/>
      <c r="AN43" s="95"/>
      <c r="AO43" s="95"/>
      <c r="AP43" s="95"/>
      <c r="AQ43" s="95"/>
      <c r="AR43" s="95"/>
      <c r="AS43" s="95"/>
      <c r="AT43" s="95"/>
    </row>
    <row r="44" spans="1:46" ht="409.5" x14ac:dyDescent="0.25">
      <c r="A44" s="659"/>
      <c r="B44" s="817"/>
      <c r="C44" s="811"/>
      <c r="D44" s="632"/>
      <c r="E44" s="622"/>
      <c r="F44" s="622"/>
      <c r="G44" s="622"/>
      <c r="H44" s="622"/>
      <c r="I44" s="622"/>
      <c r="J44" s="132" t="s">
        <v>1573</v>
      </c>
      <c r="K44" s="132" t="s">
        <v>1574</v>
      </c>
      <c r="L44" s="132">
        <v>50</v>
      </c>
      <c r="M44" s="132">
        <v>0</v>
      </c>
      <c r="N44" s="132"/>
      <c r="O44" s="95"/>
      <c r="P44" s="99">
        <v>90</v>
      </c>
      <c r="Q44" s="99">
        <v>90</v>
      </c>
      <c r="R44" s="99">
        <v>0</v>
      </c>
      <c r="S44" s="99">
        <v>0</v>
      </c>
      <c r="T44" s="99">
        <v>0</v>
      </c>
      <c r="U44" s="99">
        <v>0</v>
      </c>
      <c r="V44" s="99">
        <v>0</v>
      </c>
      <c r="W44" s="99">
        <v>0</v>
      </c>
      <c r="X44" s="99">
        <v>0</v>
      </c>
      <c r="Y44" s="99">
        <v>0</v>
      </c>
      <c r="Z44" s="99">
        <v>0</v>
      </c>
      <c r="AA44" s="99"/>
      <c r="AB44" s="99"/>
      <c r="AC44" s="99"/>
      <c r="AD44" s="99"/>
      <c r="AE44" s="99">
        <f>+Q44+S44+R44</f>
        <v>90</v>
      </c>
      <c r="AF44" s="95"/>
      <c r="AG44" s="102">
        <v>1</v>
      </c>
      <c r="AH44" s="94">
        <f t="shared" si="0"/>
        <v>1</v>
      </c>
      <c r="AI44" s="95"/>
      <c r="AJ44" s="95"/>
      <c r="AK44" s="95"/>
      <c r="AL44" s="95"/>
      <c r="AM44" s="95"/>
      <c r="AN44" s="95"/>
      <c r="AO44" s="95"/>
      <c r="AP44" s="95"/>
      <c r="AQ44" s="95"/>
      <c r="AR44" s="95"/>
      <c r="AS44" s="95"/>
      <c r="AT44" s="95"/>
    </row>
    <row r="45" spans="1:46" ht="409.5" x14ac:dyDescent="0.25">
      <c r="A45" s="659"/>
      <c r="B45" s="817"/>
      <c r="C45" s="811"/>
      <c r="D45" s="632"/>
      <c r="E45" s="622"/>
      <c r="F45" s="622"/>
      <c r="G45" s="622"/>
      <c r="H45" s="622"/>
      <c r="I45" s="622"/>
      <c r="J45" s="132" t="s">
        <v>1575</v>
      </c>
      <c r="K45" s="132" t="s">
        <v>1576</v>
      </c>
      <c r="L45" s="132">
        <v>8</v>
      </c>
      <c r="M45" s="132">
        <v>0</v>
      </c>
      <c r="N45" s="132"/>
      <c r="O45" s="95"/>
      <c r="P45" s="99">
        <v>0</v>
      </c>
      <c r="Q45" s="99">
        <v>0</v>
      </c>
      <c r="R45" s="99">
        <v>0</v>
      </c>
      <c r="S45" s="99">
        <v>0</v>
      </c>
      <c r="T45" s="99">
        <v>0</v>
      </c>
      <c r="U45" s="99">
        <v>0</v>
      </c>
      <c r="V45" s="99">
        <v>0</v>
      </c>
      <c r="W45" s="99">
        <v>0</v>
      </c>
      <c r="X45" s="99">
        <v>0</v>
      </c>
      <c r="Y45" s="99">
        <v>0</v>
      </c>
      <c r="Z45" s="99">
        <v>0</v>
      </c>
      <c r="AA45" s="99">
        <v>0</v>
      </c>
      <c r="AB45" s="99"/>
      <c r="AC45" s="99"/>
      <c r="AD45" s="99"/>
      <c r="AE45" s="99">
        <f>+Q45+R45+S45</f>
        <v>0</v>
      </c>
      <c r="AF45" s="95"/>
      <c r="AG45" s="102">
        <f>+(AE45/L45)</f>
        <v>0</v>
      </c>
      <c r="AH45" s="94">
        <f t="shared" si="0"/>
        <v>0</v>
      </c>
      <c r="AI45" s="95"/>
      <c r="AJ45" s="95"/>
      <c r="AK45" s="95"/>
      <c r="AL45" s="95"/>
      <c r="AM45" s="95"/>
      <c r="AN45" s="95"/>
      <c r="AO45" s="95"/>
      <c r="AP45" s="95"/>
      <c r="AQ45" s="95"/>
      <c r="AR45" s="95"/>
      <c r="AS45" s="95"/>
      <c r="AT45" s="95"/>
    </row>
    <row r="46" spans="1:46" ht="409.5" x14ac:dyDescent="0.25">
      <c r="A46" s="659"/>
      <c r="B46" s="817"/>
      <c r="C46" s="811"/>
      <c r="D46" s="632"/>
      <c r="E46" s="132" t="s">
        <v>1595</v>
      </c>
      <c r="F46" s="132" t="s">
        <v>1594</v>
      </c>
      <c r="G46" s="132">
        <v>16.5</v>
      </c>
      <c r="H46" s="132">
        <v>0</v>
      </c>
      <c r="I46" s="622"/>
      <c r="J46" s="132" t="s">
        <v>1577</v>
      </c>
      <c r="K46" s="132" t="s">
        <v>1578</v>
      </c>
      <c r="L46" s="132">
        <v>200</v>
      </c>
      <c r="M46" s="132">
        <v>0</v>
      </c>
      <c r="N46" s="132"/>
      <c r="O46" s="95"/>
      <c r="P46" s="99">
        <v>50</v>
      </c>
      <c r="Q46" s="99">
        <v>50</v>
      </c>
      <c r="R46" s="99">
        <v>20</v>
      </c>
      <c r="S46" s="99">
        <v>0</v>
      </c>
      <c r="T46" s="99">
        <v>0</v>
      </c>
      <c r="U46" s="99">
        <v>0</v>
      </c>
      <c r="V46" s="99">
        <v>0</v>
      </c>
      <c r="W46" s="99">
        <v>0</v>
      </c>
      <c r="X46" s="99">
        <v>0</v>
      </c>
      <c r="Y46" s="99">
        <v>0</v>
      </c>
      <c r="Z46" s="99">
        <v>0</v>
      </c>
      <c r="AA46" s="99"/>
      <c r="AB46" s="99"/>
      <c r="AC46" s="99"/>
      <c r="AD46" s="99"/>
      <c r="AE46" s="99">
        <f>+P46+Q46+R46</f>
        <v>120</v>
      </c>
      <c r="AF46" s="95"/>
      <c r="AG46" s="102">
        <f>+(AE46/L46)</f>
        <v>0.6</v>
      </c>
      <c r="AH46" s="94">
        <f t="shared" si="0"/>
        <v>0.6</v>
      </c>
      <c r="AI46" s="95"/>
      <c r="AJ46" s="95"/>
      <c r="AK46" s="95"/>
      <c r="AL46" s="95"/>
      <c r="AM46" s="95"/>
      <c r="AN46" s="95"/>
      <c r="AO46" s="95"/>
      <c r="AP46" s="95"/>
      <c r="AQ46" s="95"/>
      <c r="AR46" s="95"/>
      <c r="AS46" s="95"/>
      <c r="AT46" s="95"/>
    </row>
    <row r="47" spans="1:46" ht="75" customHeight="1" x14ac:dyDescent="0.25">
      <c r="A47" s="659"/>
      <c r="B47" s="817"/>
      <c r="C47" s="811"/>
      <c r="D47" s="632"/>
      <c r="E47" s="132" t="s">
        <v>1597</v>
      </c>
      <c r="F47" s="132" t="s">
        <v>1596</v>
      </c>
      <c r="G47" s="132">
        <v>0.56200000000000006</v>
      </c>
      <c r="H47" s="132">
        <v>0.39500000000000002</v>
      </c>
      <c r="I47" s="622"/>
      <c r="J47" s="132" t="s">
        <v>1579</v>
      </c>
      <c r="K47" s="132" t="s">
        <v>1580</v>
      </c>
      <c r="L47" s="132">
        <v>1</v>
      </c>
      <c r="M47" s="132">
        <v>0</v>
      </c>
      <c r="N47" s="132"/>
      <c r="O47" s="95"/>
      <c r="P47" s="99">
        <v>0</v>
      </c>
      <c r="Q47" s="99">
        <v>0</v>
      </c>
      <c r="R47" s="99">
        <v>0</v>
      </c>
      <c r="S47" s="99">
        <v>0</v>
      </c>
      <c r="T47" s="99">
        <v>0</v>
      </c>
      <c r="U47" s="99">
        <v>0</v>
      </c>
      <c r="V47" s="99">
        <v>0</v>
      </c>
      <c r="W47" s="99">
        <v>0</v>
      </c>
      <c r="X47" s="99">
        <v>0</v>
      </c>
      <c r="Y47" s="99">
        <v>0</v>
      </c>
      <c r="Z47" s="99">
        <v>0</v>
      </c>
      <c r="AA47" s="99"/>
      <c r="AB47" s="99"/>
      <c r="AC47" s="99"/>
      <c r="AD47" s="99"/>
      <c r="AE47" s="99">
        <f>+SUM(N47:AC47)</f>
        <v>0</v>
      </c>
      <c r="AF47" s="95"/>
      <c r="AG47" s="102">
        <f>+(AE47/L47)</f>
        <v>0</v>
      </c>
      <c r="AH47" s="94">
        <f t="shared" si="0"/>
        <v>0</v>
      </c>
      <c r="AI47" s="95"/>
      <c r="AJ47" s="95"/>
      <c r="AK47" s="95"/>
      <c r="AL47" s="95"/>
      <c r="AM47" s="95"/>
      <c r="AN47" s="95"/>
      <c r="AO47" s="95"/>
      <c r="AP47" s="95"/>
      <c r="AQ47" s="95"/>
      <c r="AR47" s="95"/>
      <c r="AS47" s="95"/>
      <c r="AT47" s="95"/>
    </row>
    <row r="48" spans="1:46" ht="409.5" x14ac:dyDescent="0.25">
      <c r="A48" s="659"/>
      <c r="B48" s="817"/>
      <c r="C48" s="811"/>
      <c r="D48" s="632"/>
      <c r="E48" s="622" t="s">
        <v>1597</v>
      </c>
      <c r="F48" s="622" t="s">
        <v>1596</v>
      </c>
      <c r="G48" s="622">
        <v>0.56200000000000006</v>
      </c>
      <c r="H48" s="622">
        <v>0.39500000000000002</v>
      </c>
      <c r="I48" s="622"/>
      <c r="J48" s="132" t="s">
        <v>1581</v>
      </c>
      <c r="K48" s="132" t="s">
        <v>1582</v>
      </c>
      <c r="L48" s="132">
        <v>1</v>
      </c>
      <c r="M48" s="132">
        <v>0</v>
      </c>
      <c r="N48" s="132"/>
      <c r="O48" s="95"/>
      <c r="P48" s="99">
        <v>1</v>
      </c>
      <c r="Q48" s="99">
        <v>1</v>
      </c>
      <c r="R48" s="99">
        <v>0</v>
      </c>
      <c r="S48" s="99">
        <v>0</v>
      </c>
      <c r="T48" s="99">
        <v>0</v>
      </c>
      <c r="U48" s="99">
        <v>0</v>
      </c>
      <c r="V48" s="99">
        <v>0</v>
      </c>
      <c r="W48" s="99">
        <v>0</v>
      </c>
      <c r="X48" s="99">
        <v>0</v>
      </c>
      <c r="Y48" s="99">
        <v>0</v>
      </c>
      <c r="Z48" s="99">
        <v>0</v>
      </c>
      <c r="AA48" s="99"/>
      <c r="AB48" s="99"/>
      <c r="AC48" s="99"/>
      <c r="AD48" s="99"/>
      <c r="AE48" s="99">
        <f>+Q48</f>
        <v>1</v>
      </c>
      <c r="AF48" s="95"/>
      <c r="AG48" s="102">
        <f>+(AE48/L48)</f>
        <v>1</v>
      </c>
      <c r="AH48" s="94">
        <f t="shared" si="0"/>
        <v>1</v>
      </c>
      <c r="AI48" s="95"/>
      <c r="AJ48" s="95"/>
      <c r="AK48" s="95"/>
      <c r="AL48" s="95"/>
      <c r="AM48" s="95"/>
      <c r="AN48" s="95"/>
      <c r="AO48" s="95"/>
      <c r="AP48" s="95"/>
      <c r="AQ48" s="95"/>
      <c r="AR48" s="95"/>
      <c r="AS48" s="95"/>
      <c r="AT48" s="95"/>
    </row>
    <row r="49" spans="1:46" ht="45" customHeight="1" x14ac:dyDescent="0.25">
      <c r="A49" s="659"/>
      <c r="B49" s="817"/>
      <c r="C49" s="811"/>
      <c r="D49" s="632"/>
      <c r="E49" s="622"/>
      <c r="F49" s="622"/>
      <c r="G49" s="622"/>
      <c r="H49" s="622"/>
      <c r="I49" s="622"/>
      <c r="J49" s="132"/>
      <c r="K49" s="132"/>
      <c r="L49" s="132"/>
      <c r="M49" s="132"/>
      <c r="N49" s="132"/>
      <c r="O49" s="95"/>
      <c r="P49" s="99"/>
      <c r="Q49" s="99"/>
      <c r="R49" s="99"/>
      <c r="S49" s="99"/>
      <c r="T49" s="99"/>
      <c r="U49" s="99"/>
      <c r="V49" s="99"/>
      <c r="W49" s="99"/>
      <c r="X49" s="99"/>
      <c r="Y49" s="99"/>
      <c r="Z49" s="99"/>
      <c r="AA49" s="99"/>
      <c r="AB49" s="99"/>
      <c r="AC49" s="99"/>
      <c r="AD49" s="99"/>
      <c r="AE49" s="99"/>
      <c r="AF49" s="95"/>
      <c r="AG49" s="106">
        <f>AVERAGE(AG43:AG48)</f>
        <v>0.6</v>
      </c>
      <c r="AH49" s="94">
        <f t="shared" si="0"/>
        <v>0.6</v>
      </c>
      <c r="AI49" s="95"/>
      <c r="AJ49" s="95"/>
      <c r="AK49" s="95"/>
      <c r="AL49" s="95"/>
      <c r="AM49" s="95"/>
      <c r="AN49" s="95"/>
      <c r="AO49" s="95"/>
      <c r="AP49" s="95"/>
      <c r="AQ49" s="95"/>
      <c r="AR49" s="95"/>
      <c r="AS49" s="95"/>
      <c r="AT49" s="95"/>
    </row>
    <row r="50" spans="1:46" ht="409.5" x14ac:dyDescent="0.25">
      <c r="A50" s="659"/>
      <c r="B50" s="817"/>
      <c r="C50" s="811"/>
      <c r="D50" s="632"/>
      <c r="E50" s="622"/>
      <c r="F50" s="622"/>
      <c r="G50" s="622"/>
      <c r="H50" s="622"/>
      <c r="I50" s="813"/>
      <c r="J50" s="132" t="s">
        <v>1583</v>
      </c>
      <c r="K50" s="132" t="s">
        <v>1584</v>
      </c>
      <c r="L50" s="132">
        <v>780</v>
      </c>
      <c r="M50" s="132">
        <v>435</v>
      </c>
      <c r="N50" s="132"/>
      <c r="O50" s="95"/>
      <c r="P50" s="99">
        <v>798</v>
      </c>
      <c r="Q50" s="99">
        <v>798</v>
      </c>
      <c r="R50" s="99">
        <v>0</v>
      </c>
      <c r="S50" s="99">
        <v>0</v>
      </c>
      <c r="T50" s="99">
        <v>0</v>
      </c>
      <c r="U50" s="99">
        <v>0</v>
      </c>
      <c r="V50" s="99">
        <v>780</v>
      </c>
      <c r="W50" s="99">
        <v>0</v>
      </c>
      <c r="X50" s="99">
        <v>0</v>
      </c>
      <c r="Y50" s="99">
        <v>0</v>
      </c>
      <c r="Z50" s="99">
        <v>0</v>
      </c>
      <c r="AA50" s="99">
        <v>0</v>
      </c>
      <c r="AB50" s="99"/>
      <c r="AC50" s="99"/>
      <c r="AD50" s="99"/>
      <c r="AE50" s="99">
        <f>+Q50+R50+S50</f>
        <v>798</v>
      </c>
      <c r="AF50" s="95"/>
      <c r="AG50" s="102">
        <v>1</v>
      </c>
      <c r="AH50" s="94">
        <f t="shared" si="0"/>
        <v>1</v>
      </c>
      <c r="AI50" s="95"/>
      <c r="AJ50" s="95"/>
      <c r="AK50" s="95"/>
      <c r="AL50" s="95"/>
      <c r="AM50" s="95"/>
      <c r="AN50" s="95"/>
      <c r="AO50" s="95"/>
      <c r="AP50" s="95"/>
      <c r="AQ50" s="95"/>
      <c r="AR50" s="95"/>
      <c r="AS50" s="95"/>
      <c r="AT50" s="95"/>
    </row>
    <row r="51" spans="1:46" ht="409.5" x14ac:dyDescent="0.25">
      <c r="A51" s="659"/>
      <c r="B51" s="817"/>
      <c r="C51" s="811"/>
      <c r="D51" s="632"/>
      <c r="E51" s="622"/>
      <c r="F51" s="622"/>
      <c r="G51" s="622"/>
      <c r="H51" s="622"/>
      <c r="I51" s="813"/>
      <c r="J51" s="132" t="s">
        <v>1585</v>
      </c>
      <c r="K51" s="132" t="s">
        <v>1586</v>
      </c>
      <c r="L51" s="132">
        <v>1</v>
      </c>
      <c r="M51" s="132">
        <v>0</v>
      </c>
      <c r="N51" s="132"/>
      <c r="O51" s="95"/>
      <c r="P51" s="99">
        <v>0</v>
      </c>
      <c r="Q51" s="99">
        <v>0</v>
      </c>
      <c r="R51" s="99">
        <v>0</v>
      </c>
      <c r="S51" s="99">
        <v>0</v>
      </c>
      <c r="T51" s="99">
        <v>0</v>
      </c>
      <c r="U51" s="99">
        <v>0</v>
      </c>
      <c r="V51" s="99">
        <v>1</v>
      </c>
      <c r="W51" s="99">
        <v>0</v>
      </c>
      <c r="X51" s="99">
        <v>0</v>
      </c>
      <c r="Y51" s="99">
        <v>0</v>
      </c>
      <c r="Z51" s="99">
        <v>0</v>
      </c>
      <c r="AA51" s="99">
        <v>0</v>
      </c>
      <c r="AB51" s="99"/>
      <c r="AC51" s="99"/>
      <c r="AD51" s="99"/>
      <c r="AE51" s="99">
        <f>+V51</f>
        <v>1</v>
      </c>
      <c r="AF51" s="95"/>
      <c r="AG51" s="102">
        <f>+(AE51/L51)</f>
        <v>1</v>
      </c>
      <c r="AH51" s="94">
        <f t="shared" si="0"/>
        <v>1</v>
      </c>
      <c r="AI51" s="95"/>
      <c r="AJ51" s="95"/>
      <c r="AK51" s="95"/>
      <c r="AL51" s="95"/>
      <c r="AM51" s="95"/>
      <c r="AN51" s="95"/>
      <c r="AO51" s="95"/>
      <c r="AP51" s="95"/>
      <c r="AQ51" s="95"/>
      <c r="AR51" s="95"/>
      <c r="AS51" s="95"/>
      <c r="AT51" s="95"/>
    </row>
    <row r="52" spans="1:46" ht="409.5" x14ac:dyDescent="0.25">
      <c r="A52" s="659"/>
      <c r="B52" s="817"/>
      <c r="C52" s="811"/>
      <c r="D52" s="632"/>
      <c r="E52" s="622"/>
      <c r="F52" s="622"/>
      <c r="G52" s="622"/>
      <c r="H52" s="622"/>
      <c r="I52" s="813"/>
      <c r="J52" s="132" t="s">
        <v>1587</v>
      </c>
      <c r="K52" s="132" t="s">
        <v>1588</v>
      </c>
      <c r="L52" s="132">
        <v>3</v>
      </c>
      <c r="M52" s="132">
        <v>0</v>
      </c>
      <c r="N52" s="132"/>
      <c r="O52" s="95"/>
      <c r="P52" s="99">
        <v>0</v>
      </c>
      <c r="Q52" s="99">
        <v>0</v>
      </c>
      <c r="R52" s="99">
        <v>0</v>
      </c>
      <c r="S52" s="99">
        <v>0</v>
      </c>
      <c r="T52" s="99">
        <v>0</v>
      </c>
      <c r="U52" s="99">
        <v>0</v>
      </c>
      <c r="V52" s="99">
        <v>0</v>
      </c>
      <c r="W52" s="99">
        <v>0</v>
      </c>
      <c r="X52" s="99">
        <v>0</v>
      </c>
      <c r="Y52" s="99">
        <v>0</v>
      </c>
      <c r="Z52" s="99">
        <v>0</v>
      </c>
      <c r="AA52" s="99">
        <v>0</v>
      </c>
      <c r="AB52" s="99"/>
      <c r="AC52" s="99"/>
      <c r="AD52" s="99"/>
      <c r="AE52" s="99">
        <f>+SUM(N52:AC52)</f>
        <v>0</v>
      </c>
      <c r="AF52" s="95"/>
      <c r="AG52" s="102">
        <f>+(AE52/L52)</f>
        <v>0</v>
      </c>
      <c r="AH52" s="94">
        <f t="shared" si="0"/>
        <v>0</v>
      </c>
      <c r="AI52" s="95"/>
      <c r="AJ52" s="95"/>
      <c r="AK52" s="95"/>
      <c r="AL52" s="95"/>
      <c r="AM52" s="95"/>
      <c r="AN52" s="95"/>
      <c r="AO52" s="95"/>
      <c r="AP52" s="95"/>
      <c r="AQ52" s="95"/>
      <c r="AR52" s="95"/>
      <c r="AS52" s="95"/>
      <c r="AT52" s="95"/>
    </row>
    <row r="53" spans="1:46" ht="409.5" x14ac:dyDescent="0.25">
      <c r="A53" s="659"/>
      <c r="B53" s="817"/>
      <c r="C53" s="811"/>
      <c r="D53" s="632"/>
      <c r="E53" s="622"/>
      <c r="F53" s="622"/>
      <c r="G53" s="622"/>
      <c r="H53" s="622"/>
      <c r="I53" s="813"/>
      <c r="J53" s="132" t="s">
        <v>1589</v>
      </c>
      <c r="K53" s="132" t="s">
        <v>1590</v>
      </c>
      <c r="L53" s="132">
        <v>200</v>
      </c>
      <c r="M53" s="132">
        <v>0</v>
      </c>
      <c r="N53" s="132"/>
      <c r="O53" s="95"/>
      <c r="P53" s="99">
        <v>0</v>
      </c>
      <c r="Q53" s="99">
        <v>0</v>
      </c>
      <c r="R53" s="99">
        <v>0</v>
      </c>
      <c r="S53" s="99">
        <v>0</v>
      </c>
      <c r="T53" s="99">
        <v>0</v>
      </c>
      <c r="U53" s="99">
        <v>0</v>
      </c>
      <c r="V53" s="99">
        <v>0</v>
      </c>
      <c r="W53" s="99">
        <v>0</v>
      </c>
      <c r="X53" s="99">
        <v>0</v>
      </c>
      <c r="Y53" s="99">
        <v>0</v>
      </c>
      <c r="Z53" s="99">
        <v>0</v>
      </c>
      <c r="AA53" s="99">
        <v>0</v>
      </c>
      <c r="AB53" s="99"/>
      <c r="AC53" s="99"/>
      <c r="AD53" s="99"/>
      <c r="AE53" s="99">
        <f>+SUM(N53:AC53)</f>
        <v>0</v>
      </c>
      <c r="AF53" s="95"/>
      <c r="AG53" s="102">
        <f>+(AE53/L53)</f>
        <v>0</v>
      </c>
      <c r="AH53" s="94">
        <f t="shared" si="0"/>
        <v>0</v>
      </c>
      <c r="AI53" s="95"/>
      <c r="AJ53" s="95"/>
      <c r="AK53" s="95"/>
      <c r="AL53" s="95"/>
      <c r="AM53" s="95"/>
      <c r="AN53" s="95"/>
      <c r="AO53" s="95"/>
      <c r="AP53" s="95"/>
      <c r="AQ53" s="95"/>
      <c r="AR53" s="95"/>
      <c r="AS53" s="95"/>
      <c r="AT53" s="95"/>
    </row>
    <row r="54" spans="1:46" ht="60" customHeight="1" x14ac:dyDescent="0.25">
      <c r="A54" s="659"/>
      <c r="B54" s="817"/>
      <c r="C54" s="811"/>
      <c r="D54" s="632"/>
      <c r="E54" s="622"/>
      <c r="F54" s="622"/>
      <c r="G54" s="622"/>
      <c r="H54" s="622"/>
      <c r="I54" s="813"/>
      <c r="J54" s="132"/>
      <c r="K54" s="132"/>
      <c r="L54" s="132"/>
      <c r="M54" s="132"/>
      <c r="N54" s="132"/>
      <c r="O54" s="95"/>
      <c r="P54" s="95"/>
      <c r="Q54" s="95"/>
      <c r="R54" s="95"/>
      <c r="S54" s="134"/>
      <c r="T54" s="95"/>
      <c r="U54" s="95"/>
      <c r="V54" s="95"/>
      <c r="W54" s="95"/>
      <c r="X54" s="95"/>
      <c r="Y54" s="95"/>
      <c r="Z54" s="95"/>
      <c r="AA54" s="95"/>
      <c r="AB54" s="95"/>
      <c r="AC54" s="95"/>
      <c r="AD54" s="95"/>
      <c r="AE54" s="99"/>
      <c r="AF54" s="95"/>
      <c r="AG54" s="106">
        <f>AVERAGE(AG50:AG53)</f>
        <v>0.5</v>
      </c>
      <c r="AH54" s="94">
        <f t="shared" si="0"/>
        <v>0.5</v>
      </c>
      <c r="AI54" s="95"/>
      <c r="AJ54" s="95"/>
      <c r="AK54" s="95"/>
      <c r="AL54" s="95"/>
      <c r="AM54" s="95"/>
      <c r="AN54" s="95"/>
      <c r="AO54" s="95"/>
      <c r="AP54" s="95"/>
      <c r="AQ54" s="95"/>
      <c r="AR54" s="95"/>
      <c r="AS54" s="95"/>
      <c r="AT54" s="95"/>
    </row>
    <row r="55" spans="1:46" ht="60" customHeight="1" x14ac:dyDescent="0.25">
      <c r="A55" s="659"/>
      <c r="B55" s="817"/>
      <c r="C55" s="811"/>
      <c r="D55" s="632"/>
      <c r="E55" s="132"/>
      <c r="F55" s="132"/>
      <c r="G55" s="132"/>
      <c r="H55" s="132"/>
      <c r="I55" s="134"/>
      <c r="J55" s="132"/>
      <c r="K55" s="132"/>
      <c r="L55" s="132"/>
      <c r="M55" s="132"/>
      <c r="N55" s="132"/>
      <c r="O55" s="95"/>
      <c r="P55" s="95"/>
      <c r="Q55" s="95"/>
      <c r="R55" s="95"/>
      <c r="S55" s="134"/>
      <c r="T55" s="95"/>
      <c r="U55" s="95"/>
      <c r="V55" s="95"/>
      <c r="W55" s="95"/>
      <c r="X55" s="95"/>
      <c r="Y55" s="95"/>
      <c r="Z55" s="95"/>
      <c r="AA55" s="95"/>
      <c r="AB55" s="95"/>
      <c r="AC55" s="95"/>
      <c r="AD55" s="95"/>
      <c r="AE55" s="99"/>
      <c r="AF55" s="95"/>
      <c r="AG55" s="209">
        <f>+(AG49+AG54)/2</f>
        <v>0.55000000000000004</v>
      </c>
      <c r="AH55" s="94">
        <f t="shared" si="0"/>
        <v>0.55000000000000004</v>
      </c>
      <c r="AI55" s="95"/>
      <c r="AJ55" s="95"/>
      <c r="AK55" s="95"/>
      <c r="AL55" s="95"/>
      <c r="AM55" s="95"/>
      <c r="AN55" s="95"/>
      <c r="AO55" s="95"/>
      <c r="AP55" s="95"/>
      <c r="AQ55" s="95"/>
      <c r="AR55" s="95"/>
      <c r="AS55" s="95"/>
      <c r="AT55" s="95"/>
    </row>
    <row r="56" spans="1:46" ht="90" customHeight="1" x14ac:dyDescent="0.25">
      <c r="A56" s="659"/>
      <c r="B56" s="817"/>
      <c r="C56" s="811"/>
      <c r="D56" s="632" t="s">
        <v>1598</v>
      </c>
      <c r="E56" s="622" t="s">
        <v>1612</v>
      </c>
      <c r="F56" s="622" t="s">
        <v>1610</v>
      </c>
      <c r="G56" s="623">
        <v>1</v>
      </c>
      <c r="H56" s="623">
        <v>0.63</v>
      </c>
      <c r="I56" s="632" t="s">
        <v>1599</v>
      </c>
      <c r="J56" s="132" t="s">
        <v>1600</v>
      </c>
      <c r="K56" s="132" t="s">
        <v>1601</v>
      </c>
      <c r="L56" s="132">
        <v>90</v>
      </c>
      <c r="M56" s="132">
        <v>317</v>
      </c>
      <c r="N56" s="132"/>
      <c r="O56" s="95"/>
      <c r="P56" s="99">
        <v>0</v>
      </c>
      <c r="Q56" s="99">
        <v>0</v>
      </c>
      <c r="R56" s="99">
        <v>0</v>
      </c>
      <c r="S56" s="99">
        <v>0</v>
      </c>
      <c r="T56" s="99">
        <v>0</v>
      </c>
      <c r="U56" s="258">
        <v>61</v>
      </c>
      <c r="V56" s="99"/>
      <c r="W56" s="258">
        <v>47</v>
      </c>
      <c r="X56" s="99">
        <v>0</v>
      </c>
      <c r="Y56" s="99">
        <v>0</v>
      </c>
      <c r="Z56" s="99">
        <v>0</v>
      </c>
      <c r="AA56" s="99"/>
      <c r="AB56" s="99"/>
      <c r="AC56" s="99"/>
      <c r="AD56" s="99"/>
      <c r="AE56" s="99">
        <f>+SUM(N56:AC56)</f>
        <v>108</v>
      </c>
      <c r="AF56" s="95"/>
      <c r="AG56" s="102">
        <v>1</v>
      </c>
      <c r="AH56" s="94">
        <f t="shared" si="0"/>
        <v>1</v>
      </c>
      <c r="AI56" s="95"/>
      <c r="AJ56" s="95"/>
      <c r="AK56" s="95"/>
      <c r="AL56" s="95"/>
      <c r="AM56" s="95"/>
      <c r="AN56" s="95"/>
      <c r="AO56" s="95"/>
      <c r="AP56" s="95"/>
      <c r="AQ56" s="95"/>
      <c r="AR56" s="95"/>
      <c r="AS56" s="95"/>
      <c r="AT56" s="95"/>
    </row>
    <row r="57" spans="1:46" ht="409.5" x14ac:dyDescent="0.25">
      <c r="A57" s="659"/>
      <c r="B57" s="817"/>
      <c r="C57" s="811"/>
      <c r="D57" s="632"/>
      <c r="E57" s="622"/>
      <c r="F57" s="622"/>
      <c r="G57" s="623"/>
      <c r="H57" s="623"/>
      <c r="I57" s="632"/>
      <c r="J57" s="132" t="s">
        <v>1602</v>
      </c>
      <c r="K57" s="132" t="s">
        <v>1603</v>
      </c>
      <c r="L57" s="132">
        <v>480000</v>
      </c>
      <c r="M57" s="132">
        <v>204875</v>
      </c>
      <c r="N57" s="132"/>
      <c r="O57" s="95"/>
      <c r="P57" s="99">
        <v>26000</v>
      </c>
      <c r="Q57" s="99">
        <v>4700</v>
      </c>
      <c r="R57" s="99">
        <v>4200</v>
      </c>
      <c r="S57" s="99">
        <v>5047</v>
      </c>
      <c r="T57" s="99">
        <v>0</v>
      </c>
      <c r="U57" s="99">
        <v>0</v>
      </c>
      <c r="V57" s="390">
        <v>0</v>
      </c>
      <c r="W57" s="390">
        <v>0</v>
      </c>
      <c r="X57" s="99"/>
      <c r="Y57" s="99">
        <v>10328</v>
      </c>
      <c r="Z57" s="99">
        <v>0</v>
      </c>
      <c r="AA57" s="99">
        <v>7775</v>
      </c>
      <c r="AB57" s="99"/>
      <c r="AC57" s="99"/>
      <c r="AD57" s="99"/>
      <c r="AE57" s="99">
        <f>+Q57+R57+S57+P57+V57+W57+Y57+AA57</f>
        <v>58050</v>
      </c>
      <c r="AF57" s="95"/>
      <c r="AG57" s="102">
        <f>+(AE57/L57)</f>
        <v>0.1209375</v>
      </c>
      <c r="AH57" s="94">
        <f t="shared" si="0"/>
        <v>0.1209375</v>
      </c>
      <c r="AI57" s="95"/>
      <c r="AJ57" s="95"/>
      <c r="AK57" s="95"/>
      <c r="AL57" s="95"/>
      <c r="AM57" s="95"/>
      <c r="AN57" s="95"/>
      <c r="AO57" s="95"/>
      <c r="AP57" s="95"/>
      <c r="AQ57" s="95"/>
      <c r="AR57" s="95"/>
      <c r="AS57" s="95"/>
      <c r="AT57" s="95"/>
    </row>
    <row r="58" spans="1:46" ht="69.75" customHeight="1" x14ac:dyDescent="0.25">
      <c r="A58" s="659"/>
      <c r="B58" s="817"/>
      <c r="C58" s="811"/>
      <c r="D58" s="632"/>
      <c r="E58" s="622"/>
      <c r="F58" s="622"/>
      <c r="G58" s="623"/>
      <c r="H58" s="623"/>
      <c r="I58" s="632"/>
      <c r="J58" s="132"/>
      <c r="K58" s="132"/>
      <c r="L58" s="132"/>
      <c r="M58" s="132"/>
      <c r="N58" s="132"/>
      <c r="O58" s="95"/>
      <c r="P58" s="99"/>
      <c r="Q58" s="99"/>
      <c r="R58" s="99"/>
      <c r="S58" s="99"/>
      <c r="T58" s="99"/>
      <c r="U58" s="99"/>
      <c r="V58" s="99"/>
      <c r="W58" s="99"/>
      <c r="X58" s="99"/>
      <c r="Y58" s="99"/>
      <c r="Z58" s="99"/>
      <c r="AA58" s="99"/>
      <c r="AB58" s="99"/>
      <c r="AC58" s="99"/>
      <c r="AD58" s="99"/>
      <c r="AE58" s="99"/>
      <c r="AF58" s="95"/>
      <c r="AG58" s="106">
        <f>AVERAGE(AG56:AG57)</f>
        <v>0.56046874999999996</v>
      </c>
      <c r="AH58" s="94">
        <f t="shared" si="0"/>
        <v>0.56046874999999996</v>
      </c>
      <c r="AI58" s="95"/>
      <c r="AJ58" s="95"/>
      <c r="AK58" s="95"/>
      <c r="AL58" s="95"/>
      <c r="AM58" s="95"/>
      <c r="AN58" s="95"/>
      <c r="AO58" s="95"/>
      <c r="AP58" s="95"/>
      <c r="AQ58" s="95"/>
      <c r="AR58" s="95"/>
      <c r="AS58" s="95"/>
      <c r="AT58" s="95"/>
    </row>
    <row r="59" spans="1:46" ht="409.5" x14ac:dyDescent="0.25">
      <c r="A59" s="659"/>
      <c r="B59" s="817"/>
      <c r="C59" s="811"/>
      <c r="D59" s="632"/>
      <c r="E59" s="622" t="s">
        <v>1613</v>
      </c>
      <c r="F59" s="622" t="s">
        <v>1611</v>
      </c>
      <c r="G59" s="623">
        <v>0.84</v>
      </c>
      <c r="H59" s="623">
        <v>0.78</v>
      </c>
      <c r="I59" s="632" t="s">
        <v>1608</v>
      </c>
      <c r="J59" s="132" t="s">
        <v>1604</v>
      </c>
      <c r="K59" s="132" t="s">
        <v>1605</v>
      </c>
      <c r="L59" s="132">
        <v>3</v>
      </c>
      <c r="M59" s="132">
        <v>0</v>
      </c>
      <c r="N59" s="132"/>
      <c r="O59" s="95"/>
      <c r="P59" s="99">
        <v>0</v>
      </c>
      <c r="Q59" s="99">
        <v>0</v>
      </c>
      <c r="R59" s="99">
        <v>0</v>
      </c>
      <c r="S59" s="99">
        <v>1</v>
      </c>
      <c r="T59" s="99">
        <v>0</v>
      </c>
      <c r="U59" s="99">
        <v>0</v>
      </c>
      <c r="V59" s="99">
        <v>0</v>
      </c>
      <c r="W59" s="99"/>
      <c r="X59" s="99"/>
      <c r="Y59" s="99"/>
      <c r="Z59" s="99">
        <v>0</v>
      </c>
      <c r="AA59" s="99"/>
      <c r="AB59" s="99"/>
      <c r="AC59" s="99"/>
      <c r="AD59" s="99"/>
      <c r="AE59" s="99">
        <f>+SUM(N59:AC59)</f>
        <v>1</v>
      </c>
      <c r="AF59" s="95"/>
      <c r="AG59" s="102">
        <f>+(AE59/L59)</f>
        <v>0.33333333333333331</v>
      </c>
      <c r="AH59" s="94">
        <f t="shared" si="0"/>
        <v>0.33333333333333331</v>
      </c>
      <c r="AI59" s="95"/>
      <c r="AJ59" s="95"/>
      <c r="AK59" s="95"/>
      <c r="AL59" s="95"/>
      <c r="AM59" s="95"/>
      <c r="AN59" s="95"/>
      <c r="AO59" s="95"/>
      <c r="AP59" s="95"/>
      <c r="AQ59" s="95"/>
      <c r="AR59" s="95"/>
      <c r="AS59" s="95"/>
      <c r="AT59" s="95"/>
    </row>
    <row r="60" spans="1:46" ht="409.5" x14ac:dyDescent="0.25">
      <c r="A60" s="659"/>
      <c r="B60" s="817"/>
      <c r="C60" s="811"/>
      <c r="D60" s="632"/>
      <c r="E60" s="622"/>
      <c r="F60" s="622"/>
      <c r="G60" s="623"/>
      <c r="H60" s="623"/>
      <c r="I60" s="632"/>
      <c r="J60" s="132" t="s">
        <v>1606</v>
      </c>
      <c r="K60" s="132" t="s">
        <v>1607</v>
      </c>
      <c r="L60" s="132">
        <v>4</v>
      </c>
      <c r="M60" s="132">
        <v>0</v>
      </c>
      <c r="N60" s="132"/>
      <c r="O60" s="95"/>
      <c r="P60" s="99">
        <v>0</v>
      </c>
      <c r="Q60" s="99">
        <v>0</v>
      </c>
      <c r="R60" s="99">
        <v>0</v>
      </c>
      <c r="S60" s="99">
        <v>0</v>
      </c>
      <c r="T60" s="99">
        <v>0</v>
      </c>
      <c r="U60" s="99">
        <v>0</v>
      </c>
      <c r="V60" s="99">
        <v>0</v>
      </c>
      <c r="W60" s="99">
        <v>0</v>
      </c>
      <c r="X60" s="99">
        <v>0</v>
      </c>
      <c r="Y60" s="99">
        <v>0</v>
      </c>
      <c r="Z60" s="99">
        <v>0</v>
      </c>
      <c r="AA60" s="99"/>
      <c r="AB60" s="99"/>
      <c r="AC60" s="99"/>
      <c r="AD60" s="99"/>
      <c r="AE60" s="99">
        <f>+Q60</f>
        <v>0</v>
      </c>
      <c r="AF60" s="95"/>
      <c r="AG60" s="102">
        <f>+(AE60/L60)</f>
        <v>0</v>
      </c>
      <c r="AH60" s="94">
        <f t="shared" si="0"/>
        <v>0</v>
      </c>
      <c r="AI60" s="95"/>
      <c r="AJ60" s="95"/>
      <c r="AK60" s="95"/>
      <c r="AL60" s="95"/>
      <c r="AM60" s="95"/>
      <c r="AN60" s="95"/>
      <c r="AO60" s="95"/>
      <c r="AP60" s="95"/>
      <c r="AQ60" s="95"/>
      <c r="AR60" s="95"/>
      <c r="AS60" s="95"/>
      <c r="AT60" s="95"/>
    </row>
    <row r="61" spans="1:46" ht="72.75" customHeight="1" x14ac:dyDescent="0.25">
      <c r="A61" s="659"/>
      <c r="B61" s="817"/>
      <c r="C61" s="811"/>
      <c r="D61" s="632"/>
      <c r="E61" s="622"/>
      <c r="F61" s="622"/>
      <c r="G61" s="623"/>
      <c r="H61" s="623"/>
      <c r="I61" s="632"/>
      <c r="J61" s="132"/>
      <c r="K61" s="132"/>
      <c r="L61" s="132"/>
      <c r="M61" s="132"/>
      <c r="N61" s="132"/>
      <c r="O61" s="95"/>
      <c r="P61" s="99"/>
      <c r="Q61" s="99"/>
      <c r="R61" s="99"/>
      <c r="S61" s="99"/>
      <c r="T61" s="99"/>
      <c r="U61" s="99"/>
      <c r="V61" s="99"/>
      <c r="W61" s="99"/>
      <c r="X61" s="99"/>
      <c r="Y61" s="99"/>
      <c r="Z61" s="99"/>
      <c r="AA61" s="99"/>
      <c r="AB61" s="99"/>
      <c r="AC61" s="99"/>
      <c r="AD61" s="99"/>
      <c r="AE61" s="99"/>
      <c r="AF61" s="95"/>
      <c r="AG61" s="106">
        <f>AVERAGE(AG59:AG60)</f>
        <v>0.16666666666666666</v>
      </c>
      <c r="AH61" s="94">
        <f t="shared" si="0"/>
        <v>0.16666666666666666</v>
      </c>
      <c r="AI61" s="95"/>
      <c r="AJ61" s="95"/>
      <c r="AK61" s="95"/>
      <c r="AL61" s="95"/>
      <c r="AM61" s="95"/>
      <c r="AN61" s="95"/>
      <c r="AO61" s="95"/>
      <c r="AP61" s="95"/>
      <c r="AQ61" s="95"/>
      <c r="AR61" s="95"/>
      <c r="AS61" s="95"/>
      <c r="AT61" s="95"/>
    </row>
    <row r="62" spans="1:46" ht="60" customHeight="1" x14ac:dyDescent="0.25">
      <c r="A62" s="659"/>
      <c r="B62" s="817"/>
      <c r="C62" s="811"/>
      <c r="D62" s="632"/>
      <c r="E62" s="132"/>
      <c r="F62" s="132"/>
      <c r="G62" s="206"/>
      <c r="H62" s="206"/>
      <c r="I62" s="131"/>
      <c r="J62" s="132"/>
      <c r="K62" s="132"/>
      <c r="L62" s="132"/>
      <c r="M62" s="132"/>
      <c r="N62" s="132"/>
      <c r="O62" s="95"/>
      <c r="P62" s="99"/>
      <c r="Q62" s="99"/>
      <c r="R62" s="99"/>
      <c r="S62" s="99"/>
      <c r="T62" s="99"/>
      <c r="U62" s="99"/>
      <c r="V62" s="99"/>
      <c r="W62" s="99"/>
      <c r="X62" s="99"/>
      <c r="Y62" s="99"/>
      <c r="Z62" s="99"/>
      <c r="AA62" s="99"/>
      <c r="AB62" s="99"/>
      <c r="AC62" s="99"/>
      <c r="AD62" s="99"/>
      <c r="AE62" s="99"/>
      <c r="AF62" s="95"/>
      <c r="AG62" s="209">
        <f>+(AG58+AG61)/2</f>
        <v>0.36356770833333329</v>
      </c>
      <c r="AH62" s="94">
        <f t="shared" si="0"/>
        <v>0.36356770833333329</v>
      </c>
      <c r="AI62" s="95"/>
      <c r="AJ62" s="95"/>
      <c r="AK62" s="95"/>
      <c r="AL62" s="95"/>
      <c r="AM62" s="95"/>
      <c r="AN62" s="95"/>
      <c r="AO62" s="95"/>
      <c r="AP62" s="95"/>
      <c r="AQ62" s="95"/>
      <c r="AR62" s="95"/>
      <c r="AS62" s="95"/>
      <c r="AT62" s="95"/>
    </row>
    <row r="63" spans="1:46" ht="60" customHeight="1" x14ac:dyDescent="0.25">
      <c r="A63" s="659"/>
      <c r="B63" s="817"/>
      <c r="C63" s="811"/>
      <c r="D63" s="632" t="s">
        <v>1609</v>
      </c>
      <c r="E63" s="632" t="s">
        <v>1627</v>
      </c>
      <c r="F63" s="632" t="s">
        <v>1626</v>
      </c>
      <c r="G63" s="632">
        <v>1</v>
      </c>
      <c r="H63" s="632">
        <v>0.41</v>
      </c>
      <c r="I63" s="632" t="s">
        <v>1622</v>
      </c>
      <c r="J63" s="132" t="s">
        <v>1614</v>
      </c>
      <c r="K63" s="132" t="s">
        <v>1615</v>
      </c>
      <c r="L63" s="132">
        <v>1</v>
      </c>
      <c r="M63" s="132">
        <v>0</v>
      </c>
      <c r="N63" s="132"/>
      <c r="O63" s="95"/>
      <c r="P63" s="99">
        <v>1</v>
      </c>
      <c r="Q63" s="99">
        <v>1</v>
      </c>
      <c r="R63" s="99">
        <v>0</v>
      </c>
      <c r="S63" s="99">
        <v>0</v>
      </c>
      <c r="T63" s="99">
        <v>0</v>
      </c>
      <c r="U63" s="99">
        <v>0</v>
      </c>
      <c r="V63" s="99"/>
      <c r="W63" s="99"/>
      <c r="X63" s="99">
        <v>0</v>
      </c>
      <c r="Y63" s="99">
        <v>0</v>
      </c>
      <c r="Z63" s="99">
        <v>0</v>
      </c>
      <c r="AA63" s="99"/>
      <c r="AB63" s="99"/>
      <c r="AC63" s="99"/>
      <c r="AD63" s="99"/>
      <c r="AE63" s="99">
        <f>+Q63</f>
        <v>1</v>
      </c>
      <c r="AF63" s="95"/>
      <c r="AG63" s="102">
        <f>+(AE63/L63)</f>
        <v>1</v>
      </c>
      <c r="AH63" s="94">
        <f t="shared" si="0"/>
        <v>1</v>
      </c>
      <c r="AI63" s="95"/>
      <c r="AJ63" s="95"/>
      <c r="AK63" s="95"/>
      <c r="AL63" s="95"/>
      <c r="AM63" s="95"/>
      <c r="AN63" s="95"/>
      <c r="AO63" s="95"/>
      <c r="AP63" s="95"/>
      <c r="AQ63" s="95"/>
      <c r="AR63" s="95"/>
      <c r="AS63" s="95"/>
      <c r="AT63" s="95"/>
    </row>
    <row r="64" spans="1:46" ht="409.5" x14ac:dyDescent="0.25">
      <c r="A64" s="659"/>
      <c r="B64" s="817"/>
      <c r="C64" s="811"/>
      <c r="D64" s="632"/>
      <c r="E64" s="632"/>
      <c r="F64" s="632"/>
      <c r="G64" s="632"/>
      <c r="H64" s="632"/>
      <c r="I64" s="632"/>
      <c r="J64" s="132" t="s">
        <v>1616</v>
      </c>
      <c r="K64" s="132" t="s">
        <v>1617</v>
      </c>
      <c r="L64" s="132">
        <v>5</v>
      </c>
      <c r="M64" s="132">
        <v>16</v>
      </c>
      <c r="N64" s="132"/>
      <c r="O64" s="95"/>
      <c r="P64" s="99">
        <v>0</v>
      </c>
      <c r="Q64" s="99">
        <v>3</v>
      </c>
      <c r="R64" s="99">
        <v>7</v>
      </c>
      <c r="S64" s="99">
        <v>9</v>
      </c>
      <c r="T64" s="99">
        <v>0</v>
      </c>
      <c r="U64" s="99">
        <v>0</v>
      </c>
      <c r="V64" s="99">
        <v>0</v>
      </c>
      <c r="W64" s="99">
        <v>0</v>
      </c>
      <c r="X64" s="99">
        <v>0</v>
      </c>
      <c r="Y64" s="99">
        <v>0</v>
      </c>
      <c r="Z64" s="99">
        <v>0</v>
      </c>
      <c r="AA64" s="99"/>
      <c r="AB64" s="99"/>
      <c r="AC64" s="99"/>
      <c r="AD64" s="99"/>
      <c r="AE64" s="99">
        <f>+Q64+S64+R64</f>
        <v>19</v>
      </c>
      <c r="AF64" s="95"/>
      <c r="AG64" s="102">
        <v>1</v>
      </c>
      <c r="AH64" s="94">
        <f t="shared" si="0"/>
        <v>1</v>
      </c>
      <c r="AI64" s="95"/>
      <c r="AJ64" s="95"/>
      <c r="AK64" s="95"/>
      <c r="AL64" s="95"/>
      <c r="AM64" s="95"/>
      <c r="AN64" s="95"/>
      <c r="AO64" s="95"/>
      <c r="AP64" s="95"/>
      <c r="AQ64" s="95"/>
      <c r="AR64" s="95"/>
      <c r="AS64" s="95"/>
      <c r="AT64" s="95"/>
    </row>
    <row r="65" spans="1:46" ht="65.25" customHeight="1" x14ac:dyDescent="0.25">
      <c r="A65" s="659"/>
      <c r="B65" s="817"/>
      <c r="C65" s="811"/>
      <c r="D65" s="632"/>
      <c r="E65" s="632"/>
      <c r="F65" s="632"/>
      <c r="G65" s="632"/>
      <c r="H65" s="632"/>
      <c r="I65" s="632"/>
      <c r="J65" s="132"/>
      <c r="K65" s="132"/>
      <c r="L65" s="132"/>
      <c r="M65" s="132"/>
      <c r="N65" s="132"/>
      <c r="O65" s="95"/>
      <c r="P65" s="99"/>
      <c r="Q65" s="99"/>
      <c r="R65" s="99"/>
      <c r="S65" s="99"/>
      <c r="T65" s="99"/>
      <c r="U65" s="99"/>
      <c r="V65" s="99"/>
      <c r="W65" s="99"/>
      <c r="X65" s="99"/>
      <c r="Y65" s="99"/>
      <c r="Z65" s="99"/>
      <c r="AA65" s="99"/>
      <c r="AB65" s="99"/>
      <c r="AC65" s="99"/>
      <c r="AD65" s="99"/>
      <c r="AE65" s="99"/>
      <c r="AF65" s="95"/>
      <c r="AG65" s="106">
        <f>AVERAGE(AG63:AG64)</f>
        <v>1</v>
      </c>
      <c r="AH65" s="94">
        <f t="shared" si="0"/>
        <v>1</v>
      </c>
      <c r="AI65" s="95"/>
      <c r="AJ65" s="95"/>
      <c r="AK65" s="95"/>
      <c r="AL65" s="95"/>
      <c r="AM65" s="95"/>
      <c r="AN65" s="95"/>
      <c r="AO65" s="95"/>
      <c r="AP65" s="95"/>
      <c r="AQ65" s="95"/>
      <c r="AR65" s="95"/>
      <c r="AS65" s="95"/>
      <c r="AT65" s="95"/>
    </row>
    <row r="66" spans="1:46" ht="409.5" x14ac:dyDescent="0.25">
      <c r="A66" s="659"/>
      <c r="B66" s="817"/>
      <c r="C66" s="811"/>
      <c r="D66" s="632"/>
      <c r="E66" s="632"/>
      <c r="F66" s="632"/>
      <c r="G66" s="632"/>
      <c r="H66" s="632"/>
      <c r="I66" s="828" t="s">
        <v>1623</v>
      </c>
      <c r="J66" s="132" t="s">
        <v>1618</v>
      </c>
      <c r="K66" s="132" t="s">
        <v>1619</v>
      </c>
      <c r="L66" s="132">
        <v>70</v>
      </c>
      <c r="M66" s="132">
        <v>55</v>
      </c>
      <c r="N66" s="132"/>
      <c r="O66" s="95"/>
      <c r="P66" s="99">
        <v>70</v>
      </c>
      <c r="Q66" s="99">
        <v>70</v>
      </c>
      <c r="R66" s="99">
        <v>50</v>
      </c>
      <c r="S66" s="99">
        <v>60</v>
      </c>
      <c r="T66" s="99">
        <v>0</v>
      </c>
      <c r="U66" s="99">
        <v>50</v>
      </c>
      <c r="V66" s="99">
        <v>70</v>
      </c>
      <c r="W66" s="99">
        <v>0</v>
      </c>
      <c r="X66" s="99">
        <v>0</v>
      </c>
      <c r="Y66" s="99">
        <v>0</v>
      </c>
      <c r="Z66" s="99">
        <v>0</v>
      </c>
      <c r="AA66" s="99">
        <v>0</v>
      </c>
      <c r="AB66" s="99"/>
      <c r="AC66" s="99"/>
      <c r="AD66" s="99"/>
      <c r="AE66" s="99">
        <f>+V66</f>
        <v>70</v>
      </c>
      <c r="AF66" s="95"/>
      <c r="AG66" s="102">
        <f>+(AE66/L66)</f>
        <v>1</v>
      </c>
      <c r="AH66" s="94">
        <f t="shared" si="0"/>
        <v>1</v>
      </c>
      <c r="AI66" s="95"/>
      <c r="AJ66" s="95"/>
      <c r="AK66" s="95"/>
      <c r="AL66" s="95"/>
      <c r="AM66" s="95"/>
      <c r="AN66" s="95"/>
      <c r="AO66" s="95"/>
      <c r="AP66" s="95"/>
      <c r="AQ66" s="95"/>
      <c r="AR66" s="95"/>
      <c r="AS66" s="95"/>
      <c r="AT66" s="95"/>
    </row>
    <row r="67" spans="1:46" ht="71.25" customHeight="1" x14ac:dyDescent="0.25">
      <c r="A67" s="659"/>
      <c r="B67" s="817"/>
      <c r="C67" s="811"/>
      <c r="D67" s="632"/>
      <c r="E67" s="632"/>
      <c r="F67" s="632"/>
      <c r="G67" s="632"/>
      <c r="H67" s="632"/>
      <c r="I67" s="828"/>
      <c r="J67" s="132"/>
      <c r="K67" s="132"/>
      <c r="L67" s="132"/>
      <c r="M67" s="132"/>
      <c r="N67" s="132"/>
      <c r="O67" s="95"/>
      <c r="P67" s="95"/>
      <c r="Q67" s="95"/>
      <c r="R67" s="95"/>
      <c r="S67" s="134"/>
      <c r="T67" s="95"/>
      <c r="U67" s="95"/>
      <c r="V67" s="95"/>
      <c r="W67" s="95"/>
      <c r="X67" s="95"/>
      <c r="Y67" s="95"/>
      <c r="Z67" s="95"/>
      <c r="AA67" s="95"/>
      <c r="AB67" s="95"/>
      <c r="AC67" s="95"/>
      <c r="AD67" s="95"/>
      <c r="AE67" s="99"/>
      <c r="AF67" s="95"/>
      <c r="AG67" s="106">
        <f>+AG66</f>
        <v>1</v>
      </c>
      <c r="AH67" s="94">
        <f t="shared" si="0"/>
        <v>1</v>
      </c>
      <c r="AI67" s="95"/>
      <c r="AJ67" s="95"/>
      <c r="AK67" s="95"/>
      <c r="AL67" s="95"/>
      <c r="AM67" s="95"/>
      <c r="AN67" s="95"/>
      <c r="AO67" s="95"/>
      <c r="AP67" s="95"/>
      <c r="AQ67" s="95"/>
      <c r="AR67" s="95"/>
      <c r="AS67" s="95"/>
      <c r="AT67" s="95"/>
    </row>
    <row r="68" spans="1:46" ht="409.5" x14ac:dyDescent="0.25">
      <c r="A68" s="659"/>
      <c r="B68" s="817"/>
      <c r="C68" s="811"/>
      <c r="D68" s="632"/>
      <c r="E68" s="632"/>
      <c r="F68" s="632"/>
      <c r="G68" s="632"/>
      <c r="H68" s="632"/>
      <c r="I68" s="828" t="s">
        <v>1624</v>
      </c>
      <c r="J68" s="132" t="s">
        <v>1620</v>
      </c>
      <c r="K68" s="132" t="s">
        <v>1621</v>
      </c>
      <c r="L68" s="132">
        <v>1</v>
      </c>
      <c r="M68" s="132">
        <v>0</v>
      </c>
      <c r="N68" s="132"/>
      <c r="O68" s="95"/>
      <c r="P68" s="99">
        <v>1</v>
      </c>
      <c r="Q68" s="99">
        <v>1</v>
      </c>
      <c r="R68" s="99">
        <v>0</v>
      </c>
      <c r="S68" s="99">
        <v>2</v>
      </c>
      <c r="T68" s="99">
        <v>0</v>
      </c>
      <c r="U68" s="99">
        <v>0</v>
      </c>
      <c r="V68" s="99">
        <v>0</v>
      </c>
      <c r="W68" s="99">
        <v>0</v>
      </c>
      <c r="X68" s="99">
        <v>0</v>
      </c>
      <c r="Y68" s="99">
        <v>1</v>
      </c>
      <c r="Z68" s="99">
        <v>0</v>
      </c>
      <c r="AA68" s="99"/>
      <c r="AB68" s="99"/>
      <c r="AC68" s="99"/>
      <c r="AD68" s="99"/>
      <c r="AE68" s="99">
        <f>+Q68+S68+Y68</f>
        <v>4</v>
      </c>
      <c r="AF68" s="95"/>
      <c r="AG68" s="102">
        <v>1</v>
      </c>
      <c r="AH68" s="94">
        <f t="shared" ref="AH68:AH131" si="1">+AG68</f>
        <v>1</v>
      </c>
      <c r="AI68" s="95"/>
      <c r="AJ68" s="95"/>
      <c r="AK68" s="95"/>
      <c r="AL68" s="95"/>
      <c r="AM68" s="95"/>
      <c r="AN68" s="95"/>
      <c r="AO68" s="95"/>
      <c r="AP68" s="95"/>
      <c r="AQ68" s="95"/>
      <c r="AR68" s="95"/>
      <c r="AS68" s="95"/>
      <c r="AT68" s="95"/>
    </row>
    <row r="69" spans="1:46" ht="63.75" customHeight="1" x14ac:dyDescent="0.25">
      <c r="A69" s="659"/>
      <c r="B69" s="817"/>
      <c r="C69" s="811"/>
      <c r="D69" s="632"/>
      <c r="E69" s="632"/>
      <c r="F69" s="632"/>
      <c r="G69" s="632"/>
      <c r="H69" s="632"/>
      <c r="I69" s="828"/>
      <c r="J69" s="132"/>
      <c r="K69" s="132"/>
      <c r="L69" s="132"/>
      <c r="M69" s="132"/>
      <c r="N69" s="132"/>
      <c r="O69" s="95"/>
      <c r="P69" s="95"/>
      <c r="Q69" s="95"/>
      <c r="R69" s="95"/>
      <c r="S69" s="134"/>
      <c r="T69" s="95"/>
      <c r="U69" s="95"/>
      <c r="V69" s="95"/>
      <c r="W69" s="95"/>
      <c r="X69" s="95"/>
      <c r="Y69" s="95"/>
      <c r="Z69" s="95"/>
      <c r="AA69" s="95"/>
      <c r="AB69" s="95"/>
      <c r="AC69" s="95"/>
      <c r="AD69" s="95"/>
      <c r="AE69" s="99"/>
      <c r="AF69" s="95"/>
      <c r="AG69" s="106">
        <f>+AG68</f>
        <v>1</v>
      </c>
      <c r="AH69" s="94">
        <f t="shared" si="1"/>
        <v>1</v>
      </c>
      <c r="AI69" s="95"/>
      <c r="AJ69" s="95"/>
      <c r="AK69" s="95"/>
      <c r="AL69" s="95"/>
      <c r="AM69" s="95"/>
      <c r="AN69" s="95"/>
      <c r="AO69" s="95"/>
      <c r="AP69" s="95"/>
      <c r="AQ69" s="95"/>
      <c r="AR69" s="95"/>
      <c r="AS69" s="95"/>
      <c r="AT69" s="95"/>
    </row>
    <row r="70" spans="1:46" ht="63.75" customHeight="1" x14ac:dyDescent="0.25">
      <c r="A70" s="659"/>
      <c r="B70" s="817"/>
      <c r="C70" s="811"/>
      <c r="D70" s="632"/>
      <c r="E70" s="632"/>
      <c r="F70" s="632"/>
      <c r="G70" s="632"/>
      <c r="H70" s="632"/>
      <c r="I70" s="136"/>
      <c r="J70" s="132"/>
      <c r="K70" s="132"/>
      <c r="L70" s="132"/>
      <c r="M70" s="132"/>
      <c r="N70" s="132"/>
      <c r="O70" s="95"/>
      <c r="P70" s="95"/>
      <c r="Q70" s="95"/>
      <c r="R70" s="95"/>
      <c r="S70" s="134"/>
      <c r="T70" s="95"/>
      <c r="U70" s="95"/>
      <c r="V70" s="95"/>
      <c r="W70" s="95"/>
      <c r="X70" s="95"/>
      <c r="Y70" s="95"/>
      <c r="Z70" s="95"/>
      <c r="AA70" s="95"/>
      <c r="AB70" s="95"/>
      <c r="AC70" s="95"/>
      <c r="AD70" s="95"/>
      <c r="AE70" s="99"/>
      <c r="AF70" s="95"/>
      <c r="AG70" s="209">
        <f>+(AG65+AG67+AG69)/3</f>
        <v>1</v>
      </c>
      <c r="AH70" s="94">
        <f t="shared" si="1"/>
        <v>1</v>
      </c>
      <c r="AI70" s="95"/>
      <c r="AJ70" s="95"/>
      <c r="AK70" s="95"/>
      <c r="AL70" s="95"/>
      <c r="AM70" s="95"/>
      <c r="AN70" s="95"/>
      <c r="AO70" s="95"/>
      <c r="AP70" s="95"/>
      <c r="AQ70" s="95"/>
      <c r="AR70" s="95"/>
      <c r="AS70" s="95"/>
      <c r="AT70" s="95"/>
    </row>
    <row r="71" spans="1:46" ht="409.5" x14ac:dyDescent="0.25">
      <c r="A71" s="659"/>
      <c r="B71" s="817"/>
      <c r="C71" s="811"/>
      <c r="D71" s="110" t="s">
        <v>1625</v>
      </c>
      <c r="E71" s="131"/>
      <c r="F71" s="131"/>
      <c r="G71" s="131"/>
      <c r="H71" s="131"/>
      <c r="I71" s="95"/>
      <c r="J71" s="564" t="s">
        <v>2177</v>
      </c>
      <c r="K71" s="100" t="s">
        <v>2176</v>
      </c>
      <c r="L71" s="99">
        <v>1</v>
      </c>
      <c r="M71" s="99">
        <v>4</v>
      </c>
      <c r="N71" s="95"/>
      <c r="O71" s="95"/>
      <c r="P71" s="95"/>
      <c r="Q71" s="99">
        <v>0.25</v>
      </c>
      <c r="R71" s="95"/>
      <c r="S71" s="99">
        <v>0.125</v>
      </c>
      <c r="T71" s="95"/>
      <c r="U71" s="95"/>
      <c r="V71" s="95"/>
      <c r="W71" s="95"/>
      <c r="X71" s="95"/>
      <c r="Y71" s="95"/>
      <c r="Z71" s="95">
        <v>0</v>
      </c>
      <c r="AA71" s="95"/>
      <c r="AB71" s="95"/>
      <c r="AC71" s="95"/>
      <c r="AD71" s="95"/>
      <c r="AE71" s="99">
        <f>+Q71+S71</f>
        <v>0.375</v>
      </c>
      <c r="AF71" s="95"/>
      <c r="AG71" s="126">
        <f>+AE71</f>
        <v>0.375</v>
      </c>
      <c r="AH71" s="94">
        <f t="shared" si="1"/>
        <v>0.375</v>
      </c>
      <c r="AI71" s="95"/>
      <c r="AJ71" s="95"/>
      <c r="AK71" s="95"/>
      <c r="AL71" s="95"/>
      <c r="AM71" s="95"/>
      <c r="AN71" s="95"/>
      <c r="AO71" s="95"/>
      <c r="AP71" s="95"/>
      <c r="AQ71" s="95"/>
      <c r="AR71" s="95"/>
      <c r="AS71" s="95"/>
      <c r="AT71" s="95"/>
    </row>
    <row r="72" spans="1:46" ht="45" customHeight="1" x14ac:dyDescent="0.25">
      <c r="A72" s="659"/>
      <c r="B72" s="817"/>
      <c r="C72" s="811"/>
      <c r="D72" s="131"/>
      <c r="E72" s="131"/>
      <c r="F72" s="131"/>
      <c r="G72" s="131"/>
      <c r="H72" s="131"/>
      <c r="I72" s="95"/>
      <c r="J72" s="95"/>
      <c r="K72" s="95"/>
      <c r="L72" s="95"/>
      <c r="M72" s="95"/>
      <c r="N72" s="95"/>
      <c r="O72" s="95"/>
      <c r="P72" s="95"/>
      <c r="Q72" s="95"/>
      <c r="R72" s="95"/>
      <c r="S72" s="134"/>
      <c r="T72" s="95"/>
      <c r="U72" s="95"/>
      <c r="V72" s="95"/>
      <c r="W72" s="95"/>
      <c r="X72" s="95"/>
      <c r="Y72" s="95"/>
      <c r="Z72" s="95"/>
      <c r="AA72" s="95"/>
      <c r="AB72" s="95"/>
      <c r="AC72" s="95"/>
      <c r="AD72" s="95"/>
      <c r="AE72" s="99"/>
      <c r="AF72" s="95"/>
      <c r="AG72" s="111">
        <f>+(AG12+AG23+AG28+AG33+AG42+AG55+AG62+AG70)/9</f>
        <v>0.7183383873456789</v>
      </c>
      <c r="AH72" s="94">
        <f t="shared" si="1"/>
        <v>0.7183383873456789</v>
      </c>
      <c r="AI72" s="95"/>
      <c r="AJ72" s="95"/>
      <c r="AK72" s="95"/>
      <c r="AL72" s="95"/>
      <c r="AM72" s="95"/>
      <c r="AN72" s="95"/>
      <c r="AO72" s="95"/>
      <c r="AP72" s="95"/>
      <c r="AQ72" s="95"/>
      <c r="AR72" s="95"/>
      <c r="AS72" s="95"/>
      <c r="AT72" s="95"/>
    </row>
    <row r="73" spans="1:46" ht="45" customHeight="1" x14ac:dyDescent="0.25">
      <c r="A73" s="659"/>
      <c r="B73" s="817"/>
      <c r="C73" s="818" t="s">
        <v>1628</v>
      </c>
      <c r="D73" s="632" t="s">
        <v>1629</v>
      </c>
      <c r="E73" s="622" t="s">
        <v>1631</v>
      </c>
      <c r="F73" s="622" t="s">
        <v>1630</v>
      </c>
      <c r="G73" s="623">
        <v>1</v>
      </c>
      <c r="H73" s="623">
        <v>0</v>
      </c>
      <c r="I73" s="632" t="s">
        <v>1667</v>
      </c>
      <c r="J73" s="250" t="s">
        <v>1632</v>
      </c>
      <c r="K73" s="132" t="s">
        <v>1633</v>
      </c>
      <c r="L73" s="132">
        <v>1</v>
      </c>
      <c r="M73" s="132">
        <v>0</v>
      </c>
      <c r="N73" s="132"/>
      <c r="O73" s="95"/>
      <c r="P73" s="99">
        <v>0</v>
      </c>
      <c r="Q73" s="99">
        <v>0</v>
      </c>
      <c r="R73" s="99">
        <v>0</v>
      </c>
      <c r="S73" s="99">
        <v>0</v>
      </c>
      <c r="T73" s="99">
        <v>0</v>
      </c>
      <c r="U73" s="99">
        <v>0</v>
      </c>
      <c r="V73" s="84">
        <v>1</v>
      </c>
      <c r="W73" s="373">
        <v>0</v>
      </c>
      <c r="X73" s="373">
        <v>0</v>
      </c>
      <c r="Y73" s="99">
        <v>0</v>
      </c>
      <c r="Z73" s="99">
        <v>0</v>
      </c>
      <c r="AA73" s="99">
        <v>2</v>
      </c>
      <c r="AB73" s="99"/>
      <c r="AC73" s="99"/>
      <c r="AD73" s="99"/>
      <c r="AE73" s="99">
        <f>+SUM(N73:AC73)</f>
        <v>3</v>
      </c>
      <c r="AF73" s="95"/>
      <c r="AG73" s="102">
        <f t="shared" ref="AG73:AG84" si="2">+(AE73/L73)</f>
        <v>3</v>
      </c>
      <c r="AH73" s="94">
        <f t="shared" si="1"/>
        <v>3</v>
      </c>
      <c r="AI73" s="95"/>
      <c r="AJ73" s="95"/>
      <c r="AK73" s="95"/>
      <c r="AL73" s="95"/>
      <c r="AM73" s="95"/>
      <c r="AN73" s="95"/>
      <c r="AO73" s="95"/>
      <c r="AP73" s="95"/>
      <c r="AQ73" s="95"/>
      <c r="AR73" s="95"/>
      <c r="AS73" s="95"/>
      <c r="AT73" s="95"/>
    </row>
    <row r="74" spans="1:46" ht="409.5" x14ac:dyDescent="0.25">
      <c r="A74" s="659"/>
      <c r="B74" s="817"/>
      <c r="C74" s="818"/>
      <c r="D74" s="632"/>
      <c r="E74" s="622"/>
      <c r="F74" s="622"/>
      <c r="G74" s="623"/>
      <c r="H74" s="623"/>
      <c r="I74" s="632"/>
      <c r="J74" s="250" t="s">
        <v>1634</v>
      </c>
      <c r="K74" s="132" t="s">
        <v>1635</v>
      </c>
      <c r="L74" s="132">
        <v>1</v>
      </c>
      <c r="M74" s="132">
        <v>1</v>
      </c>
      <c r="N74" s="132"/>
      <c r="O74" s="95"/>
      <c r="P74" s="99">
        <v>0</v>
      </c>
      <c r="Q74" s="99">
        <v>0</v>
      </c>
      <c r="R74" s="99">
        <v>0</v>
      </c>
      <c r="S74" s="99">
        <v>0</v>
      </c>
      <c r="T74" s="99">
        <v>0</v>
      </c>
      <c r="U74" s="99">
        <v>0</v>
      </c>
      <c r="V74" s="84">
        <v>0</v>
      </c>
      <c r="W74" s="373">
        <v>0</v>
      </c>
      <c r="X74" s="373">
        <v>0</v>
      </c>
      <c r="Y74" s="99">
        <v>0</v>
      </c>
      <c r="Z74" s="99">
        <v>0</v>
      </c>
      <c r="AA74" s="99">
        <v>1</v>
      </c>
      <c r="AB74" s="99"/>
      <c r="AC74" s="99"/>
      <c r="AD74" s="99"/>
      <c r="AE74" s="99">
        <f>+SUM(N74:AC74)</f>
        <v>1</v>
      </c>
      <c r="AF74" s="95"/>
      <c r="AG74" s="102">
        <f t="shared" si="2"/>
        <v>1</v>
      </c>
      <c r="AH74" s="94">
        <f t="shared" si="1"/>
        <v>1</v>
      </c>
      <c r="AI74" s="95"/>
      <c r="AJ74" s="95"/>
      <c r="AK74" s="95"/>
      <c r="AL74" s="95"/>
      <c r="AM74" s="95"/>
      <c r="AN74" s="95"/>
      <c r="AO74" s="95"/>
      <c r="AP74" s="95"/>
      <c r="AQ74" s="95"/>
      <c r="AR74" s="95"/>
      <c r="AS74" s="95"/>
      <c r="AT74" s="95"/>
    </row>
    <row r="75" spans="1:46" ht="409.5" x14ac:dyDescent="0.25">
      <c r="A75" s="659"/>
      <c r="B75" s="817"/>
      <c r="C75" s="818"/>
      <c r="D75" s="632"/>
      <c r="E75" s="135" t="s">
        <v>1637</v>
      </c>
      <c r="F75" s="135" t="s">
        <v>1636</v>
      </c>
      <c r="G75" s="206">
        <v>0.22</v>
      </c>
      <c r="H75" s="206">
        <v>0.11</v>
      </c>
      <c r="I75" s="632"/>
      <c r="J75" s="250" t="s">
        <v>1638</v>
      </c>
      <c r="K75" s="132" t="s">
        <v>1639</v>
      </c>
      <c r="L75" s="132">
        <v>1261</v>
      </c>
      <c r="M75" s="132">
        <v>0</v>
      </c>
      <c r="N75" s="132"/>
      <c r="O75" s="95"/>
      <c r="P75" s="99">
        <v>229</v>
      </c>
      <c r="Q75" s="99">
        <v>27</v>
      </c>
      <c r="R75" s="99">
        <v>40</v>
      </c>
      <c r="S75" s="99">
        <v>16</v>
      </c>
      <c r="T75" s="99">
        <v>10</v>
      </c>
      <c r="U75" s="99">
        <v>0</v>
      </c>
      <c r="V75" s="84">
        <v>9</v>
      </c>
      <c r="W75" s="373">
        <v>68</v>
      </c>
      <c r="X75" s="373">
        <v>77</v>
      </c>
      <c r="Y75" s="99">
        <v>237</v>
      </c>
      <c r="Z75" s="594">
        <v>23</v>
      </c>
      <c r="AA75" s="594">
        <v>31</v>
      </c>
      <c r="AB75" s="99"/>
      <c r="AC75" s="99"/>
      <c r="AD75" s="99"/>
      <c r="AE75" s="99">
        <f>+SUM(N75:AC75)</f>
        <v>767</v>
      </c>
      <c r="AF75" s="95"/>
      <c r="AG75" s="102">
        <f t="shared" si="2"/>
        <v>0.60824742268041232</v>
      </c>
      <c r="AH75" s="94">
        <f t="shared" si="1"/>
        <v>0.60824742268041232</v>
      </c>
      <c r="AI75" s="95"/>
      <c r="AJ75" s="95"/>
      <c r="AK75" s="95"/>
      <c r="AL75" s="95"/>
      <c r="AM75" s="95"/>
      <c r="AN75" s="95"/>
      <c r="AO75" s="95"/>
      <c r="AP75" s="95"/>
      <c r="AQ75" s="95"/>
      <c r="AR75" s="95"/>
      <c r="AS75" s="95"/>
      <c r="AT75" s="95"/>
    </row>
    <row r="76" spans="1:46" ht="409.5" x14ac:dyDescent="0.25">
      <c r="A76" s="659"/>
      <c r="B76" s="817"/>
      <c r="C76" s="818"/>
      <c r="D76" s="632"/>
      <c r="E76" s="135" t="s">
        <v>1666</v>
      </c>
      <c r="F76" s="135" t="s">
        <v>1658</v>
      </c>
      <c r="G76" s="206">
        <v>0.4</v>
      </c>
      <c r="H76" s="206">
        <v>0.31</v>
      </c>
      <c r="I76" s="632"/>
      <c r="J76" s="250" t="s">
        <v>1640</v>
      </c>
      <c r="K76" s="132" t="s">
        <v>1641</v>
      </c>
      <c r="L76" s="132">
        <v>2156</v>
      </c>
      <c r="M76" s="132">
        <v>7378</v>
      </c>
      <c r="N76" s="132"/>
      <c r="O76" s="95"/>
      <c r="P76" s="99">
        <v>22</v>
      </c>
      <c r="Q76" s="99">
        <v>20</v>
      </c>
      <c r="R76" s="99">
        <v>0</v>
      </c>
      <c r="S76" s="99">
        <v>0</v>
      </c>
      <c r="T76" s="99">
        <v>509</v>
      </c>
      <c r="U76" s="99">
        <v>0</v>
      </c>
      <c r="V76" s="84">
        <v>0</v>
      </c>
      <c r="W76" s="373">
        <v>235</v>
      </c>
      <c r="X76" s="373">
        <v>0</v>
      </c>
      <c r="Y76" s="99">
        <v>106</v>
      </c>
      <c r="Z76" s="99">
        <v>0</v>
      </c>
      <c r="AA76" s="99">
        <v>0</v>
      </c>
      <c r="AB76" s="99"/>
      <c r="AC76" s="99"/>
      <c r="AD76" s="99"/>
      <c r="AE76" s="99">
        <f>+SUM(N76:AC76)</f>
        <v>892</v>
      </c>
      <c r="AF76" s="95"/>
      <c r="AG76" s="102">
        <f t="shared" si="2"/>
        <v>0.4137291280148423</v>
      </c>
      <c r="AH76" s="94">
        <f t="shared" si="1"/>
        <v>0.4137291280148423</v>
      </c>
      <c r="AI76" s="95"/>
      <c r="AJ76" s="95"/>
      <c r="AK76" s="95"/>
      <c r="AL76" s="95"/>
      <c r="AM76" s="95"/>
      <c r="AN76" s="95"/>
      <c r="AO76" s="95"/>
      <c r="AP76" s="95"/>
      <c r="AQ76" s="95"/>
      <c r="AR76" s="95"/>
      <c r="AS76" s="95"/>
      <c r="AT76" s="95"/>
    </row>
    <row r="77" spans="1:46" ht="409.5" x14ac:dyDescent="0.25">
      <c r="A77" s="659"/>
      <c r="B77" s="817"/>
      <c r="C77" s="818"/>
      <c r="D77" s="632"/>
      <c r="E77" s="622" t="s">
        <v>1665</v>
      </c>
      <c r="F77" s="622" t="s">
        <v>1658</v>
      </c>
      <c r="G77" s="623">
        <v>0.24</v>
      </c>
      <c r="H77" s="623">
        <v>0.22</v>
      </c>
      <c r="I77" s="632"/>
      <c r="J77" s="250" t="s">
        <v>1642</v>
      </c>
      <c r="K77" s="132" t="s">
        <v>1643</v>
      </c>
      <c r="L77" s="132">
        <v>1488</v>
      </c>
      <c r="M77" s="132">
        <v>16375</v>
      </c>
      <c r="N77" s="132"/>
      <c r="O77" s="95"/>
      <c r="P77" s="99">
        <v>350</v>
      </c>
      <c r="Q77" s="99">
        <v>350</v>
      </c>
      <c r="R77" s="99">
        <v>360</v>
      </c>
      <c r="S77" s="99">
        <v>30</v>
      </c>
      <c r="T77" s="99">
        <v>2</v>
      </c>
      <c r="U77" s="272">
        <v>392</v>
      </c>
      <c r="V77" s="84">
        <v>390</v>
      </c>
      <c r="W77" s="373">
        <v>0</v>
      </c>
      <c r="X77" s="373">
        <v>0</v>
      </c>
      <c r="Y77" s="99">
        <v>0</v>
      </c>
      <c r="Z77" s="99">
        <v>0</v>
      </c>
      <c r="AA77" s="99">
        <v>0</v>
      </c>
      <c r="AB77" s="99"/>
      <c r="AC77" s="99"/>
      <c r="AD77" s="99"/>
      <c r="AE77" s="99">
        <f>+Q77+R77+S77+Y77+U77</f>
        <v>1132</v>
      </c>
      <c r="AF77" s="95"/>
      <c r="AG77" s="102">
        <f t="shared" si="2"/>
        <v>0.760752688172043</v>
      </c>
      <c r="AH77" s="94">
        <f t="shared" si="1"/>
        <v>0.760752688172043</v>
      </c>
      <c r="AI77" s="95"/>
      <c r="AJ77" s="95"/>
      <c r="AK77" s="95"/>
      <c r="AL77" s="95"/>
      <c r="AM77" s="95"/>
      <c r="AN77" s="95"/>
      <c r="AO77" s="95"/>
      <c r="AP77" s="95"/>
      <c r="AQ77" s="95"/>
      <c r="AR77" s="95"/>
      <c r="AS77" s="95"/>
      <c r="AT77" s="95"/>
    </row>
    <row r="78" spans="1:46" ht="409.5" x14ac:dyDescent="0.25">
      <c r="A78" s="659"/>
      <c r="B78" s="817"/>
      <c r="C78" s="818"/>
      <c r="D78" s="632"/>
      <c r="E78" s="622"/>
      <c r="F78" s="622"/>
      <c r="G78" s="623"/>
      <c r="H78" s="623"/>
      <c r="I78" s="632"/>
      <c r="J78" s="250" t="s">
        <v>1644</v>
      </c>
      <c r="K78" s="132" t="s">
        <v>1645</v>
      </c>
      <c r="L78" s="132">
        <v>400</v>
      </c>
      <c r="M78" s="132">
        <v>0</v>
      </c>
      <c r="N78" s="132"/>
      <c r="O78" s="95"/>
      <c r="P78" s="99">
        <v>0</v>
      </c>
      <c r="Q78" s="99">
        <v>0</v>
      </c>
      <c r="R78" s="99">
        <v>0</v>
      </c>
      <c r="S78" s="99">
        <v>0</v>
      </c>
      <c r="T78" s="99">
        <v>0</v>
      </c>
      <c r="U78" s="99">
        <v>0</v>
      </c>
      <c r="V78" s="84">
        <v>0</v>
      </c>
      <c r="W78" s="373">
        <v>0</v>
      </c>
      <c r="X78" s="373">
        <v>0</v>
      </c>
      <c r="Y78" s="99">
        <v>41</v>
      </c>
      <c r="Z78" s="99">
        <v>0</v>
      </c>
      <c r="AA78" s="99">
        <v>0</v>
      </c>
      <c r="AB78" s="99"/>
      <c r="AC78" s="99"/>
      <c r="AD78" s="99"/>
      <c r="AE78" s="99">
        <f t="shared" ref="AE78:AE84" si="3">+SUM(N78:AC78)</f>
        <v>41</v>
      </c>
      <c r="AF78" s="95"/>
      <c r="AG78" s="102">
        <f t="shared" si="2"/>
        <v>0.10249999999999999</v>
      </c>
      <c r="AH78" s="94">
        <f t="shared" si="1"/>
        <v>0.10249999999999999</v>
      </c>
      <c r="AI78" s="95"/>
      <c r="AJ78" s="95"/>
      <c r="AK78" s="95"/>
      <c r="AL78" s="95"/>
      <c r="AM78" s="95"/>
      <c r="AN78" s="95"/>
      <c r="AO78" s="95"/>
      <c r="AP78" s="95"/>
      <c r="AQ78" s="95"/>
      <c r="AR78" s="95"/>
      <c r="AS78" s="95"/>
      <c r="AT78" s="95"/>
    </row>
    <row r="79" spans="1:46" ht="409.5" x14ac:dyDescent="0.25">
      <c r="A79" s="659"/>
      <c r="B79" s="817"/>
      <c r="C79" s="818"/>
      <c r="D79" s="632"/>
      <c r="E79" s="135" t="s">
        <v>1668</v>
      </c>
      <c r="F79" s="135" t="s">
        <v>1659</v>
      </c>
      <c r="G79" s="206">
        <v>0.08</v>
      </c>
      <c r="H79" s="206">
        <v>0.01</v>
      </c>
      <c r="I79" s="632"/>
      <c r="J79" s="132" t="s">
        <v>1646</v>
      </c>
      <c r="K79" s="132" t="s">
        <v>1647</v>
      </c>
      <c r="L79" s="132">
        <v>6825</v>
      </c>
      <c r="M79" s="132">
        <v>975</v>
      </c>
      <c r="N79" s="132"/>
      <c r="O79" s="95"/>
      <c r="P79" s="99">
        <v>216</v>
      </c>
      <c r="Q79" s="99">
        <v>456</v>
      </c>
      <c r="R79" s="99">
        <v>158</v>
      </c>
      <c r="S79" s="99">
        <v>915</v>
      </c>
      <c r="T79" s="99">
        <v>364</v>
      </c>
      <c r="U79" s="99">
        <v>1000</v>
      </c>
      <c r="V79" s="84">
        <v>2452</v>
      </c>
      <c r="W79" s="373">
        <v>686</v>
      </c>
      <c r="X79" s="373">
        <v>300</v>
      </c>
      <c r="Y79" s="99">
        <v>52</v>
      </c>
      <c r="Z79" s="595">
        <v>64</v>
      </c>
      <c r="AA79" s="595">
        <v>137</v>
      </c>
      <c r="AB79" s="99"/>
      <c r="AC79" s="99"/>
      <c r="AD79" s="99"/>
      <c r="AE79" s="99">
        <f t="shared" si="3"/>
        <v>6800</v>
      </c>
      <c r="AF79" s="95"/>
      <c r="AG79" s="102">
        <f t="shared" si="2"/>
        <v>0.99633699633699635</v>
      </c>
      <c r="AH79" s="94">
        <f t="shared" si="1"/>
        <v>0.99633699633699635</v>
      </c>
      <c r="AI79" s="95"/>
      <c r="AJ79" s="95"/>
      <c r="AK79" s="95"/>
      <c r="AL79" s="95"/>
      <c r="AM79" s="95"/>
      <c r="AN79" s="95"/>
      <c r="AO79" s="95"/>
      <c r="AP79" s="95"/>
      <c r="AQ79" s="95"/>
      <c r="AR79" s="95"/>
      <c r="AS79" s="95"/>
      <c r="AT79" s="95"/>
    </row>
    <row r="80" spans="1:46" ht="409.5" x14ac:dyDescent="0.25">
      <c r="A80" s="659"/>
      <c r="B80" s="817"/>
      <c r="C80" s="818"/>
      <c r="D80" s="632"/>
      <c r="E80" s="135" t="s">
        <v>1669</v>
      </c>
      <c r="F80" s="135" t="s">
        <v>1660</v>
      </c>
      <c r="G80" s="206">
        <v>1</v>
      </c>
      <c r="H80" s="206">
        <v>0</v>
      </c>
      <c r="I80" s="632"/>
      <c r="J80" s="132" t="s">
        <v>1648</v>
      </c>
      <c r="K80" s="132" t="s">
        <v>1649</v>
      </c>
      <c r="L80" s="132">
        <v>1</v>
      </c>
      <c r="M80" s="132">
        <v>0</v>
      </c>
      <c r="N80" s="132"/>
      <c r="O80" s="95"/>
      <c r="P80" s="99">
        <v>0</v>
      </c>
      <c r="Q80" s="99">
        <v>0</v>
      </c>
      <c r="R80" s="99">
        <v>0</v>
      </c>
      <c r="S80" s="99">
        <v>0</v>
      </c>
      <c r="T80" s="99">
        <v>0</v>
      </c>
      <c r="U80" s="99">
        <v>0</v>
      </c>
      <c r="V80" s="84">
        <v>0</v>
      </c>
      <c r="W80" s="375">
        <v>0</v>
      </c>
      <c r="X80" s="375">
        <v>0</v>
      </c>
      <c r="Y80" s="99">
        <v>0</v>
      </c>
      <c r="Z80" s="99">
        <v>0</v>
      </c>
      <c r="AA80" s="99">
        <v>0</v>
      </c>
      <c r="AB80" s="99"/>
      <c r="AC80" s="99"/>
      <c r="AD80" s="99"/>
      <c r="AE80" s="99">
        <f t="shared" si="3"/>
        <v>0</v>
      </c>
      <c r="AF80" s="95"/>
      <c r="AG80" s="102">
        <f t="shared" si="2"/>
        <v>0</v>
      </c>
      <c r="AH80" s="94">
        <f t="shared" si="1"/>
        <v>0</v>
      </c>
      <c r="AI80" s="95"/>
      <c r="AJ80" s="95"/>
      <c r="AK80" s="95"/>
      <c r="AL80" s="95"/>
      <c r="AM80" s="95"/>
      <c r="AN80" s="95"/>
      <c r="AO80" s="95"/>
      <c r="AP80" s="95"/>
      <c r="AQ80" s="95"/>
      <c r="AR80" s="95"/>
      <c r="AS80" s="95"/>
      <c r="AT80" s="95"/>
    </row>
    <row r="81" spans="1:46" ht="409.5" x14ac:dyDescent="0.25">
      <c r="A81" s="659"/>
      <c r="B81" s="817"/>
      <c r="C81" s="818"/>
      <c r="D81" s="632"/>
      <c r="E81" s="132" t="s">
        <v>1670</v>
      </c>
      <c r="F81" s="135" t="s">
        <v>1661</v>
      </c>
      <c r="G81" s="206">
        <v>1</v>
      </c>
      <c r="H81" s="206">
        <v>1</v>
      </c>
      <c r="I81" s="632"/>
      <c r="J81" s="132" t="s">
        <v>1650</v>
      </c>
      <c r="K81" s="132" t="s">
        <v>1651</v>
      </c>
      <c r="L81" s="132">
        <v>22</v>
      </c>
      <c r="M81" s="132">
        <v>0</v>
      </c>
      <c r="N81" s="132"/>
      <c r="O81" s="95"/>
      <c r="P81" s="99">
        <v>0</v>
      </c>
      <c r="Q81" s="99">
        <v>22</v>
      </c>
      <c r="R81" s="99">
        <v>22</v>
      </c>
      <c r="S81" s="99">
        <v>22</v>
      </c>
      <c r="T81" s="99">
        <v>0</v>
      </c>
      <c r="U81" s="99">
        <v>0</v>
      </c>
      <c r="V81" s="84">
        <v>0</v>
      </c>
      <c r="W81" s="375">
        <v>22</v>
      </c>
      <c r="X81" s="375">
        <v>0</v>
      </c>
      <c r="Y81" s="99">
        <v>0</v>
      </c>
      <c r="Z81" s="99">
        <v>22</v>
      </c>
      <c r="AA81" s="99">
        <v>44</v>
      </c>
      <c r="AB81" s="99"/>
      <c r="AC81" s="99"/>
      <c r="AD81" s="99"/>
      <c r="AE81" s="99">
        <f>+S81</f>
        <v>22</v>
      </c>
      <c r="AF81" s="95"/>
      <c r="AG81" s="102">
        <f t="shared" si="2"/>
        <v>1</v>
      </c>
      <c r="AH81" s="94">
        <f t="shared" si="1"/>
        <v>1</v>
      </c>
      <c r="AI81" s="95"/>
      <c r="AJ81" s="95"/>
      <c r="AK81" s="95"/>
      <c r="AL81" s="95"/>
      <c r="AM81" s="95"/>
      <c r="AN81" s="95"/>
      <c r="AO81" s="95"/>
      <c r="AP81" s="95"/>
      <c r="AQ81" s="95"/>
      <c r="AR81" s="95"/>
      <c r="AS81" s="95"/>
      <c r="AT81" s="95"/>
    </row>
    <row r="82" spans="1:46" ht="409.5" x14ac:dyDescent="0.25">
      <c r="A82" s="659"/>
      <c r="B82" s="817"/>
      <c r="C82" s="818"/>
      <c r="D82" s="632"/>
      <c r="E82" s="132" t="s">
        <v>1671</v>
      </c>
      <c r="F82" s="135" t="s">
        <v>1662</v>
      </c>
      <c r="G82" s="206">
        <v>1</v>
      </c>
      <c r="H82" s="206">
        <v>0</v>
      </c>
      <c r="I82" s="632"/>
      <c r="J82" s="132" t="s">
        <v>1652</v>
      </c>
      <c r="K82" s="132" t="s">
        <v>1653</v>
      </c>
      <c r="L82" s="132">
        <v>1</v>
      </c>
      <c r="M82" s="132">
        <v>0</v>
      </c>
      <c r="N82" s="132"/>
      <c r="O82" s="95"/>
      <c r="P82" s="99">
        <v>0</v>
      </c>
      <c r="Q82" s="99">
        <v>0</v>
      </c>
      <c r="R82" s="99">
        <v>0</v>
      </c>
      <c r="S82" s="99">
        <v>0</v>
      </c>
      <c r="T82" s="99">
        <v>0</v>
      </c>
      <c r="U82" s="99">
        <v>1</v>
      </c>
      <c r="V82" s="99">
        <v>0</v>
      </c>
      <c r="W82" s="99">
        <v>0</v>
      </c>
      <c r="X82" s="99">
        <v>0</v>
      </c>
      <c r="Y82" s="99">
        <v>0</v>
      </c>
      <c r="Z82" s="99"/>
      <c r="AA82" s="99"/>
      <c r="AB82" s="99"/>
      <c r="AC82" s="99"/>
      <c r="AD82" s="99"/>
      <c r="AE82" s="99">
        <f t="shared" si="3"/>
        <v>1</v>
      </c>
      <c r="AF82" s="95"/>
      <c r="AG82" s="102">
        <f t="shared" si="2"/>
        <v>1</v>
      </c>
      <c r="AH82" s="94">
        <f t="shared" si="1"/>
        <v>1</v>
      </c>
      <c r="AI82" s="95"/>
      <c r="AJ82" s="95"/>
      <c r="AK82" s="95"/>
      <c r="AL82" s="95"/>
      <c r="AM82" s="95"/>
      <c r="AN82" s="95"/>
      <c r="AO82" s="95"/>
      <c r="AP82" s="95"/>
      <c r="AQ82" s="95"/>
      <c r="AR82" s="95"/>
      <c r="AS82" s="95"/>
      <c r="AT82" s="95"/>
    </row>
    <row r="83" spans="1:46" ht="409.5" x14ac:dyDescent="0.25">
      <c r="A83" s="659"/>
      <c r="B83" s="817"/>
      <c r="C83" s="818"/>
      <c r="D83" s="632"/>
      <c r="E83" s="132" t="s">
        <v>1672</v>
      </c>
      <c r="F83" s="135" t="s">
        <v>1663</v>
      </c>
      <c r="G83" s="206">
        <v>1</v>
      </c>
      <c r="H83" s="206">
        <v>1</v>
      </c>
      <c r="I83" s="632"/>
      <c r="J83" s="132" t="s">
        <v>1654</v>
      </c>
      <c r="K83" s="132" t="s">
        <v>1655</v>
      </c>
      <c r="L83" s="132">
        <v>1</v>
      </c>
      <c r="M83" s="132">
        <v>0</v>
      </c>
      <c r="N83" s="132"/>
      <c r="O83" s="95"/>
      <c r="P83" s="99">
        <v>0</v>
      </c>
      <c r="Q83" s="99">
        <v>0</v>
      </c>
      <c r="R83" s="99">
        <v>0</v>
      </c>
      <c r="S83" s="99">
        <v>0</v>
      </c>
      <c r="T83" s="99">
        <v>0</v>
      </c>
      <c r="U83" s="99">
        <v>0</v>
      </c>
      <c r="V83" s="99">
        <v>0</v>
      </c>
      <c r="W83" s="99">
        <v>0</v>
      </c>
      <c r="X83" s="99">
        <v>0</v>
      </c>
      <c r="Y83" s="99">
        <v>0</v>
      </c>
      <c r="Z83" s="99"/>
      <c r="AA83" s="99"/>
      <c r="AB83" s="99"/>
      <c r="AC83" s="99"/>
      <c r="AD83" s="99"/>
      <c r="AE83" s="99">
        <f t="shared" si="3"/>
        <v>0</v>
      </c>
      <c r="AF83" s="95"/>
      <c r="AG83" s="102">
        <f t="shared" si="2"/>
        <v>0</v>
      </c>
      <c r="AH83" s="94">
        <f t="shared" si="1"/>
        <v>0</v>
      </c>
      <c r="AI83" s="95"/>
      <c r="AJ83" s="95"/>
      <c r="AK83" s="95"/>
      <c r="AL83" s="95"/>
      <c r="AM83" s="95"/>
      <c r="AN83" s="95"/>
      <c r="AO83" s="95"/>
      <c r="AP83" s="95"/>
      <c r="AQ83" s="95"/>
      <c r="AR83" s="95"/>
      <c r="AS83" s="95"/>
      <c r="AT83" s="95"/>
    </row>
    <row r="84" spans="1:46" ht="409.5" x14ac:dyDescent="0.25">
      <c r="A84" s="659"/>
      <c r="B84" s="817"/>
      <c r="C84" s="818"/>
      <c r="D84" s="632"/>
      <c r="E84" s="622" t="s">
        <v>1673</v>
      </c>
      <c r="F84" s="622" t="s">
        <v>1664</v>
      </c>
      <c r="G84" s="623">
        <v>1</v>
      </c>
      <c r="H84" s="623">
        <v>0</v>
      </c>
      <c r="I84" s="632"/>
      <c r="J84" s="132" t="s">
        <v>1656</v>
      </c>
      <c r="K84" s="132" t="s">
        <v>1657</v>
      </c>
      <c r="L84" s="132">
        <v>1</v>
      </c>
      <c r="M84" s="132">
        <v>0</v>
      </c>
      <c r="N84" s="132"/>
      <c r="O84" s="95"/>
      <c r="P84" s="99">
        <v>0</v>
      </c>
      <c r="Q84" s="99">
        <v>0</v>
      </c>
      <c r="R84" s="99">
        <v>0</v>
      </c>
      <c r="S84" s="99">
        <v>0</v>
      </c>
      <c r="T84" s="99">
        <v>0</v>
      </c>
      <c r="U84" s="99">
        <v>0</v>
      </c>
      <c r="V84" s="378">
        <v>0</v>
      </c>
      <c r="W84" s="378">
        <v>0</v>
      </c>
      <c r="X84" s="378">
        <v>0</v>
      </c>
      <c r="Y84" s="99">
        <v>0</v>
      </c>
      <c r="Z84" s="99"/>
      <c r="AA84" s="99"/>
      <c r="AB84" s="99"/>
      <c r="AC84" s="99"/>
      <c r="AD84" s="99"/>
      <c r="AE84" s="99">
        <f t="shared" si="3"/>
        <v>0</v>
      </c>
      <c r="AF84" s="95"/>
      <c r="AG84" s="102">
        <f t="shared" si="2"/>
        <v>0</v>
      </c>
      <c r="AH84" s="94">
        <f t="shared" si="1"/>
        <v>0</v>
      </c>
      <c r="AI84" s="95"/>
      <c r="AJ84" s="95"/>
      <c r="AK84" s="95"/>
      <c r="AL84" s="95"/>
      <c r="AM84" s="95"/>
      <c r="AN84" s="95"/>
      <c r="AO84" s="95"/>
      <c r="AP84" s="95"/>
      <c r="AQ84" s="95"/>
      <c r="AR84" s="95"/>
      <c r="AS84" s="95"/>
      <c r="AT84" s="95"/>
    </row>
    <row r="85" spans="1:46" ht="62.25" customHeight="1" x14ac:dyDescent="0.25">
      <c r="A85" s="659"/>
      <c r="B85" s="817"/>
      <c r="C85" s="818"/>
      <c r="D85" s="632"/>
      <c r="E85" s="622"/>
      <c r="F85" s="622"/>
      <c r="G85" s="623"/>
      <c r="H85" s="623"/>
      <c r="I85" s="632"/>
      <c r="J85" s="132"/>
      <c r="K85" s="132"/>
      <c r="L85" s="132"/>
      <c r="M85" s="132"/>
      <c r="N85" s="132"/>
      <c r="O85" s="95"/>
      <c r="P85" s="95"/>
      <c r="Q85" s="95"/>
      <c r="R85" s="95"/>
      <c r="S85" s="134"/>
      <c r="T85" s="95"/>
      <c r="U85" s="95"/>
      <c r="V85" s="95"/>
      <c r="W85" s="95"/>
      <c r="X85" s="95"/>
      <c r="Y85" s="95"/>
      <c r="Z85" s="95"/>
      <c r="AA85" s="95"/>
      <c r="AB85" s="95"/>
      <c r="AC85" s="95"/>
      <c r="AD85" s="95"/>
      <c r="AE85" s="99"/>
      <c r="AF85" s="95"/>
      <c r="AG85" s="7">
        <f>AVERAGE(AG73:AG84)</f>
        <v>0.74013051960035769</v>
      </c>
      <c r="AH85" s="94">
        <f t="shared" si="1"/>
        <v>0.74013051960035769</v>
      </c>
      <c r="AI85" s="95"/>
      <c r="AJ85" s="95"/>
      <c r="AK85" s="95"/>
      <c r="AL85" s="95"/>
      <c r="AM85" s="95"/>
      <c r="AN85" s="95"/>
      <c r="AO85" s="95"/>
      <c r="AP85" s="95"/>
      <c r="AQ85" s="95"/>
      <c r="AR85" s="95"/>
      <c r="AS85" s="95"/>
      <c r="AT85" s="95"/>
    </row>
    <row r="86" spans="1:46" ht="62.25" customHeight="1" x14ac:dyDescent="0.25">
      <c r="A86" s="659"/>
      <c r="B86" s="817"/>
      <c r="C86" s="818"/>
      <c r="D86" s="632"/>
      <c r="E86" s="132"/>
      <c r="F86" s="135"/>
      <c r="G86" s="206"/>
      <c r="H86" s="206"/>
      <c r="I86" s="131"/>
      <c r="J86" s="132"/>
      <c r="K86" s="132"/>
      <c r="L86" s="132"/>
      <c r="M86" s="132"/>
      <c r="N86" s="132"/>
      <c r="O86" s="95"/>
      <c r="P86" s="95"/>
      <c r="Q86" s="95"/>
      <c r="R86" s="95"/>
      <c r="S86" s="134"/>
      <c r="T86" s="95"/>
      <c r="U86" s="95"/>
      <c r="V86" s="95"/>
      <c r="W86" s="95"/>
      <c r="X86" s="95"/>
      <c r="Y86" s="95"/>
      <c r="Z86" s="95"/>
      <c r="AA86" s="95"/>
      <c r="AB86" s="95"/>
      <c r="AC86" s="95"/>
      <c r="AD86" s="95"/>
      <c r="AE86" s="99"/>
      <c r="AF86" s="95"/>
      <c r="AG86" s="112">
        <f>+AG85</f>
        <v>0.74013051960035769</v>
      </c>
      <c r="AH86" s="94">
        <f t="shared" si="1"/>
        <v>0.74013051960035769</v>
      </c>
      <c r="AI86" s="95"/>
      <c r="AJ86" s="95"/>
      <c r="AK86" s="95"/>
      <c r="AL86" s="95"/>
      <c r="AM86" s="95"/>
      <c r="AN86" s="95"/>
      <c r="AO86" s="95"/>
      <c r="AP86" s="95"/>
      <c r="AQ86" s="95"/>
      <c r="AR86" s="95"/>
      <c r="AS86" s="95"/>
      <c r="AT86" s="95"/>
    </row>
    <row r="87" spans="1:46" ht="409.5" x14ac:dyDescent="0.25">
      <c r="A87" s="659"/>
      <c r="B87" s="817"/>
      <c r="C87" s="818"/>
      <c r="D87" s="632" t="s">
        <v>1683</v>
      </c>
      <c r="E87" s="622" t="s">
        <v>1685</v>
      </c>
      <c r="F87" s="622" t="s">
        <v>1684</v>
      </c>
      <c r="G87" s="623">
        <v>0.7</v>
      </c>
      <c r="H87" s="622">
        <v>453</v>
      </c>
      <c r="I87" s="632" t="s">
        <v>1682</v>
      </c>
      <c r="J87" s="250" t="s">
        <v>1674</v>
      </c>
      <c r="K87" s="132" t="s">
        <v>1675</v>
      </c>
      <c r="L87" s="132">
        <v>6</v>
      </c>
      <c r="M87" s="132">
        <v>0</v>
      </c>
      <c r="N87" s="132"/>
      <c r="O87" s="95"/>
      <c r="P87" s="99">
        <v>0</v>
      </c>
      <c r="Q87" s="99">
        <v>0</v>
      </c>
      <c r="R87" s="99">
        <v>0</v>
      </c>
      <c r="S87" s="99">
        <v>0</v>
      </c>
      <c r="T87" s="99">
        <v>2</v>
      </c>
      <c r="U87" s="99">
        <v>0</v>
      </c>
      <c r="V87" s="84">
        <v>0</v>
      </c>
      <c r="W87" s="84">
        <v>2</v>
      </c>
      <c r="X87" s="373">
        <v>0</v>
      </c>
      <c r="Y87" s="99">
        <v>0</v>
      </c>
      <c r="Z87" s="99">
        <v>0</v>
      </c>
      <c r="AA87" s="99">
        <v>0</v>
      </c>
      <c r="AB87" s="99"/>
      <c r="AC87" s="99"/>
      <c r="AD87" s="99"/>
      <c r="AE87" s="99">
        <f>+SUM(N87:AC87)</f>
        <v>4</v>
      </c>
      <c r="AF87" s="95"/>
      <c r="AG87" s="102">
        <f>+(AE87/L87)</f>
        <v>0.66666666666666663</v>
      </c>
      <c r="AH87" s="94">
        <f t="shared" si="1"/>
        <v>0.66666666666666663</v>
      </c>
      <c r="AI87" s="95"/>
      <c r="AJ87" s="95"/>
      <c r="AK87" s="95"/>
      <c r="AL87" s="95"/>
      <c r="AM87" s="95"/>
      <c r="AN87" s="95"/>
      <c r="AO87" s="95"/>
      <c r="AP87" s="95"/>
      <c r="AQ87" s="95"/>
      <c r="AR87" s="95"/>
      <c r="AS87" s="95"/>
      <c r="AT87" s="95"/>
    </row>
    <row r="88" spans="1:46" ht="409.5" x14ac:dyDescent="0.25">
      <c r="A88" s="659"/>
      <c r="B88" s="817"/>
      <c r="C88" s="818"/>
      <c r="D88" s="632"/>
      <c r="E88" s="622"/>
      <c r="F88" s="622"/>
      <c r="G88" s="623"/>
      <c r="H88" s="622"/>
      <c r="I88" s="632"/>
      <c r="J88" s="250" t="s">
        <v>1676</v>
      </c>
      <c r="K88" s="132" t="s">
        <v>1677</v>
      </c>
      <c r="L88" s="132">
        <v>317</v>
      </c>
      <c r="M88" s="132">
        <v>0</v>
      </c>
      <c r="N88" s="132"/>
      <c r="O88" s="95"/>
      <c r="P88" s="99">
        <v>0</v>
      </c>
      <c r="Q88" s="99">
        <v>0</v>
      </c>
      <c r="R88" s="99">
        <v>0</v>
      </c>
      <c r="S88" s="99">
        <v>0</v>
      </c>
      <c r="T88" s="99">
        <v>0</v>
      </c>
      <c r="U88" s="99">
        <v>0</v>
      </c>
      <c r="V88" s="84">
        <v>0</v>
      </c>
      <c r="W88" s="84">
        <v>200</v>
      </c>
      <c r="X88" s="373">
        <v>0</v>
      </c>
      <c r="Y88" s="99">
        <v>132</v>
      </c>
      <c r="Z88" s="99">
        <v>20</v>
      </c>
      <c r="AA88" s="99">
        <v>0</v>
      </c>
      <c r="AB88" s="99"/>
      <c r="AC88" s="99"/>
      <c r="AD88" s="99"/>
      <c r="AE88" s="99">
        <f>+SUM(N88:AC88)</f>
        <v>352</v>
      </c>
      <c r="AF88" s="95"/>
      <c r="AG88" s="102">
        <v>1</v>
      </c>
      <c r="AH88" s="94">
        <f t="shared" si="1"/>
        <v>1</v>
      </c>
      <c r="AI88" s="95"/>
      <c r="AJ88" s="95"/>
      <c r="AK88" s="95"/>
      <c r="AL88" s="95"/>
      <c r="AM88" s="95"/>
      <c r="AN88" s="95"/>
      <c r="AO88" s="95"/>
      <c r="AP88" s="95"/>
      <c r="AQ88" s="95"/>
      <c r="AR88" s="95"/>
      <c r="AS88" s="95"/>
      <c r="AT88" s="95"/>
    </row>
    <row r="89" spans="1:46" ht="409.5" x14ac:dyDescent="0.25">
      <c r="A89" s="659"/>
      <c r="B89" s="817"/>
      <c r="C89" s="818"/>
      <c r="D89" s="632"/>
      <c r="E89" s="132" t="s">
        <v>1688</v>
      </c>
      <c r="F89" s="135" t="s">
        <v>1686</v>
      </c>
      <c r="G89" s="206">
        <v>0.5</v>
      </c>
      <c r="H89" s="206">
        <v>0.08</v>
      </c>
      <c r="I89" s="632"/>
      <c r="J89" s="250" t="s">
        <v>1678</v>
      </c>
      <c r="K89" s="132" t="s">
        <v>1679</v>
      </c>
      <c r="L89" s="132">
        <v>226</v>
      </c>
      <c r="M89" s="132">
        <v>40</v>
      </c>
      <c r="N89" s="132"/>
      <c r="O89" s="95"/>
      <c r="P89" s="99">
        <v>85</v>
      </c>
      <c r="Q89" s="99">
        <v>0</v>
      </c>
      <c r="R89" s="99">
        <v>0</v>
      </c>
      <c r="S89" s="99">
        <v>0</v>
      </c>
      <c r="T89" s="99">
        <v>47</v>
      </c>
      <c r="U89" s="99">
        <v>0</v>
      </c>
      <c r="V89" s="84">
        <v>0</v>
      </c>
      <c r="W89" s="84">
        <v>0</v>
      </c>
      <c r="X89" s="373">
        <v>0</v>
      </c>
      <c r="Y89" s="99">
        <v>0</v>
      </c>
      <c r="Z89" s="99">
        <v>0</v>
      </c>
      <c r="AA89" s="99">
        <v>0</v>
      </c>
      <c r="AB89" s="99"/>
      <c r="AC89" s="99"/>
      <c r="AD89" s="99"/>
      <c r="AE89" s="99">
        <f>+SUM(N89:AC89)</f>
        <v>132</v>
      </c>
      <c r="AF89" s="95"/>
      <c r="AG89" s="102">
        <f>+(AE89/L89)</f>
        <v>0.58407079646017701</v>
      </c>
      <c r="AH89" s="94">
        <f t="shared" si="1"/>
        <v>0.58407079646017701</v>
      </c>
      <c r="AI89" s="95"/>
      <c r="AJ89" s="95"/>
      <c r="AK89" s="95"/>
      <c r="AL89" s="95"/>
      <c r="AM89" s="95"/>
      <c r="AN89" s="95"/>
      <c r="AO89" s="95"/>
      <c r="AP89" s="95"/>
      <c r="AQ89" s="95"/>
      <c r="AR89" s="95"/>
      <c r="AS89" s="95"/>
      <c r="AT89" s="95"/>
    </row>
    <row r="90" spans="1:46" ht="72" customHeight="1" x14ac:dyDescent="0.25">
      <c r="A90" s="659"/>
      <c r="B90" s="817"/>
      <c r="C90" s="818"/>
      <c r="D90" s="632"/>
      <c r="E90" s="622" t="s">
        <v>1689</v>
      </c>
      <c r="F90" s="622" t="s">
        <v>1687</v>
      </c>
      <c r="G90" s="623">
        <v>0.1</v>
      </c>
      <c r="H90" s="623">
        <v>0.1</v>
      </c>
      <c r="I90" s="632"/>
      <c r="J90" s="250" t="s">
        <v>1680</v>
      </c>
      <c r="K90" s="132" t="s">
        <v>1681</v>
      </c>
      <c r="L90" s="132">
        <v>45</v>
      </c>
      <c r="M90" s="132">
        <v>45</v>
      </c>
      <c r="N90" s="132"/>
      <c r="O90" s="95"/>
      <c r="P90" s="99">
        <v>0</v>
      </c>
      <c r="Q90" s="99">
        <v>0</v>
      </c>
      <c r="R90" s="99">
        <v>0</v>
      </c>
      <c r="S90" s="99">
        <v>0</v>
      </c>
      <c r="T90" s="99">
        <v>0</v>
      </c>
      <c r="U90" s="99">
        <v>0</v>
      </c>
      <c r="V90" s="84">
        <v>0</v>
      </c>
      <c r="W90" s="84">
        <v>0</v>
      </c>
      <c r="X90" s="373">
        <v>0</v>
      </c>
      <c r="Y90" s="99">
        <v>0</v>
      </c>
      <c r="Z90" s="99">
        <v>0</v>
      </c>
      <c r="AA90" s="99">
        <v>0</v>
      </c>
      <c r="AB90" s="99"/>
      <c r="AC90" s="99"/>
      <c r="AD90" s="99"/>
      <c r="AE90" s="99">
        <f>+SUM(N90:AC90)</f>
        <v>0</v>
      </c>
      <c r="AF90" s="95"/>
      <c r="AG90" s="102">
        <f>+(AE90/L90)</f>
        <v>0</v>
      </c>
      <c r="AH90" s="94">
        <f t="shared" si="1"/>
        <v>0</v>
      </c>
      <c r="AI90" s="95"/>
      <c r="AJ90" s="95"/>
      <c r="AK90" s="95"/>
      <c r="AL90" s="95"/>
      <c r="AM90" s="95"/>
      <c r="AN90" s="95"/>
      <c r="AO90" s="95"/>
      <c r="AP90" s="95"/>
      <c r="AQ90" s="95"/>
      <c r="AR90" s="95"/>
      <c r="AS90" s="95"/>
      <c r="AT90" s="95"/>
    </row>
    <row r="91" spans="1:46" ht="72" customHeight="1" x14ac:dyDescent="0.25">
      <c r="A91" s="659"/>
      <c r="B91" s="817"/>
      <c r="C91" s="818"/>
      <c r="D91" s="632"/>
      <c r="E91" s="622"/>
      <c r="F91" s="622"/>
      <c r="G91" s="623"/>
      <c r="H91" s="623"/>
      <c r="I91" s="632"/>
      <c r="J91" s="132"/>
      <c r="K91" s="132"/>
      <c r="L91" s="132"/>
      <c r="M91" s="132"/>
      <c r="N91" s="132"/>
      <c r="O91" s="95"/>
      <c r="P91" s="95"/>
      <c r="Q91" s="95"/>
      <c r="R91" s="95"/>
      <c r="S91" s="134"/>
      <c r="T91" s="95"/>
      <c r="U91" s="95"/>
      <c r="V91" s="95"/>
      <c r="W91" s="95"/>
      <c r="X91" s="95"/>
      <c r="Y91" s="95"/>
      <c r="Z91" s="95"/>
      <c r="AA91" s="95"/>
      <c r="AB91" s="95"/>
      <c r="AC91" s="95"/>
      <c r="AD91" s="95"/>
      <c r="AE91" s="99"/>
      <c r="AF91" s="95"/>
      <c r="AG91" s="7">
        <f>AVERAGE(AG87:AG90)</f>
        <v>0.56268436578171088</v>
      </c>
      <c r="AH91" s="94">
        <f t="shared" si="1"/>
        <v>0.56268436578171088</v>
      </c>
      <c r="AI91" s="95"/>
      <c r="AJ91" s="95"/>
      <c r="AK91" s="95"/>
      <c r="AL91" s="95"/>
      <c r="AM91" s="95"/>
      <c r="AN91" s="95"/>
      <c r="AO91" s="95"/>
      <c r="AP91" s="95"/>
      <c r="AQ91" s="95"/>
      <c r="AR91" s="95"/>
      <c r="AS91" s="95"/>
      <c r="AT91" s="95"/>
    </row>
    <row r="92" spans="1:46" ht="72" customHeight="1" x14ac:dyDescent="0.25">
      <c r="A92" s="659"/>
      <c r="B92" s="817"/>
      <c r="C92" s="818"/>
      <c r="D92" s="632"/>
      <c r="E92" s="132"/>
      <c r="F92" s="135"/>
      <c r="G92" s="206"/>
      <c r="H92" s="206"/>
      <c r="I92" s="131"/>
      <c r="J92" s="132"/>
      <c r="K92" s="132"/>
      <c r="L92" s="132"/>
      <c r="M92" s="132"/>
      <c r="N92" s="132"/>
      <c r="O92" s="95"/>
      <c r="P92" s="95"/>
      <c r="Q92" s="95"/>
      <c r="R92" s="95"/>
      <c r="S92" s="134"/>
      <c r="T92" s="95"/>
      <c r="U92" s="95"/>
      <c r="V92" s="95"/>
      <c r="W92" s="95"/>
      <c r="X92" s="95"/>
      <c r="Y92" s="95"/>
      <c r="Z92" s="95"/>
      <c r="AA92" s="95"/>
      <c r="AB92" s="95"/>
      <c r="AC92" s="95"/>
      <c r="AD92" s="95"/>
      <c r="AE92" s="99"/>
      <c r="AF92" s="95"/>
      <c r="AG92" s="104">
        <f>+AG91</f>
        <v>0.56268436578171088</v>
      </c>
      <c r="AH92" s="94">
        <f t="shared" si="1"/>
        <v>0.56268436578171088</v>
      </c>
      <c r="AI92" s="95"/>
      <c r="AJ92" s="95"/>
      <c r="AK92" s="95"/>
      <c r="AL92" s="95"/>
      <c r="AM92" s="95"/>
      <c r="AN92" s="95"/>
      <c r="AO92" s="95"/>
      <c r="AP92" s="95"/>
      <c r="AQ92" s="95"/>
      <c r="AR92" s="95"/>
      <c r="AS92" s="95"/>
      <c r="AT92" s="95"/>
    </row>
    <row r="93" spans="1:46" ht="50.25" customHeight="1" x14ac:dyDescent="0.25">
      <c r="A93" s="659"/>
      <c r="B93" s="817"/>
      <c r="C93" s="818"/>
      <c r="D93" s="632" t="s">
        <v>1690</v>
      </c>
      <c r="E93" s="132" t="s">
        <v>1694</v>
      </c>
      <c r="F93" s="132" t="s">
        <v>1691</v>
      </c>
      <c r="G93" s="206">
        <v>0.25</v>
      </c>
      <c r="H93" s="206">
        <v>0</v>
      </c>
      <c r="I93" s="678" t="s">
        <v>1710</v>
      </c>
      <c r="J93" s="132" t="s">
        <v>1698</v>
      </c>
      <c r="K93" s="132" t="s">
        <v>1699</v>
      </c>
      <c r="L93" s="105">
        <v>1</v>
      </c>
      <c r="M93" s="105">
        <v>0</v>
      </c>
      <c r="N93" s="105"/>
      <c r="O93" s="95"/>
      <c r="P93" s="99">
        <v>0</v>
      </c>
      <c r="Q93" s="99">
        <v>0</v>
      </c>
      <c r="R93" s="99">
        <v>0</v>
      </c>
      <c r="S93" s="99">
        <v>0</v>
      </c>
      <c r="T93" s="99">
        <v>0</v>
      </c>
      <c r="U93" s="99">
        <v>1</v>
      </c>
      <c r="V93" s="99">
        <v>0</v>
      </c>
      <c r="W93" s="99">
        <v>0</v>
      </c>
      <c r="X93" s="99">
        <v>0</v>
      </c>
      <c r="Y93" s="99">
        <v>0</v>
      </c>
      <c r="Z93" s="99"/>
      <c r="AA93" s="99"/>
      <c r="AB93" s="99"/>
      <c r="AC93" s="99"/>
      <c r="AD93" s="99"/>
      <c r="AE93" s="99">
        <f>+SUM(N93:AC93)</f>
        <v>1</v>
      </c>
      <c r="AF93" s="95"/>
      <c r="AG93" s="102">
        <f>+(AE93/L93)</f>
        <v>1</v>
      </c>
      <c r="AH93" s="94">
        <f t="shared" si="1"/>
        <v>1</v>
      </c>
      <c r="AI93" s="95"/>
      <c r="AJ93" s="95"/>
      <c r="AK93" s="95"/>
      <c r="AL93" s="95"/>
      <c r="AM93" s="95"/>
      <c r="AN93" s="95"/>
      <c r="AO93" s="95"/>
      <c r="AP93" s="95"/>
      <c r="AQ93" s="95"/>
      <c r="AR93" s="95"/>
      <c r="AS93" s="95"/>
      <c r="AT93" s="95"/>
    </row>
    <row r="94" spans="1:46" ht="90" customHeight="1" x14ac:dyDescent="0.25">
      <c r="A94" s="659"/>
      <c r="B94" s="817"/>
      <c r="C94" s="818"/>
      <c r="D94" s="632"/>
      <c r="E94" s="622" t="s">
        <v>1695</v>
      </c>
      <c r="F94" s="622" t="s">
        <v>1692</v>
      </c>
      <c r="G94" s="622">
        <v>0.4</v>
      </c>
      <c r="H94" s="622">
        <v>1</v>
      </c>
      <c r="I94" s="679"/>
      <c r="J94" s="132" t="s">
        <v>1700</v>
      </c>
      <c r="K94" s="132" t="s">
        <v>1701</v>
      </c>
      <c r="L94" s="105">
        <v>12</v>
      </c>
      <c r="M94" s="105">
        <v>0</v>
      </c>
      <c r="N94" s="105"/>
      <c r="O94" s="95"/>
      <c r="P94" s="99">
        <v>8</v>
      </c>
      <c r="Q94" s="99">
        <v>4</v>
      </c>
      <c r="R94" s="99">
        <v>6</v>
      </c>
      <c r="S94" s="99">
        <v>13</v>
      </c>
      <c r="T94" s="99">
        <v>0</v>
      </c>
      <c r="U94" s="99">
        <v>0</v>
      </c>
      <c r="V94" s="84">
        <v>4</v>
      </c>
      <c r="W94" s="373">
        <v>1</v>
      </c>
      <c r="X94" s="373">
        <v>0</v>
      </c>
      <c r="Y94" s="99">
        <v>0</v>
      </c>
      <c r="Z94" s="99">
        <v>3</v>
      </c>
      <c r="AA94" s="99">
        <v>0</v>
      </c>
      <c r="AB94" s="99"/>
      <c r="AC94" s="99"/>
      <c r="AD94" s="99"/>
      <c r="AE94" s="99">
        <f>+SUM(N94:AC94)</f>
        <v>39</v>
      </c>
      <c r="AF94" s="95"/>
      <c r="AG94" s="102">
        <v>1</v>
      </c>
      <c r="AH94" s="94">
        <f t="shared" si="1"/>
        <v>1</v>
      </c>
      <c r="AI94" s="95"/>
      <c r="AJ94" s="95"/>
      <c r="AK94" s="95"/>
      <c r="AL94" s="95"/>
      <c r="AM94" s="95"/>
      <c r="AN94" s="95"/>
      <c r="AO94" s="95"/>
      <c r="AP94" s="95"/>
      <c r="AQ94" s="95"/>
      <c r="AR94" s="95"/>
      <c r="AS94" s="95"/>
      <c r="AT94" s="95"/>
    </row>
    <row r="95" spans="1:46" ht="105" customHeight="1" x14ac:dyDescent="0.25">
      <c r="A95" s="659"/>
      <c r="B95" s="817"/>
      <c r="C95" s="818"/>
      <c r="D95" s="632"/>
      <c r="E95" s="622"/>
      <c r="F95" s="622"/>
      <c r="G95" s="622"/>
      <c r="H95" s="622"/>
      <c r="I95" s="679"/>
      <c r="J95" s="132" t="s">
        <v>1702</v>
      </c>
      <c r="K95" s="132" t="s">
        <v>1703</v>
      </c>
      <c r="L95" s="105">
        <v>4</v>
      </c>
      <c r="M95" s="105">
        <v>2</v>
      </c>
      <c r="N95" s="105"/>
      <c r="O95" s="95"/>
      <c r="P95" s="99">
        <v>2</v>
      </c>
      <c r="Q95" s="99">
        <v>2</v>
      </c>
      <c r="R95" s="99">
        <v>0</v>
      </c>
      <c r="S95" s="99">
        <v>1</v>
      </c>
      <c r="T95" s="99">
        <v>0</v>
      </c>
      <c r="U95" s="99">
        <v>0</v>
      </c>
      <c r="V95" s="84">
        <v>2</v>
      </c>
      <c r="W95" s="373">
        <v>0</v>
      </c>
      <c r="X95" s="373">
        <v>0</v>
      </c>
      <c r="Y95" s="99">
        <v>0</v>
      </c>
      <c r="Z95" s="99"/>
      <c r="AA95" s="99"/>
      <c r="AB95" s="99"/>
      <c r="AC95" s="99"/>
      <c r="AD95" s="99"/>
      <c r="AE95" s="99">
        <f>+SUM(N95:AC95)</f>
        <v>7</v>
      </c>
      <c r="AF95" s="95"/>
      <c r="AG95" s="102">
        <v>1</v>
      </c>
      <c r="AH95" s="94">
        <f t="shared" si="1"/>
        <v>1</v>
      </c>
      <c r="AI95" s="95"/>
      <c r="AJ95" s="95"/>
      <c r="AK95" s="95"/>
      <c r="AL95" s="95"/>
      <c r="AM95" s="95"/>
      <c r="AN95" s="95"/>
      <c r="AO95" s="95"/>
      <c r="AP95" s="95"/>
      <c r="AQ95" s="95"/>
      <c r="AR95" s="95"/>
      <c r="AS95" s="95"/>
      <c r="AT95" s="95"/>
    </row>
    <row r="96" spans="1:46" ht="105" customHeight="1" x14ac:dyDescent="0.25">
      <c r="A96" s="659"/>
      <c r="B96" s="817"/>
      <c r="C96" s="818"/>
      <c r="D96" s="632"/>
      <c r="E96" s="622"/>
      <c r="F96" s="622"/>
      <c r="G96" s="622"/>
      <c r="H96" s="622"/>
      <c r="I96" s="679"/>
      <c r="J96" s="132" t="s">
        <v>1704</v>
      </c>
      <c r="K96" s="132" t="s">
        <v>1705</v>
      </c>
      <c r="L96" s="105">
        <v>12</v>
      </c>
      <c r="M96" s="105">
        <v>12</v>
      </c>
      <c r="N96" s="105"/>
      <c r="O96" s="95"/>
      <c r="P96" s="99">
        <v>3</v>
      </c>
      <c r="Q96" s="99">
        <v>5</v>
      </c>
      <c r="R96" s="99">
        <v>2</v>
      </c>
      <c r="S96" s="99">
        <v>8</v>
      </c>
      <c r="T96" s="99">
        <v>0</v>
      </c>
      <c r="U96" s="99">
        <v>0</v>
      </c>
      <c r="V96" s="84">
        <v>2</v>
      </c>
      <c r="W96" s="373">
        <v>0</v>
      </c>
      <c r="X96" s="373">
        <v>0</v>
      </c>
      <c r="Y96" s="99">
        <v>1</v>
      </c>
      <c r="Z96" s="99"/>
      <c r="AA96" s="99"/>
      <c r="AB96" s="99"/>
      <c r="AC96" s="99"/>
      <c r="AD96" s="99"/>
      <c r="AE96" s="99">
        <f>+SUM(N96:AC96)</f>
        <v>21</v>
      </c>
      <c r="AF96" s="95"/>
      <c r="AG96" s="102">
        <v>1</v>
      </c>
      <c r="AH96" s="94">
        <f t="shared" si="1"/>
        <v>1</v>
      </c>
      <c r="AI96" s="95"/>
      <c r="AJ96" s="95"/>
      <c r="AK96" s="95"/>
      <c r="AL96" s="95"/>
      <c r="AM96" s="95"/>
      <c r="AN96" s="95"/>
      <c r="AO96" s="95"/>
      <c r="AP96" s="95"/>
      <c r="AQ96" s="95"/>
      <c r="AR96" s="95"/>
      <c r="AS96" s="95"/>
      <c r="AT96" s="95"/>
    </row>
    <row r="97" spans="1:46" ht="90" customHeight="1" x14ac:dyDescent="0.25">
      <c r="A97" s="659"/>
      <c r="B97" s="817"/>
      <c r="C97" s="818"/>
      <c r="D97" s="632"/>
      <c r="E97" s="622"/>
      <c r="F97" s="622"/>
      <c r="G97" s="622"/>
      <c r="H97" s="622"/>
      <c r="I97" s="679"/>
      <c r="J97" s="132" t="s">
        <v>1706</v>
      </c>
      <c r="K97" s="132" t="s">
        <v>1707</v>
      </c>
      <c r="L97" s="105">
        <v>1</v>
      </c>
      <c r="M97" s="105">
        <v>1</v>
      </c>
      <c r="N97" s="105"/>
      <c r="O97" s="95"/>
      <c r="P97" s="99">
        <v>0</v>
      </c>
      <c r="Q97" s="99">
        <v>0</v>
      </c>
      <c r="R97" s="99">
        <v>0</v>
      </c>
      <c r="S97" s="99">
        <v>0</v>
      </c>
      <c r="T97" s="99">
        <v>0</v>
      </c>
      <c r="U97" s="99">
        <v>0</v>
      </c>
      <c r="V97" s="84">
        <v>0</v>
      </c>
      <c r="W97" s="373">
        <v>0</v>
      </c>
      <c r="X97" s="373">
        <v>0</v>
      </c>
      <c r="Y97" s="99"/>
      <c r="Z97" s="99">
        <v>2</v>
      </c>
      <c r="AA97" s="99">
        <v>0</v>
      </c>
      <c r="AB97" s="99"/>
      <c r="AC97" s="99"/>
      <c r="AD97" s="99"/>
      <c r="AE97" s="99">
        <f>+SUM(N97:AC97)</f>
        <v>2</v>
      </c>
      <c r="AF97" s="95"/>
      <c r="AG97" s="102">
        <v>1</v>
      </c>
      <c r="AH97" s="94">
        <f t="shared" si="1"/>
        <v>1</v>
      </c>
      <c r="AI97" s="95"/>
      <c r="AJ97" s="95"/>
      <c r="AK97" s="95"/>
      <c r="AL97" s="95"/>
      <c r="AM97" s="95"/>
      <c r="AN97" s="95"/>
      <c r="AO97" s="95"/>
      <c r="AP97" s="95"/>
      <c r="AQ97" s="95"/>
      <c r="AR97" s="95"/>
      <c r="AS97" s="95"/>
      <c r="AT97" s="95"/>
    </row>
    <row r="98" spans="1:46" ht="409.5" x14ac:dyDescent="0.25">
      <c r="A98" s="659"/>
      <c r="B98" s="817"/>
      <c r="C98" s="818"/>
      <c r="D98" s="632"/>
      <c r="E98" s="622" t="s">
        <v>1696</v>
      </c>
      <c r="F98" s="622" t="s">
        <v>1692</v>
      </c>
      <c r="G98" s="623">
        <v>0.4</v>
      </c>
      <c r="H98" s="623">
        <v>1</v>
      </c>
      <c r="I98" s="679"/>
      <c r="J98" s="245" t="s">
        <v>1708</v>
      </c>
      <c r="K98" s="245" t="s">
        <v>1709</v>
      </c>
      <c r="L98" s="105">
        <v>769</v>
      </c>
      <c r="M98" s="105">
        <v>254</v>
      </c>
      <c r="N98" s="105"/>
      <c r="O98" s="95"/>
      <c r="P98" s="99"/>
      <c r="Q98" s="99"/>
      <c r="R98" s="99"/>
      <c r="S98" s="99"/>
      <c r="T98" s="99"/>
      <c r="U98" s="99"/>
      <c r="V98" s="272"/>
      <c r="W98" s="272"/>
      <c r="X98" s="272"/>
      <c r="Y98" s="272"/>
      <c r="Z98" s="99"/>
      <c r="AA98" s="99"/>
      <c r="AB98" s="99"/>
      <c r="AC98" s="99"/>
      <c r="AD98" s="99"/>
      <c r="AE98" s="99"/>
      <c r="AF98" s="95"/>
      <c r="AG98" s="102">
        <f>+(AE98/L98)</f>
        <v>0</v>
      </c>
      <c r="AH98" s="94">
        <f t="shared" si="1"/>
        <v>0</v>
      </c>
      <c r="AI98" s="95"/>
      <c r="AJ98" s="95"/>
      <c r="AK98" s="95"/>
      <c r="AL98" s="95"/>
      <c r="AM98" s="95"/>
      <c r="AN98" s="95"/>
      <c r="AO98" s="95"/>
      <c r="AP98" s="95"/>
      <c r="AQ98" s="95"/>
      <c r="AR98" s="95"/>
      <c r="AS98" s="95"/>
      <c r="AT98" s="95"/>
    </row>
    <row r="99" spans="1:46" ht="80.25" customHeight="1" x14ac:dyDescent="0.25">
      <c r="A99" s="659"/>
      <c r="B99" s="817"/>
      <c r="C99" s="818"/>
      <c r="D99" s="632"/>
      <c r="E99" s="622"/>
      <c r="F99" s="622"/>
      <c r="G99" s="623"/>
      <c r="H99" s="623"/>
      <c r="I99" s="680"/>
      <c r="J99" s="132"/>
      <c r="K99" s="132"/>
      <c r="L99" s="105"/>
      <c r="M99" s="105"/>
      <c r="N99" s="105"/>
      <c r="O99" s="95"/>
      <c r="P99" s="95"/>
      <c r="Q99" s="95"/>
      <c r="R99" s="95"/>
      <c r="S99" s="134"/>
      <c r="T99" s="95"/>
      <c r="U99" s="95"/>
      <c r="V99" s="95"/>
      <c r="W99" s="95"/>
      <c r="X99" s="95"/>
      <c r="Y99" s="95"/>
      <c r="Z99" s="95"/>
      <c r="AA99" s="95"/>
      <c r="AB99" s="95"/>
      <c r="AC99" s="95"/>
      <c r="AD99" s="95"/>
      <c r="AE99" s="99"/>
      <c r="AF99" s="95"/>
      <c r="AG99" s="106">
        <f>AVERAGE(AG93:AG98)</f>
        <v>0.83333333333333337</v>
      </c>
      <c r="AH99" s="94">
        <f t="shared" si="1"/>
        <v>0.83333333333333337</v>
      </c>
      <c r="AI99" s="95"/>
      <c r="AJ99" s="95"/>
      <c r="AK99" s="95"/>
      <c r="AL99" s="95"/>
      <c r="AM99" s="95"/>
      <c r="AN99" s="95"/>
      <c r="AO99" s="95"/>
      <c r="AP99" s="95"/>
      <c r="AQ99" s="95"/>
      <c r="AR99" s="95"/>
      <c r="AS99" s="95"/>
      <c r="AT99" s="95"/>
    </row>
    <row r="100" spans="1:46" ht="52.5" customHeight="1" x14ac:dyDescent="0.25">
      <c r="A100" s="659"/>
      <c r="B100" s="817"/>
      <c r="C100" s="818"/>
      <c r="D100" s="632"/>
      <c r="E100" s="622"/>
      <c r="F100" s="622"/>
      <c r="G100" s="623"/>
      <c r="H100" s="623"/>
      <c r="I100" s="99"/>
      <c r="J100" s="132"/>
      <c r="K100" s="132"/>
      <c r="L100" s="105"/>
      <c r="M100" s="105"/>
      <c r="N100" s="105"/>
      <c r="O100" s="95"/>
      <c r="P100" s="95"/>
      <c r="Q100" s="95"/>
      <c r="R100" s="95"/>
      <c r="S100" s="134"/>
      <c r="T100" s="95"/>
      <c r="U100" s="95"/>
      <c r="V100" s="95"/>
      <c r="W100" s="95"/>
      <c r="X100" s="95"/>
      <c r="Y100" s="95"/>
      <c r="Z100" s="95"/>
      <c r="AA100" s="95"/>
      <c r="AB100" s="95"/>
      <c r="AC100" s="95"/>
      <c r="AD100" s="95"/>
      <c r="AE100" s="99"/>
      <c r="AF100" s="95"/>
      <c r="AG100" s="104">
        <f>+AG99</f>
        <v>0.83333333333333337</v>
      </c>
      <c r="AH100" s="94">
        <f t="shared" si="1"/>
        <v>0.83333333333333337</v>
      </c>
      <c r="AI100" s="95"/>
      <c r="AJ100" s="95"/>
      <c r="AK100" s="95"/>
      <c r="AL100" s="95"/>
      <c r="AM100" s="95"/>
      <c r="AN100" s="95"/>
      <c r="AO100" s="95"/>
      <c r="AP100" s="95"/>
      <c r="AQ100" s="95"/>
      <c r="AR100" s="95"/>
      <c r="AS100" s="95"/>
      <c r="AT100" s="95"/>
    </row>
    <row r="101" spans="1:46" ht="52.5" customHeight="1" x14ac:dyDescent="0.25">
      <c r="A101" s="659"/>
      <c r="B101" s="817"/>
      <c r="C101" s="818"/>
      <c r="D101" s="131"/>
      <c r="E101" s="132"/>
      <c r="F101" s="132"/>
      <c r="G101" s="206"/>
      <c r="H101" s="206"/>
      <c r="I101" s="99"/>
      <c r="J101" s="132"/>
      <c r="K101" s="132"/>
      <c r="L101" s="105"/>
      <c r="M101" s="105"/>
      <c r="N101" s="105"/>
      <c r="O101" s="95"/>
      <c r="P101" s="95"/>
      <c r="Q101" s="95"/>
      <c r="R101" s="95"/>
      <c r="S101" s="134"/>
      <c r="T101" s="95"/>
      <c r="U101" s="95"/>
      <c r="V101" s="95"/>
      <c r="W101" s="95"/>
      <c r="X101" s="95"/>
      <c r="Y101" s="95"/>
      <c r="Z101" s="95"/>
      <c r="AA101" s="95"/>
      <c r="AB101" s="95"/>
      <c r="AC101" s="95"/>
      <c r="AD101" s="95"/>
      <c r="AE101" s="99"/>
      <c r="AF101" s="95"/>
      <c r="AG101" s="113">
        <f>+(AG86+AG92+AG100)/3</f>
        <v>0.71204940623846735</v>
      </c>
      <c r="AH101" s="94">
        <f t="shared" si="1"/>
        <v>0.71204940623846735</v>
      </c>
      <c r="AI101" s="95"/>
      <c r="AJ101" s="95"/>
      <c r="AK101" s="95"/>
      <c r="AL101" s="95"/>
      <c r="AM101" s="95"/>
      <c r="AN101" s="95"/>
      <c r="AO101" s="95"/>
      <c r="AP101" s="95"/>
      <c r="AQ101" s="95"/>
      <c r="AR101" s="95"/>
      <c r="AS101" s="95"/>
      <c r="AT101" s="95"/>
    </row>
    <row r="102" spans="1:46" ht="62.25" customHeight="1" thickBot="1" x14ac:dyDescent="0.3">
      <c r="A102" s="659"/>
      <c r="B102" s="817"/>
      <c r="C102" s="127"/>
      <c r="D102" s="131"/>
      <c r="E102" s="132"/>
      <c r="F102" s="132"/>
      <c r="G102" s="206"/>
      <c r="H102" s="206"/>
      <c r="I102" s="99"/>
      <c r="J102" s="132"/>
      <c r="K102" s="132"/>
      <c r="L102" s="105"/>
      <c r="M102" s="105"/>
      <c r="N102" s="105"/>
      <c r="O102" s="95"/>
      <c r="P102" s="95"/>
      <c r="Q102" s="95"/>
      <c r="R102" s="95"/>
      <c r="S102" s="134"/>
      <c r="T102" s="95"/>
      <c r="U102" s="95"/>
      <c r="V102" s="95"/>
      <c r="W102" s="95"/>
      <c r="X102" s="95"/>
      <c r="Y102" s="95"/>
      <c r="Z102" s="95"/>
      <c r="AA102" s="95"/>
      <c r="AB102" s="95"/>
      <c r="AC102" s="95"/>
      <c r="AD102" s="95"/>
      <c r="AE102" s="99"/>
      <c r="AF102" s="95"/>
      <c r="AG102" s="87">
        <f>+(AG72+AG101)/2</f>
        <v>0.71519389679207312</v>
      </c>
      <c r="AH102" s="94">
        <f t="shared" si="1"/>
        <v>0.71519389679207312</v>
      </c>
      <c r="AI102" s="95"/>
      <c r="AJ102" s="95"/>
      <c r="AK102" s="95"/>
      <c r="AL102" s="95"/>
      <c r="AM102" s="95"/>
      <c r="AN102" s="95"/>
      <c r="AO102" s="95"/>
      <c r="AP102" s="95"/>
      <c r="AQ102" s="95"/>
      <c r="AR102" s="95"/>
      <c r="AS102" s="95"/>
      <c r="AT102" s="95"/>
    </row>
    <row r="103" spans="1:46" ht="75" customHeight="1" thickBot="1" x14ac:dyDescent="0.3">
      <c r="A103" s="659"/>
      <c r="B103" s="808" t="s">
        <v>2120</v>
      </c>
      <c r="C103" s="832" t="s">
        <v>1711</v>
      </c>
      <c r="D103" s="632" t="s">
        <v>1712</v>
      </c>
      <c r="E103" s="622" t="s">
        <v>1697</v>
      </c>
      <c r="F103" s="622" t="s">
        <v>1693</v>
      </c>
      <c r="G103" s="623">
        <v>0.75</v>
      </c>
      <c r="H103" s="623">
        <v>0.25</v>
      </c>
      <c r="I103" s="632" t="s">
        <v>1718</v>
      </c>
      <c r="J103" s="376" t="s">
        <v>1708</v>
      </c>
      <c r="K103" s="132" t="s">
        <v>1709</v>
      </c>
      <c r="L103" s="132">
        <v>769</v>
      </c>
      <c r="M103" s="132">
        <v>254</v>
      </c>
      <c r="N103" s="132"/>
      <c r="O103" s="95"/>
      <c r="P103" s="99">
        <v>381</v>
      </c>
      <c r="Q103" s="99">
        <v>45</v>
      </c>
      <c r="R103" s="99">
        <v>82</v>
      </c>
      <c r="S103" s="99">
        <v>0</v>
      </c>
      <c r="T103" s="99">
        <v>99</v>
      </c>
      <c r="U103" s="99">
        <v>240</v>
      </c>
      <c r="V103" s="377"/>
      <c r="W103" s="377"/>
      <c r="X103" s="386">
        <v>0</v>
      </c>
      <c r="Y103" s="377">
        <v>1689</v>
      </c>
      <c r="Z103" s="377"/>
      <c r="AA103" s="377">
        <v>1110</v>
      </c>
      <c r="AB103" s="377"/>
      <c r="AC103" s="377"/>
      <c r="AD103" s="377"/>
      <c r="AE103" s="238">
        <f>+Y103+AA103+P103</f>
        <v>3180</v>
      </c>
      <c r="AF103" s="95"/>
      <c r="AG103" s="102">
        <v>1</v>
      </c>
      <c r="AH103" s="94">
        <f t="shared" si="1"/>
        <v>1</v>
      </c>
      <c r="AI103" s="95"/>
      <c r="AJ103" s="95"/>
      <c r="AK103" s="95"/>
      <c r="AL103" s="95"/>
      <c r="AM103" s="95"/>
      <c r="AN103" s="95"/>
      <c r="AO103" s="95"/>
      <c r="AP103" s="95"/>
      <c r="AQ103" s="95"/>
      <c r="AR103" s="95"/>
      <c r="AS103" s="95"/>
      <c r="AT103" s="95"/>
    </row>
    <row r="104" spans="1:46" ht="75" customHeight="1" x14ac:dyDescent="0.25">
      <c r="A104" s="659"/>
      <c r="B104" s="808"/>
      <c r="C104" s="832"/>
      <c r="D104" s="632"/>
      <c r="E104" s="622"/>
      <c r="F104" s="622"/>
      <c r="G104" s="623"/>
      <c r="H104" s="623"/>
      <c r="I104" s="632"/>
      <c r="J104" s="132"/>
      <c r="K104" s="132"/>
      <c r="L104" s="132"/>
      <c r="M104" s="132"/>
      <c r="N104" s="132"/>
      <c r="O104" s="95"/>
      <c r="P104" s="99"/>
      <c r="Q104" s="99"/>
      <c r="R104" s="99"/>
      <c r="S104" s="99"/>
      <c r="T104" s="99"/>
      <c r="U104" s="99"/>
      <c r="V104" s="377"/>
      <c r="W104" s="377"/>
      <c r="X104" s="377"/>
      <c r="Y104" s="377"/>
      <c r="Z104" s="377"/>
      <c r="AA104" s="377"/>
      <c r="AB104" s="377"/>
      <c r="AC104" s="377"/>
      <c r="AD104" s="377"/>
      <c r="AE104" s="377"/>
      <c r="AF104" s="95"/>
      <c r="AG104" s="235">
        <f>+AG103</f>
        <v>1</v>
      </c>
      <c r="AH104" s="94">
        <f t="shared" si="1"/>
        <v>1</v>
      </c>
      <c r="AI104" s="95"/>
      <c r="AJ104" s="95"/>
      <c r="AK104" s="95"/>
      <c r="AL104" s="95"/>
      <c r="AM104" s="95"/>
      <c r="AN104" s="95"/>
      <c r="AO104" s="95"/>
      <c r="AP104" s="95"/>
      <c r="AQ104" s="95"/>
      <c r="AR104" s="95"/>
      <c r="AS104" s="95"/>
      <c r="AT104" s="95"/>
    </row>
    <row r="105" spans="1:46" ht="48.75" customHeight="1" thickBot="1" x14ac:dyDescent="0.3">
      <c r="A105" s="659"/>
      <c r="B105" s="808"/>
      <c r="C105" s="832"/>
      <c r="D105" s="632"/>
      <c r="E105" s="622" t="s">
        <v>1714</v>
      </c>
      <c r="F105" s="622" t="s">
        <v>1713</v>
      </c>
      <c r="G105" s="631">
        <v>0.05</v>
      </c>
      <c r="H105" s="812">
        <v>39045</v>
      </c>
      <c r="I105" s="632" t="s">
        <v>1719</v>
      </c>
      <c r="J105" s="250" t="s">
        <v>1715</v>
      </c>
      <c r="K105" s="132" t="s">
        <v>1716</v>
      </c>
      <c r="L105" s="132">
        <v>47460</v>
      </c>
      <c r="M105" s="132">
        <v>39045</v>
      </c>
      <c r="N105" s="132"/>
      <c r="O105" s="95"/>
      <c r="P105" s="99">
        <v>9989</v>
      </c>
      <c r="Q105" s="99">
        <v>12137</v>
      </c>
      <c r="R105" s="99">
        <v>21900</v>
      </c>
      <c r="S105" s="99">
        <v>17529</v>
      </c>
      <c r="T105" s="99">
        <v>15934</v>
      </c>
      <c r="U105" s="99">
        <v>58506</v>
      </c>
      <c r="V105" s="387">
        <f>W105-7538</f>
        <v>113387</v>
      </c>
      <c r="W105" s="387">
        <f>48549+58506+13870</f>
        <v>120925</v>
      </c>
      <c r="X105" s="387">
        <f>W105+5598</f>
        <v>126523</v>
      </c>
      <c r="Y105" s="377">
        <v>131397</v>
      </c>
      <c r="Z105" s="377">
        <v>8930</v>
      </c>
      <c r="AA105" s="377">
        <v>16552</v>
      </c>
      <c r="AB105" s="377"/>
      <c r="AC105" s="377"/>
      <c r="AD105" s="377"/>
      <c r="AE105" s="238">
        <f>+Y105+AA105+Z105</f>
        <v>156879</v>
      </c>
      <c r="AF105" s="95"/>
      <c r="AG105" s="102">
        <v>1</v>
      </c>
      <c r="AH105" s="94">
        <f t="shared" si="1"/>
        <v>1</v>
      </c>
      <c r="AI105" s="95"/>
      <c r="AJ105" s="95"/>
      <c r="AK105" s="95"/>
      <c r="AL105" s="95"/>
      <c r="AM105" s="95"/>
      <c r="AN105" s="95"/>
      <c r="AO105" s="95"/>
      <c r="AP105" s="95"/>
      <c r="AQ105" s="95"/>
      <c r="AR105" s="95"/>
      <c r="AS105" s="95"/>
      <c r="AT105" s="95"/>
    </row>
    <row r="106" spans="1:46" ht="63" customHeight="1" x14ac:dyDescent="0.25">
      <c r="A106" s="659"/>
      <c r="B106" s="808"/>
      <c r="C106" s="832"/>
      <c r="D106" s="632"/>
      <c r="E106" s="622"/>
      <c r="F106" s="622"/>
      <c r="G106" s="631"/>
      <c r="H106" s="812"/>
      <c r="I106" s="632"/>
      <c r="J106" s="132"/>
      <c r="K106" s="132"/>
      <c r="L106" s="132"/>
      <c r="M106" s="132"/>
      <c r="N106" s="132"/>
      <c r="O106" s="95"/>
      <c r="P106" s="95"/>
      <c r="Q106" s="95"/>
      <c r="R106" s="99"/>
      <c r="S106" s="99"/>
      <c r="T106" s="99"/>
      <c r="U106" s="99"/>
      <c r="V106" s="99"/>
      <c r="W106" s="99"/>
      <c r="X106" s="99"/>
      <c r="Y106" s="99"/>
      <c r="Z106" s="99"/>
      <c r="AA106" s="99"/>
      <c r="AB106" s="99"/>
      <c r="AC106" s="99"/>
      <c r="AD106" s="99"/>
      <c r="AE106" s="99"/>
      <c r="AF106" s="95"/>
      <c r="AG106" s="106">
        <f>+AG105</f>
        <v>1</v>
      </c>
      <c r="AH106" s="94">
        <f t="shared" si="1"/>
        <v>1</v>
      </c>
      <c r="AI106" s="95"/>
      <c r="AJ106" s="95"/>
      <c r="AK106" s="95"/>
      <c r="AL106" s="95"/>
      <c r="AM106" s="95"/>
      <c r="AN106" s="95"/>
      <c r="AO106" s="95"/>
      <c r="AP106" s="95"/>
      <c r="AQ106" s="95"/>
      <c r="AR106" s="95"/>
      <c r="AS106" s="95"/>
      <c r="AT106" s="95"/>
    </row>
    <row r="107" spans="1:46" ht="63" customHeight="1" x14ac:dyDescent="0.25">
      <c r="A107" s="659"/>
      <c r="B107" s="808"/>
      <c r="C107" s="832"/>
      <c r="D107" s="632"/>
      <c r="E107" s="132"/>
      <c r="F107" s="132"/>
      <c r="G107" s="211"/>
      <c r="H107" s="240"/>
      <c r="I107" s="131"/>
      <c r="J107" s="132"/>
      <c r="K107" s="132"/>
      <c r="L107" s="132"/>
      <c r="M107" s="132"/>
      <c r="N107" s="132"/>
      <c r="O107" s="95"/>
      <c r="P107" s="95"/>
      <c r="Q107" s="95"/>
      <c r="R107" s="95"/>
      <c r="S107" s="134"/>
      <c r="T107" s="95"/>
      <c r="U107" s="95"/>
      <c r="V107" s="95"/>
      <c r="W107" s="95"/>
      <c r="X107" s="95"/>
      <c r="Y107" s="95"/>
      <c r="Z107" s="95"/>
      <c r="AA107" s="95"/>
      <c r="AB107" s="95"/>
      <c r="AC107" s="95"/>
      <c r="AD107" s="95"/>
      <c r="AE107" s="99"/>
      <c r="AF107" s="95"/>
      <c r="AG107" s="209">
        <f>+(AG104+AG106)/2</f>
        <v>1</v>
      </c>
      <c r="AH107" s="94">
        <f t="shared" si="1"/>
        <v>1</v>
      </c>
      <c r="AI107" s="95"/>
      <c r="AJ107" s="95"/>
      <c r="AK107" s="95"/>
      <c r="AL107" s="95"/>
      <c r="AM107" s="95"/>
      <c r="AN107" s="95"/>
      <c r="AO107" s="95"/>
      <c r="AP107" s="95"/>
      <c r="AQ107" s="95"/>
      <c r="AR107" s="95"/>
      <c r="AS107" s="95"/>
      <c r="AT107" s="95"/>
    </row>
    <row r="108" spans="1:46" ht="79.5" customHeight="1" x14ac:dyDescent="0.25">
      <c r="A108" s="659"/>
      <c r="B108" s="808"/>
      <c r="C108" s="832"/>
      <c r="D108" s="642" t="s">
        <v>2148</v>
      </c>
      <c r="E108" s="622" t="s">
        <v>1720</v>
      </c>
      <c r="F108" s="622" t="s">
        <v>1721</v>
      </c>
      <c r="G108" s="622">
        <v>300</v>
      </c>
      <c r="H108" s="622">
        <v>399</v>
      </c>
      <c r="I108" s="828" t="s">
        <v>1768</v>
      </c>
      <c r="J108" s="568" t="s">
        <v>1722</v>
      </c>
      <c r="K108" s="131" t="s">
        <v>1723</v>
      </c>
      <c r="L108" s="131">
        <v>14</v>
      </c>
      <c r="M108" s="131">
        <v>2</v>
      </c>
      <c r="N108" s="131"/>
      <c r="O108" s="95"/>
      <c r="P108" s="99">
        <v>0</v>
      </c>
      <c r="Q108" s="99">
        <v>0</v>
      </c>
      <c r="R108" s="99">
        <v>1</v>
      </c>
      <c r="S108" s="99">
        <v>0</v>
      </c>
      <c r="T108" s="364">
        <v>3</v>
      </c>
      <c r="U108" s="99">
        <v>0</v>
      </c>
      <c r="V108" s="364">
        <v>0</v>
      </c>
      <c r="W108" s="364">
        <v>0</v>
      </c>
      <c r="X108" s="364">
        <v>0</v>
      </c>
      <c r="Y108" s="364">
        <v>0</v>
      </c>
      <c r="Z108" s="364">
        <v>0</v>
      </c>
      <c r="AA108" s="364">
        <v>0</v>
      </c>
      <c r="AB108" s="364"/>
      <c r="AC108" s="364"/>
      <c r="AD108" s="364"/>
      <c r="AE108" s="364">
        <f>+T108</f>
        <v>3</v>
      </c>
      <c r="AF108" s="95"/>
      <c r="AG108" s="102">
        <f>+(AE108/L108)</f>
        <v>0.21428571428571427</v>
      </c>
      <c r="AH108" s="94">
        <f t="shared" si="1"/>
        <v>0.21428571428571427</v>
      </c>
      <c r="AI108" s="95"/>
      <c r="AJ108" s="236">
        <v>1860000000</v>
      </c>
      <c r="AK108" s="95"/>
      <c r="AL108" s="95"/>
      <c r="AM108" s="95"/>
      <c r="AN108" s="95"/>
      <c r="AO108" s="95"/>
      <c r="AP108" s="95"/>
      <c r="AQ108" s="95"/>
      <c r="AR108" s="95"/>
      <c r="AS108" s="236">
        <v>1482467187</v>
      </c>
      <c r="AT108" s="234">
        <f>+AS108/AJ108</f>
        <v>0.7970253693548387</v>
      </c>
    </row>
    <row r="109" spans="1:46" ht="79.5" customHeight="1" x14ac:dyDescent="0.25">
      <c r="A109" s="659"/>
      <c r="B109" s="808"/>
      <c r="C109" s="832"/>
      <c r="D109" s="642"/>
      <c r="E109" s="622"/>
      <c r="F109" s="622"/>
      <c r="G109" s="622"/>
      <c r="H109" s="622"/>
      <c r="I109" s="828"/>
      <c r="J109" s="131"/>
      <c r="K109" s="131"/>
      <c r="L109" s="131"/>
      <c r="M109" s="131"/>
      <c r="N109" s="131"/>
      <c r="O109" s="95"/>
      <c r="P109" s="99"/>
      <c r="Q109" s="99"/>
      <c r="R109" s="99"/>
      <c r="S109" s="99"/>
      <c r="T109" s="99"/>
      <c r="U109" s="99"/>
      <c r="V109" s="99"/>
      <c r="W109" s="99"/>
      <c r="X109" s="99"/>
      <c r="Y109" s="99"/>
      <c r="Z109" s="99"/>
      <c r="AA109" s="99"/>
      <c r="AB109" s="99"/>
      <c r="AC109" s="99"/>
      <c r="AD109" s="99"/>
      <c r="AE109" s="99"/>
      <c r="AF109" s="95"/>
      <c r="AG109" s="106">
        <f>+AG108</f>
        <v>0.21428571428571427</v>
      </c>
      <c r="AH109" s="94">
        <f t="shared" si="1"/>
        <v>0.21428571428571427</v>
      </c>
      <c r="AI109" s="95"/>
      <c r="AJ109" s="95"/>
      <c r="AK109" s="95"/>
      <c r="AL109" s="95"/>
      <c r="AM109" s="95"/>
      <c r="AN109" s="95"/>
      <c r="AO109" s="95"/>
      <c r="AP109" s="95"/>
      <c r="AQ109" s="95"/>
      <c r="AR109" s="95"/>
      <c r="AS109" s="95"/>
      <c r="AT109" s="95"/>
    </row>
    <row r="110" spans="1:46" ht="300" x14ac:dyDescent="0.25">
      <c r="A110" s="659"/>
      <c r="B110" s="808"/>
      <c r="C110" s="832"/>
      <c r="D110" s="642"/>
      <c r="E110" s="622"/>
      <c r="F110" s="622"/>
      <c r="G110" s="622"/>
      <c r="H110" s="622"/>
      <c r="I110" s="828" t="s">
        <v>1769</v>
      </c>
      <c r="J110" s="251" t="s">
        <v>1724</v>
      </c>
      <c r="K110" s="131" t="s">
        <v>1725</v>
      </c>
      <c r="L110" s="131">
        <v>1</v>
      </c>
      <c r="M110" s="131">
        <v>1</v>
      </c>
      <c r="N110" s="131"/>
      <c r="O110" s="95"/>
      <c r="P110" s="99">
        <v>0</v>
      </c>
      <c r="Q110" s="99">
        <v>0</v>
      </c>
      <c r="R110" s="99">
        <v>0</v>
      </c>
      <c r="S110" s="99">
        <v>0</v>
      </c>
      <c r="T110" s="364">
        <v>0</v>
      </c>
      <c r="U110" s="99"/>
      <c r="V110" s="364">
        <v>0</v>
      </c>
      <c r="W110" s="364">
        <v>0</v>
      </c>
      <c r="X110" s="364">
        <v>0</v>
      </c>
      <c r="Y110" s="99">
        <v>0</v>
      </c>
      <c r="Z110" s="99">
        <v>0</v>
      </c>
      <c r="AA110" s="99">
        <v>0</v>
      </c>
      <c r="AB110" s="99"/>
      <c r="AC110" s="99"/>
      <c r="AD110" s="99"/>
      <c r="AE110" s="99">
        <f>+SUM(N110:AC110)</f>
        <v>0</v>
      </c>
      <c r="AF110" s="95"/>
      <c r="AG110" s="102">
        <f>+(AE110/L110)</f>
        <v>0</v>
      </c>
      <c r="AH110" s="94">
        <f t="shared" si="1"/>
        <v>0</v>
      </c>
      <c r="AI110" s="95"/>
      <c r="AJ110" s="95"/>
      <c r="AK110" s="95"/>
      <c r="AL110" s="95"/>
      <c r="AM110" s="95"/>
      <c r="AN110" s="95"/>
      <c r="AO110" s="95"/>
      <c r="AP110" s="95"/>
      <c r="AQ110" s="95"/>
      <c r="AR110" s="95"/>
      <c r="AS110" s="95"/>
      <c r="AT110" s="95"/>
    </row>
    <row r="111" spans="1:46" ht="409.5" x14ac:dyDescent="0.25">
      <c r="A111" s="659"/>
      <c r="B111" s="808"/>
      <c r="C111" s="832"/>
      <c r="D111" s="642"/>
      <c r="E111" s="622"/>
      <c r="F111" s="622"/>
      <c r="G111" s="622"/>
      <c r="H111" s="622"/>
      <c r="I111" s="828"/>
      <c r="J111" s="251" t="s">
        <v>1726</v>
      </c>
      <c r="K111" s="131" t="s">
        <v>1727</v>
      </c>
      <c r="L111" s="131">
        <v>1</v>
      </c>
      <c r="M111" s="131">
        <v>0</v>
      </c>
      <c r="N111" s="131"/>
      <c r="O111" s="95"/>
      <c r="P111" s="99">
        <v>0</v>
      </c>
      <c r="Q111" s="99">
        <v>0</v>
      </c>
      <c r="R111" s="99">
        <v>0</v>
      </c>
      <c r="S111" s="99">
        <v>0</v>
      </c>
      <c r="T111" s="364">
        <v>0</v>
      </c>
      <c r="U111" s="364"/>
      <c r="V111" s="364">
        <v>0</v>
      </c>
      <c r="W111" s="364">
        <v>0</v>
      </c>
      <c r="X111" s="364">
        <v>0</v>
      </c>
      <c r="Y111" s="99">
        <v>0</v>
      </c>
      <c r="Z111" s="99">
        <v>0</v>
      </c>
      <c r="AA111" s="99">
        <v>0</v>
      </c>
      <c r="AB111" s="99"/>
      <c r="AC111" s="99"/>
      <c r="AD111" s="99"/>
      <c r="AE111" s="99">
        <f>+SUM(N111:AC111)</f>
        <v>0</v>
      </c>
      <c r="AF111" s="95"/>
      <c r="AG111" s="102">
        <f>+(AE111/L111)</f>
        <v>0</v>
      </c>
      <c r="AH111" s="94">
        <f t="shared" si="1"/>
        <v>0</v>
      </c>
      <c r="AI111" s="95"/>
      <c r="AJ111" s="95"/>
      <c r="AK111" s="95"/>
      <c r="AL111" s="95"/>
      <c r="AM111" s="95"/>
      <c r="AN111" s="95"/>
      <c r="AO111" s="95"/>
      <c r="AP111" s="95"/>
      <c r="AQ111" s="95"/>
      <c r="AR111" s="95"/>
      <c r="AS111" s="95"/>
      <c r="AT111" s="95"/>
    </row>
    <row r="112" spans="1:46" ht="409.5" x14ac:dyDescent="0.25">
      <c r="A112" s="659"/>
      <c r="B112" s="808"/>
      <c r="C112" s="832"/>
      <c r="D112" s="642"/>
      <c r="E112" s="622"/>
      <c r="F112" s="622"/>
      <c r="G112" s="622"/>
      <c r="H112" s="622"/>
      <c r="I112" s="828"/>
      <c r="J112" s="251" t="s">
        <v>1728</v>
      </c>
      <c r="K112" s="131" t="s">
        <v>1729</v>
      </c>
      <c r="L112" s="131">
        <v>8</v>
      </c>
      <c r="M112" s="131">
        <v>2</v>
      </c>
      <c r="N112" s="131"/>
      <c r="O112" s="95"/>
      <c r="P112" s="99">
        <v>0</v>
      </c>
      <c r="Q112" s="99">
        <v>2</v>
      </c>
      <c r="R112" s="99">
        <v>0</v>
      </c>
      <c r="S112" s="99">
        <v>0</v>
      </c>
      <c r="T112" s="364">
        <v>0</v>
      </c>
      <c r="U112" s="99"/>
      <c r="V112" s="336">
        <v>0</v>
      </c>
      <c r="W112" s="336">
        <v>0</v>
      </c>
      <c r="X112" s="336">
        <v>0</v>
      </c>
      <c r="Y112" s="99">
        <v>0</v>
      </c>
      <c r="Z112" s="99">
        <v>1</v>
      </c>
      <c r="AA112" s="99">
        <v>1</v>
      </c>
      <c r="AB112" s="99"/>
      <c r="AC112" s="99"/>
      <c r="AD112" s="99"/>
      <c r="AE112" s="99">
        <f>+SUM(N112:AC112)</f>
        <v>4</v>
      </c>
      <c r="AF112" s="95"/>
      <c r="AG112" s="102">
        <f>+(AE112/L112)</f>
        <v>0.5</v>
      </c>
      <c r="AH112" s="94">
        <f t="shared" si="1"/>
        <v>0.5</v>
      </c>
      <c r="AI112" s="95"/>
      <c r="AJ112" s="95"/>
      <c r="AK112" s="95"/>
      <c r="AL112" s="95"/>
      <c r="AM112" s="95"/>
      <c r="AN112" s="95"/>
      <c r="AO112" s="95"/>
      <c r="AP112" s="95"/>
      <c r="AQ112" s="95"/>
      <c r="AR112" s="95"/>
      <c r="AS112" s="95"/>
      <c r="AT112" s="95"/>
    </row>
    <row r="113" spans="1:46" ht="409.5" x14ac:dyDescent="0.25">
      <c r="A113" s="659"/>
      <c r="B113" s="808"/>
      <c r="C113" s="832"/>
      <c r="D113" s="642"/>
      <c r="E113" s="622"/>
      <c r="F113" s="622"/>
      <c r="G113" s="622"/>
      <c r="H113" s="622"/>
      <c r="I113" s="828"/>
      <c r="J113" s="251" t="s">
        <v>1730</v>
      </c>
      <c r="K113" s="131" t="s">
        <v>1731</v>
      </c>
      <c r="L113" s="131">
        <v>160</v>
      </c>
      <c r="M113" s="131">
        <v>107</v>
      </c>
      <c r="N113" s="131"/>
      <c r="O113" s="95"/>
      <c r="P113" s="99">
        <v>4</v>
      </c>
      <c r="Q113" s="99">
        <v>4</v>
      </c>
      <c r="R113" s="99">
        <v>4</v>
      </c>
      <c r="S113" s="99">
        <v>4</v>
      </c>
      <c r="T113" s="364">
        <v>3</v>
      </c>
      <c r="U113" s="99"/>
      <c r="V113" s="99">
        <v>0</v>
      </c>
      <c r="W113" s="99">
        <v>0</v>
      </c>
      <c r="X113" s="363">
        <v>126</v>
      </c>
      <c r="Y113" s="99">
        <v>0</v>
      </c>
      <c r="Z113" s="99"/>
      <c r="AA113" s="99"/>
      <c r="AB113" s="99"/>
      <c r="AC113" s="99"/>
      <c r="AD113" s="99"/>
      <c r="AE113" s="99">
        <f>+X113</f>
        <v>126</v>
      </c>
      <c r="AF113" s="95"/>
      <c r="AG113" s="102">
        <f>+AE113/L113</f>
        <v>0.78749999999999998</v>
      </c>
      <c r="AH113" s="94">
        <f t="shared" si="1"/>
        <v>0.78749999999999998</v>
      </c>
      <c r="AI113" s="95"/>
      <c r="AJ113" s="95"/>
      <c r="AK113" s="95"/>
      <c r="AL113" s="95"/>
      <c r="AM113" s="95"/>
      <c r="AN113" s="95"/>
      <c r="AO113" s="95"/>
      <c r="AP113" s="95"/>
      <c r="AQ113" s="95"/>
      <c r="AR113" s="95"/>
      <c r="AS113" s="95"/>
      <c r="AT113" s="95"/>
    </row>
    <row r="114" spans="1:46" ht="21" x14ac:dyDescent="0.25">
      <c r="A114" s="659"/>
      <c r="B114" s="808"/>
      <c r="C114" s="832"/>
      <c r="D114" s="642"/>
      <c r="E114" s="622"/>
      <c r="F114" s="622"/>
      <c r="G114" s="622"/>
      <c r="H114" s="622"/>
      <c r="I114" s="828"/>
      <c r="J114" s="98"/>
      <c r="K114" s="98"/>
      <c r="L114" s="132"/>
      <c r="M114" s="132"/>
      <c r="N114" s="132"/>
      <c r="O114" s="95"/>
      <c r="P114" s="99"/>
      <c r="Q114" s="99"/>
      <c r="R114" s="99"/>
      <c r="S114" s="99"/>
      <c r="T114" s="99"/>
      <c r="U114" s="99"/>
      <c r="V114" s="99"/>
      <c r="W114" s="99"/>
      <c r="X114" s="99"/>
      <c r="Y114" s="99"/>
      <c r="Z114" s="99"/>
      <c r="AA114" s="99"/>
      <c r="AB114" s="99"/>
      <c r="AC114" s="99"/>
      <c r="AD114" s="99"/>
      <c r="AE114" s="99">
        <f>+SUM(N114:AC114)</f>
        <v>0</v>
      </c>
      <c r="AF114" s="95"/>
      <c r="AG114" s="102">
        <v>0</v>
      </c>
      <c r="AH114" s="94">
        <f t="shared" si="1"/>
        <v>0</v>
      </c>
      <c r="AI114" s="95"/>
      <c r="AJ114" s="95"/>
      <c r="AK114" s="95"/>
      <c r="AL114" s="95"/>
      <c r="AM114" s="95"/>
      <c r="AN114" s="95"/>
      <c r="AO114" s="95"/>
      <c r="AP114" s="95"/>
      <c r="AQ114" s="95"/>
      <c r="AR114" s="95"/>
      <c r="AS114" s="95"/>
      <c r="AT114" s="95"/>
    </row>
    <row r="115" spans="1:46" ht="59.25" customHeight="1" x14ac:dyDescent="0.25">
      <c r="A115" s="659"/>
      <c r="B115" s="808"/>
      <c r="C115" s="832"/>
      <c r="D115" s="642"/>
      <c r="E115" s="622"/>
      <c r="F115" s="622"/>
      <c r="G115" s="622"/>
      <c r="H115" s="622"/>
      <c r="I115" s="828"/>
      <c r="J115" s="98"/>
      <c r="K115" s="98"/>
      <c r="L115" s="132"/>
      <c r="M115" s="132"/>
      <c r="N115" s="132"/>
      <c r="O115" s="95"/>
      <c r="P115" s="95"/>
      <c r="Q115" s="95"/>
      <c r="R115" s="95"/>
      <c r="S115" s="134"/>
      <c r="T115" s="95"/>
      <c r="U115" s="95"/>
      <c r="V115" s="95"/>
      <c r="W115" s="95"/>
      <c r="X115" s="95"/>
      <c r="Y115" s="95"/>
      <c r="Z115" s="95"/>
      <c r="AA115" s="95"/>
      <c r="AB115" s="95"/>
      <c r="AC115" s="95"/>
      <c r="AD115" s="95"/>
      <c r="AE115" s="99"/>
      <c r="AF115" s="95"/>
      <c r="AG115" s="106">
        <f>AVERAGE(AG110:AG114)</f>
        <v>0.25750000000000001</v>
      </c>
      <c r="AH115" s="94">
        <f t="shared" si="1"/>
        <v>0.25750000000000001</v>
      </c>
      <c r="AI115" s="95"/>
      <c r="AJ115" s="95"/>
      <c r="AK115" s="95"/>
      <c r="AL115" s="95"/>
      <c r="AM115" s="95"/>
      <c r="AN115" s="95"/>
      <c r="AO115" s="95"/>
      <c r="AP115" s="95"/>
      <c r="AQ115" s="95"/>
      <c r="AR115" s="95"/>
      <c r="AS115" s="95"/>
      <c r="AT115" s="95"/>
    </row>
    <row r="116" spans="1:46" ht="409.5" x14ac:dyDescent="0.25">
      <c r="A116" s="659"/>
      <c r="B116" s="808"/>
      <c r="C116" s="832"/>
      <c r="D116" s="642"/>
      <c r="E116" s="622"/>
      <c r="F116" s="622"/>
      <c r="G116" s="622"/>
      <c r="H116" s="622"/>
      <c r="I116" s="827" t="s">
        <v>1770</v>
      </c>
      <c r="J116" s="251" t="s">
        <v>1736</v>
      </c>
      <c r="K116" s="131" t="s">
        <v>1737</v>
      </c>
      <c r="L116" s="131">
        <v>75</v>
      </c>
      <c r="M116" s="131">
        <v>24</v>
      </c>
      <c r="N116" s="131"/>
      <c r="O116" s="95"/>
      <c r="P116" s="99">
        <v>0</v>
      </c>
      <c r="Q116" s="99">
        <v>0</v>
      </c>
      <c r="R116" s="99">
        <v>0</v>
      </c>
      <c r="S116" s="99">
        <v>0</v>
      </c>
      <c r="T116" s="364">
        <v>600</v>
      </c>
      <c r="U116" s="99"/>
      <c r="V116" s="99">
        <v>0</v>
      </c>
      <c r="W116" s="99">
        <v>0</v>
      </c>
      <c r="X116" s="99">
        <v>0</v>
      </c>
      <c r="Y116" s="99">
        <v>0</v>
      </c>
      <c r="Z116" s="99">
        <v>0</v>
      </c>
      <c r="AA116" s="99">
        <v>0</v>
      </c>
      <c r="AB116" s="99"/>
      <c r="AC116" s="99"/>
      <c r="AD116" s="99"/>
      <c r="AE116" s="99">
        <f>+SUM(N116:AC116)</f>
        <v>600</v>
      </c>
      <c r="AF116" s="95"/>
      <c r="AG116" s="102">
        <v>1</v>
      </c>
      <c r="AH116" s="94">
        <f t="shared" si="1"/>
        <v>1</v>
      </c>
      <c r="AI116" s="95"/>
      <c r="AJ116" s="95"/>
      <c r="AK116" s="95"/>
      <c r="AL116" s="95"/>
      <c r="AM116" s="95"/>
      <c r="AN116" s="95"/>
      <c r="AO116" s="95"/>
      <c r="AP116" s="95"/>
      <c r="AQ116" s="95"/>
      <c r="AR116" s="95"/>
      <c r="AS116" s="95"/>
      <c r="AT116" s="95"/>
    </row>
    <row r="117" spans="1:46" ht="405" x14ac:dyDescent="0.25">
      <c r="A117" s="659"/>
      <c r="B117" s="808"/>
      <c r="C117" s="832"/>
      <c r="D117" s="642"/>
      <c r="E117" s="622"/>
      <c r="F117" s="622"/>
      <c r="G117" s="622"/>
      <c r="H117" s="622"/>
      <c r="I117" s="827"/>
      <c r="J117" s="251" t="s">
        <v>1738</v>
      </c>
      <c r="K117" s="131" t="s">
        <v>1739</v>
      </c>
      <c r="L117" s="131">
        <v>55000</v>
      </c>
      <c r="M117" s="131">
        <v>38000</v>
      </c>
      <c r="N117" s="131"/>
      <c r="O117" s="95"/>
      <c r="P117" s="99">
        <v>0</v>
      </c>
      <c r="Q117" s="99">
        <v>0</v>
      </c>
      <c r="R117" s="99">
        <v>0</v>
      </c>
      <c r="S117" s="99">
        <v>0</v>
      </c>
      <c r="T117" s="364">
        <v>0</v>
      </c>
      <c r="U117" s="99"/>
      <c r="V117" s="368">
        <v>141128</v>
      </c>
      <c r="W117" s="368">
        <v>141128</v>
      </c>
      <c r="X117" s="368">
        <v>141128</v>
      </c>
      <c r="Y117" s="99">
        <v>0</v>
      </c>
      <c r="Z117" s="99">
        <v>55000</v>
      </c>
      <c r="AA117" s="99"/>
      <c r="AB117" s="99"/>
      <c r="AC117" s="99"/>
      <c r="AD117" s="99"/>
      <c r="AE117" s="238">
        <f>+X117</f>
        <v>141128</v>
      </c>
      <c r="AF117" s="95"/>
      <c r="AG117" s="102">
        <v>1</v>
      </c>
      <c r="AH117" s="94">
        <f t="shared" si="1"/>
        <v>1</v>
      </c>
      <c r="AI117" s="95"/>
      <c r="AJ117" s="95"/>
      <c r="AK117" s="95"/>
      <c r="AL117" s="95"/>
      <c r="AM117" s="95"/>
      <c r="AN117" s="95"/>
      <c r="AO117" s="95"/>
      <c r="AP117" s="95"/>
      <c r="AQ117" s="95"/>
      <c r="AR117" s="95"/>
      <c r="AS117" s="95"/>
      <c r="AT117" s="95"/>
    </row>
    <row r="118" spans="1:46" ht="409.5" x14ac:dyDescent="0.25">
      <c r="A118" s="659"/>
      <c r="B118" s="808"/>
      <c r="C118" s="832"/>
      <c r="D118" s="642"/>
      <c r="E118" s="622"/>
      <c r="F118" s="622"/>
      <c r="G118" s="622"/>
      <c r="H118" s="622"/>
      <c r="I118" s="827"/>
      <c r="J118" s="251" t="s">
        <v>1740</v>
      </c>
      <c r="K118" s="131" t="s">
        <v>1741</v>
      </c>
      <c r="L118" s="131">
        <v>650</v>
      </c>
      <c r="M118" s="131">
        <v>127</v>
      </c>
      <c r="N118" s="131"/>
      <c r="O118" s="95"/>
      <c r="P118" s="99">
        <v>0</v>
      </c>
      <c r="Q118" s="99">
        <v>0</v>
      </c>
      <c r="R118" s="99">
        <v>0</v>
      </c>
      <c r="S118" s="99">
        <v>0</v>
      </c>
      <c r="T118" s="364">
        <v>0</v>
      </c>
      <c r="U118" s="99">
        <v>0</v>
      </c>
      <c r="V118" s="55">
        <v>0</v>
      </c>
      <c r="W118" s="55">
        <v>0</v>
      </c>
      <c r="X118" s="55">
        <v>0</v>
      </c>
      <c r="Y118" s="99">
        <v>0</v>
      </c>
      <c r="Z118" s="99"/>
      <c r="AA118" s="99"/>
      <c r="AB118" s="99"/>
      <c r="AC118" s="99"/>
      <c r="AD118" s="99"/>
      <c r="AE118" s="99">
        <f>+SUM(N118:AC118)</f>
        <v>0</v>
      </c>
      <c r="AF118" s="95"/>
      <c r="AG118" s="102">
        <f>+(AE118/L118)</f>
        <v>0</v>
      </c>
      <c r="AH118" s="94">
        <f t="shared" si="1"/>
        <v>0</v>
      </c>
      <c r="AI118" s="95"/>
      <c r="AJ118" s="95"/>
      <c r="AK118" s="95"/>
      <c r="AL118" s="95"/>
      <c r="AM118" s="95"/>
      <c r="AN118" s="95"/>
      <c r="AO118" s="95"/>
      <c r="AP118" s="95"/>
      <c r="AQ118" s="95"/>
      <c r="AR118" s="95"/>
      <c r="AS118" s="95"/>
      <c r="AT118" s="95"/>
    </row>
    <row r="119" spans="1:46" ht="360" x14ac:dyDescent="0.25">
      <c r="A119" s="659"/>
      <c r="B119" s="808"/>
      <c r="C119" s="832"/>
      <c r="D119" s="642"/>
      <c r="E119" s="622"/>
      <c r="F119" s="622"/>
      <c r="G119" s="622"/>
      <c r="H119" s="622"/>
      <c r="I119" s="827"/>
      <c r="J119" s="251" t="s">
        <v>1742</v>
      </c>
      <c r="K119" s="131" t="s">
        <v>1743</v>
      </c>
      <c r="L119" s="131">
        <v>1</v>
      </c>
      <c r="M119" s="131">
        <v>0</v>
      </c>
      <c r="N119" s="131"/>
      <c r="O119" s="95"/>
      <c r="P119" s="99">
        <v>0</v>
      </c>
      <c r="Q119" s="99">
        <v>0</v>
      </c>
      <c r="R119" s="99">
        <v>0</v>
      </c>
      <c r="S119" s="99">
        <v>0</v>
      </c>
      <c r="T119" s="364">
        <v>0</v>
      </c>
      <c r="U119" s="99"/>
      <c r="V119" s="55">
        <v>0</v>
      </c>
      <c r="W119" s="55">
        <v>0</v>
      </c>
      <c r="X119" s="55">
        <v>0</v>
      </c>
      <c r="Y119" s="99">
        <v>0</v>
      </c>
      <c r="Z119" s="99">
        <v>0</v>
      </c>
      <c r="AA119" s="99">
        <v>0</v>
      </c>
      <c r="AB119" s="99"/>
      <c r="AC119" s="99"/>
      <c r="AD119" s="99"/>
      <c r="AE119" s="99">
        <f>+SUM(N119:AC119)</f>
        <v>0</v>
      </c>
      <c r="AF119" s="95"/>
      <c r="AG119" s="102">
        <f>+(AE119/L119)</f>
        <v>0</v>
      </c>
      <c r="AH119" s="94">
        <f t="shared" si="1"/>
        <v>0</v>
      </c>
      <c r="AI119" s="95"/>
      <c r="AJ119" s="95"/>
      <c r="AK119" s="95"/>
      <c r="AL119" s="95"/>
      <c r="AM119" s="95"/>
      <c r="AN119" s="95"/>
      <c r="AO119" s="95"/>
      <c r="AP119" s="95"/>
      <c r="AQ119" s="95"/>
      <c r="AR119" s="95"/>
      <c r="AS119" s="95"/>
      <c r="AT119" s="95"/>
    </row>
    <row r="120" spans="1:46" ht="409.5" x14ac:dyDescent="0.25">
      <c r="A120" s="659"/>
      <c r="B120" s="808"/>
      <c r="C120" s="832"/>
      <c r="D120" s="642"/>
      <c r="E120" s="622"/>
      <c r="F120" s="622"/>
      <c r="G120" s="622"/>
      <c r="H120" s="622"/>
      <c r="I120" s="827"/>
      <c r="J120" s="251" t="s">
        <v>1744</v>
      </c>
      <c r="K120" s="131" t="s">
        <v>1745</v>
      </c>
      <c r="L120" s="131">
        <v>40</v>
      </c>
      <c r="M120" s="131">
        <v>5</v>
      </c>
      <c r="N120" s="131"/>
      <c r="O120" s="95"/>
      <c r="P120" s="99">
        <v>10</v>
      </c>
      <c r="Q120" s="99">
        <v>10</v>
      </c>
      <c r="R120" s="99">
        <v>10</v>
      </c>
      <c r="S120" s="99">
        <v>0</v>
      </c>
      <c r="T120" s="364">
        <v>0</v>
      </c>
      <c r="U120" s="99"/>
      <c r="V120" s="368">
        <v>10</v>
      </c>
      <c r="W120" s="368">
        <v>10</v>
      </c>
      <c r="X120" s="368">
        <v>48</v>
      </c>
      <c r="Y120" s="99">
        <v>0</v>
      </c>
      <c r="Z120" s="99">
        <v>0</v>
      </c>
      <c r="AA120" s="99">
        <v>0</v>
      </c>
      <c r="AB120" s="99"/>
      <c r="AC120" s="99"/>
      <c r="AD120" s="99"/>
      <c r="AE120" s="238">
        <f>+X120</f>
        <v>48</v>
      </c>
      <c r="AF120" s="95"/>
      <c r="AG120" s="102">
        <v>1</v>
      </c>
      <c r="AH120" s="94">
        <f t="shared" si="1"/>
        <v>1</v>
      </c>
      <c r="AI120" s="95"/>
      <c r="AJ120" s="95"/>
      <c r="AK120" s="95"/>
      <c r="AL120" s="95"/>
      <c r="AM120" s="95"/>
      <c r="AN120" s="95"/>
      <c r="AO120" s="95"/>
      <c r="AP120" s="95"/>
      <c r="AQ120" s="95"/>
      <c r="AR120" s="95"/>
      <c r="AS120" s="95"/>
      <c r="AT120" s="95"/>
    </row>
    <row r="121" spans="1:46" ht="409.5" x14ac:dyDescent="0.25">
      <c r="A121" s="659"/>
      <c r="B121" s="808"/>
      <c r="C121" s="832"/>
      <c r="D121" s="642"/>
      <c r="E121" s="622"/>
      <c r="F121" s="622"/>
      <c r="G121" s="622"/>
      <c r="H121" s="622"/>
      <c r="I121" s="827"/>
      <c r="J121" s="251" t="s">
        <v>1746</v>
      </c>
      <c r="K121" s="131" t="s">
        <v>1747</v>
      </c>
      <c r="L121" s="131">
        <v>24</v>
      </c>
      <c r="M121" s="131">
        <v>24</v>
      </c>
      <c r="N121" s="131"/>
      <c r="O121" s="95"/>
      <c r="P121" s="99">
        <v>24</v>
      </c>
      <c r="Q121" s="99">
        <v>24</v>
      </c>
      <c r="R121" s="99">
        <v>0</v>
      </c>
      <c r="S121" s="99">
        <v>0</v>
      </c>
      <c r="T121" s="364">
        <v>2</v>
      </c>
      <c r="U121" s="99"/>
      <c r="V121" s="368">
        <v>21</v>
      </c>
      <c r="W121" s="368">
        <v>21</v>
      </c>
      <c r="X121" s="368">
        <v>24</v>
      </c>
      <c r="Y121" s="99">
        <v>0</v>
      </c>
      <c r="Z121" s="99">
        <v>0</v>
      </c>
      <c r="AA121" s="99">
        <v>0</v>
      </c>
      <c r="AB121" s="99"/>
      <c r="AC121" s="99"/>
      <c r="AD121" s="99"/>
      <c r="AE121" s="99">
        <f>+Q121</f>
        <v>24</v>
      </c>
      <c r="AF121" s="95"/>
      <c r="AG121" s="102">
        <v>1</v>
      </c>
      <c r="AH121" s="94">
        <f t="shared" si="1"/>
        <v>1</v>
      </c>
      <c r="AI121" s="95"/>
      <c r="AJ121" s="95"/>
      <c r="AK121" s="95"/>
      <c r="AL121" s="95"/>
      <c r="AM121" s="95"/>
      <c r="AN121" s="95"/>
      <c r="AO121" s="95"/>
      <c r="AP121" s="95"/>
      <c r="AQ121" s="95"/>
      <c r="AR121" s="95"/>
      <c r="AS121" s="95"/>
      <c r="AT121" s="95"/>
    </row>
    <row r="122" spans="1:46" ht="409.5" x14ac:dyDescent="0.25">
      <c r="A122" s="659"/>
      <c r="B122" s="808"/>
      <c r="C122" s="832"/>
      <c r="D122" s="642"/>
      <c r="E122" s="622"/>
      <c r="F122" s="622"/>
      <c r="G122" s="622"/>
      <c r="H122" s="622"/>
      <c r="I122" s="827"/>
      <c r="J122" s="251" t="s">
        <v>1748</v>
      </c>
      <c r="K122" s="131" t="s">
        <v>1749</v>
      </c>
      <c r="L122" s="131">
        <v>50</v>
      </c>
      <c r="M122" s="131">
        <v>9</v>
      </c>
      <c r="N122" s="131"/>
      <c r="O122" s="95"/>
      <c r="P122" s="99">
        <v>0</v>
      </c>
      <c r="Q122" s="99">
        <v>0</v>
      </c>
      <c r="R122" s="99">
        <v>1</v>
      </c>
      <c r="S122" s="99">
        <v>0</v>
      </c>
      <c r="T122" s="364">
        <v>0</v>
      </c>
      <c r="U122" s="99"/>
      <c r="V122" s="368">
        <v>0</v>
      </c>
      <c r="W122" s="368">
        <v>0</v>
      </c>
      <c r="X122" s="368">
        <v>0</v>
      </c>
      <c r="Y122" s="99">
        <v>4</v>
      </c>
      <c r="Z122" s="99">
        <v>0</v>
      </c>
      <c r="AA122" s="99">
        <v>5</v>
      </c>
      <c r="AB122" s="99"/>
      <c r="AC122" s="99"/>
      <c r="AD122" s="99"/>
      <c r="AE122" s="99">
        <f t="shared" ref="AE122:AE129" si="4">+SUM(N122:AC122)</f>
        <v>10</v>
      </c>
      <c r="AF122" s="95"/>
      <c r="AG122" s="102">
        <f t="shared" ref="AG122:AG129" si="5">+(AE122/L122)</f>
        <v>0.2</v>
      </c>
      <c r="AH122" s="94">
        <f t="shared" si="1"/>
        <v>0.2</v>
      </c>
      <c r="AI122" s="95"/>
      <c r="AJ122" s="95"/>
      <c r="AK122" s="95"/>
      <c r="AL122" s="95"/>
      <c r="AM122" s="95"/>
      <c r="AN122" s="95"/>
      <c r="AO122" s="95"/>
      <c r="AP122" s="95"/>
      <c r="AQ122" s="95"/>
      <c r="AR122" s="95"/>
      <c r="AS122" s="95"/>
      <c r="AT122" s="95"/>
    </row>
    <row r="123" spans="1:46" ht="390" x14ac:dyDescent="0.25">
      <c r="A123" s="659"/>
      <c r="B123" s="808"/>
      <c r="C123" s="832"/>
      <c r="D123" s="642"/>
      <c r="E123" s="622"/>
      <c r="F123" s="622"/>
      <c r="G123" s="622"/>
      <c r="H123" s="622"/>
      <c r="I123" s="827"/>
      <c r="J123" s="251" t="s">
        <v>1750</v>
      </c>
      <c r="K123" s="131" t="s">
        <v>1751</v>
      </c>
      <c r="L123" s="131">
        <v>5</v>
      </c>
      <c r="M123" s="131">
        <v>2</v>
      </c>
      <c r="N123" s="131"/>
      <c r="O123" s="95"/>
      <c r="P123" s="99">
        <v>0</v>
      </c>
      <c r="Q123" s="99">
        <v>0</v>
      </c>
      <c r="R123" s="99"/>
      <c r="S123" s="99">
        <v>0</v>
      </c>
      <c r="T123" s="364">
        <v>0</v>
      </c>
      <c r="U123" s="99"/>
      <c r="V123" s="369">
        <v>0</v>
      </c>
      <c r="W123" s="369">
        <v>0</v>
      </c>
      <c r="X123" s="369">
        <v>2</v>
      </c>
      <c r="Y123" s="99">
        <v>2</v>
      </c>
      <c r="Z123" s="99">
        <v>0</v>
      </c>
      <c r="AA123" s="99">
        <v>3</v>
      </c>
      <c r="AB123" s="99"/>
      <c r="AC123" s="99"/>
      <c r="AD123" s="99"/>
      <c r="AE123" s="99">
        <f t="shared" si="4"/>
        <v>7</v>
      </c>
      <c r="AF123" s="95"/>
      <c r="AG123" s="102">
        <v>1</v>
      </c>
      <c r="AH123" s="94">
        <f t="shared" si="1"/>
        <v>1</v>
      </c>
      <c r="AI123" s="95"/>
      <c r="AJ123" s="95"/>
      <c r="AK123" s="95"/>
      <c r="AL123" s="95"/>
      <c r="AM123" s="95"/>
      <c r="AN123" s="95"/>
      <c r="AO123" s="95"/>
      <c r="AP123" s="95"/>
      <c r="AQ123" s="95"/>
      <c r="AR123" s="95"/>
      <c r="AS123" s="95"/>
      <c r="AT123" s="95"/>
    </row>
    <row r="124" spans="1:46" ht="270" x14ac:dyDescent="0.25">
      <c r="A124" s="659"/>
      <c r="B124" s="808"/>
      <c r="C124" s="832"/>
      <c r="D124" s="642"/>
      <c r="E124" s="622"/>
      <c r="F124" s="622"/>
      <c r="G124" s="622"/>
      <c r="H124" s="622"/>
      <c r="I124" s="827"/>
      <c r="J124" s="251" t="s">
        <v>1752</v>
      </c>
      <c r="K124" s="131" t="s">
        <v>1753</v>
      </c>
      <c r="L124" s="131">
        <v>2</v>
      </c>
      <c r="M124" s="131">
        <v>1</v>
      </c>
      <c r="N124" s="131"/>
      <c r="O124" s="95"/>
      <c r="P124" s="99">
        <v>0</v>
      </c>
      <c r="Q124" s="99">
        <v>0</v>
      </c>
      <c r="R124" s="99">
        <v>0</v>
      </c>
      <c r="S124" s="99">
        <v>0</v>
      </c>
      <c r="T124" s="364">
        <v>0</v>
      </c>
      <c r="U124" s="99"/>
      <c r="V124" s="370">
        <v>0</v>
      </c>
      <c r="W124" s="370">
        <v>0</v>
      </c>
      <c r="X124" s="370">
        <v>0</v>
      </c>
      <c r="Y124" s="99">
        <v>0</v>
      </c>
      <c r="Z124" s="99">
        <v>0</v>
      </c>
      <c r="AA124" s="99">
        <v>0</v>
      </c>
      <c r="AB124" s="99"/>
      <c r="AC124" s="99"/>
      <c r="AD124" s="99"/>
      <c r="AE124" s="99">
        <f t="shared" si="4"/>
        <v>0</v>
      </c>
      <c r="AF124" s="95"/>
      <c r="AG124" s="102">
        <f t="shared" si="5"/>
        <v>0</v>
      </c>
      <c r="AH124" s="94">
        <f t="shared" si="1"/>
        <v>0</v>
      </c>
      <c r="AI124" s="95"/>
      <c r="AJ124" s="95"/>
      <c r="AK124" s="95"/>
      <c r="AL124" s="95"/>
      <c r="AM124" s="95"/>
      <c r="AN124" s="95"/>
      <c r="AO124" s="95"/>
      <c r="AP124" s="95"/>
      <c r="AQ124" s="95"/>
      <c r="AR124" s="95"/>
      <c r="AS124" s="95"/>
      <c r="AT124" s="95"/>
    </row>
    <row r="125" spans="1:46" ht="409.5" x14ac:dyDescent="0.25">
      <c r="A125" s="659"/>
      <c r="B125" s="808"/>
      <c r="C125" s="832"/>
      <c r="D125" s="642"/>
      <c r="E125" s="622"/>
      <c r="F125" s="622"/>
      <c r="G125" s="622"/>
      <c r="H125" s="622"/>
      <c r="I125" s="827"/>
      <c r="J125" s="131" t="s">
        <v>1754</v>
      </c>
      <c r="K125" s="131" t="s">
        <v>1755</v>
      </c>
      <c r="L125" s="131">
        <v>207</v>
      </c>
      <c r="M125" s="131">
        <v>175</v>
      </c>
      <c r="N125" s="131"/>
      <c r="O125" s="95"/>
      <c r="P125" s="99">
        <v>0</v>
      </c>
      <c r="Q125" s="99">
        <v>0</v>
      </c>
      <c r="R125" s="99">
        <v>0</v>
      </c>
      <c r="S125" s="99">
        <v>0</v>
      </c>
      <c r="T125" s="364">
        <v>0</v>
      </c>
      <c r="U125" s="99"/>
      <c r="V125" s="55">
        <v>0</v>
      </c>
      <c r="W125" s="55">
        <v>18</v>
      </c>
      <c r="X125" s="55">
        <v>0</v>
      </c>
      <c r="Y125" s="99">
        <v>0</v>
      </c>
      <c r="Z125" s="99">
        <v>0</v>
      </c>
      <c r="AA125" s="99">
        <v>0</v>
      </c>
      <c r="AB125" s="99"/>
      <c r="AC125" s="99"/>
      <c r="AD125" s="99"/>
      <c r="AE125" s="99">
        <f t="shared" si="4"/>
        <v>18</v>
      </c>
      <c r="AF125" s="95"/>
      <c r="AG125" s="102">
        <f t="shared" si="5"/>
        <v>8.6956521739130432E-2</v>
      </c>
      <c r="AH125" s="94">
        <f t="shared" si="1"/>
        <v>8.6956521739130432E-2</v>
      </c>
      <c r="AI125" s="95"/>
      <c r="AJ125" s="95"/>
      <c r="AK125" s="95"/>
      <c r="AL125" s="95"/>
      <c r="AM125" s="95"/>
      <c r="AN125" s="95"/>
      <c r="AO125" s="95"/>
      <c r="AP125" s="95"/>
      <c r="AQ125" s="95"/>
      <c r="AR125" s="95"/>
      <c r="AS125" s="95"/>
      <c r="AT125" s="95"/>
    </row>
    <row r="126" spans="1:46" ht="409.5" x14ac:dyDescent="0.25">
      <c r="A126" s="659"/>
      <c r="B126" s="808"/>
      <c r="C126" s="832"/>
      <c r="D126" s="642"/>
      <c r="E126" s="622"/>
      <c r="F126" s="622"/>
      <c r="G126" s="622"/>
      <c r="H126" s="622"/>
      <c r="I126" s="827"/>
      <c r="J126" s="131" t="s">
        <v>1756</v>
      </c>
      <c r="K126" s="131" t="s">
        <v>1757</v>
      </c>
      <c r="L126" s="131">
        <v>22</v>
      </c>
      <c r="M126" s="131">
        <v>14</v>
      </c>
      <c r="N126" s="131"/>
      <c r="O126" s="95"/>
      <c r="P126" s="99">
        <v>0</v>
      </c>
      <c r="Q126" s="99">
        <v>0</v>
      </c>
      <c r="R126" s="99">
        <v>0</v>
      </c>
      <c r="S126" s="99">
        <v>0</v>
      </c>
      <c r="T126" s="364">
        <v>0</v>
      </c>
      <c r="U126" s="99"/>
      <c r="V126" s="55">
        <v>1</v>
      </c>
      <c r="W126" s="55">
        <v>2</v>
      </c>
      <c r="X126" s="55">
        <v>1</v>
      </c>
      <c r="Y126" s="99">
        <v>0</v>
      </c>
      <c r="Z126" s="99">
        <v>7</v>
      </c>
      <c r="AA126" s="99">
        <v>17</v>
      </c>
      <c r="AB126" s="99"/>
      <c r="AC126" s="99"/>
      <c r="AD126" s="99"/>
      <c r="AE126" s="99">
        <f t="shared" si="4"/>
        <v>28</v>
      </c>
      <c r="AF126" s="95"/>
      <c r="AG126" s="102">
        <v>1</v>
      </c>
      <c r="AH126" s="94">
        <f t="shared" si="1"/>
        <v>1</v>
      </c>
      <c r="AI126" s="95"/>
      <c r="AJ126" s="95"/>
      <c r="AK126" s="95"/>
      <c r="AL126" s="95"/>
      <c r="AM126" s="95"/>
      <c r="AN126" s="95"/>
      <c r="AO126" s="95"/>
      <c r="AP126" s="95"/>
      <c r="AQ126" s="95"/>
      <c r="AR126" s="95"/>
      <c r="AS126" s="95"/>
      <c r="AT126" s="95"/>
    </row>
    <row r="127" spans="1:46" ht="409.5" x14ac:dyDescent="0.25">
      <c r="A127" s="659"/>
      <c r="B127" s="808"/>
      <c r="C127" s="832"/>
      <c r="D127" s="642"/>
      <c r="E127" s="622"/>
      <c r="F127" s="622"/>
      <c r="G127" s="622"/>
      <c r="H127" s="622"/>
      <c r="I127" s="827"/>
      <c r="J127" s="131" t="s">
        <v>1758</v>
      </c>
      <c r="K127" s="131" t="s">
        <v>1759</v>
      </c>
      <c r="L127" s="131">
        <v>24</v>
      </c>
      <c r="M127" s="131">
        <v>24</v>
      </c>
      <c r="N127" s="131"/>
      <c r="O127" s="95"/>
      <c r="P127" s="99">
        <v>0</v>
      </c>
      <c r="Q127" s="99">
        <v>0</v>
      </c>
      <c r="R127" s="99">
        <v>0</v>
      </c>
      <c r="S127" s="99">
        <v>0</v>
      </c>
      <c r="T127" s="364">
        <v>0</v>
      </c>
      <c r="U127" s="99"/>
      <c r="V127" s="55">
        <v>1</v>
      </c>
      <c r="W127" s="55">
        <v>0</v>
      </c>
      <c r="X127" s="55">
        <v>0</v>
      </c>
      <c r="Y127" s="99">
        <v>0</v>
      </c>
      <c r="Z127" s="99">
        <v>0</v>
      </c>
      <c r="AA127" s="99">
        <v>0</v>
      </c>
      <c r="AB127" s="99"/>
      <c r="AC127" s="99"/>
      <c r="AD127" s="99"/>
      <c r="AE127" s="99">
        <f t="shared" si="4"/>
        <v>1</v>
      </c>
      <c r="AF127" s="95"/>
      <c r="AG127" s="102">
        <f t="shared" si="5"/>
        <v>4.1666666666666664E-2</v>
      </c>
      <c r="AH127" s="94">
        <f t="shared" si="1"/>
        <v>4.1666666666666664E-2</v>
      </c>
      <c r="AI127" s="95"/>
      <c r="AJ127" s="95"/>
      <c r="AK127" s="95"/>
      <c r="AL127" s="95"/>
      <c r="AM127" s="95"/>
      <c r="AN127" s="95"/>
      <c r="AO127" s="95"/>
      <c r="AP127" s="95"/>
      <c r="AQ127" s="95"/>
      <c r="AR127" s="95"/>
      <c r="AS127" s="95"/>
      <c r="AT127" s="95"/>
    </row>
    <row r="128" spans="1:46" ht="15" customHeight="1" x14ac:dyDescent="0.25">
      <c r="A128" s="659"/>
      <c r="B128" s="808"/>
      <c r="C128" s="832"/>
      <c r="D128" s="642"/>
      <c r="E128" s="622"/>
      <c r="F128" s="622"/>
      <c r="G128" s="622"/>
      <c r="H128" s="622"/>
      <c r="I128" s="827"/>
      <c r="J128" s="131" t="s">
        <v>1760</v>
      </c>
      <c r="K128" s="131" t="s">
        <v>1761</v>
      </c>
      <c r="L128" s="131">
        <v>1</v>
      </c>
      <c r="M128" s="131">
        <v>0</v>
      </c>
      <c r="N128" s="131"/>
      <c r="O128" s="95"/>
      <c r="P128" s="99">
        <v>0</v>
      </c>
      <c r="Q128" s="99">
        <v>0</v>
      </c>
      <c r="R128" s="99">
        <v>0</v>
      </c>
      <c r="S128" s="99"/>
      <c r="T128" s="364">
        <v>0</v>
      </c>
      <c r="U128" s="99"/>
      <c r="V128" s="370">
        <v>0</v>
      </c>
      <c r="W128" s="370">
        <v>0</v>
      </c>
      <c r="X128" s="370">
        <v>0</v>
      </c>
      <c r="Y128" s="99">
        <v>0</v>
      </c>
      <c r="Z128" s="99">
        <v>1</v>
      </c>
      <c r="AA128" s="99"/>
      <c r="AB128" s="99"/>
      <c r="AC128" s="99"/>
      <c r="AD128" s="99"/>
      <c r="AE128" s="99">
        <f t="shared" si="4"/>
        <v>1</v>
      </c>
      <c r="AF128" s="95"/>
      <c r="AG128" s="102">
        <f t="shared" si="5"/>
        <v>1</v>
      </c>
      <c r="AH128" s="94">
        <f t="shared" si="1"/>
        <v>1</v>
      </c>
      <c r="AI128" s="95"/>
      <c r="AJ128" s="95"/>
      <c r="AK128" s="95"/>
      <c r="AL128" s="95"/>
      <c r="AM128" s="95"/>
      <c r="AN128" s="95"/>
      <c r="AO128" s="95"/>
      <c r="AP128" s="95"/>
      <c r="AQ128" s="95"/>
      <c r="AR128" s="95"/>
      <c r="AS128" s="95"/>
      <c r="AT128" s="95"/>
    </row>
    <row r="129" spans="1:46" ht="409.5" x14ac:dyDescent="0.25">
      <c r="A129" s="659"/>
      <c r="B129" s="808"/>
      <c r="C129" s="832"/>
      <c r="D129" s="642"/>
      <c r="E129" s="622"/>
      <c r="F129" s="622"/>
      <c r="G129" s="622"/>
      <c r="H129" s="622"/>
      <c r="I129" s="827"/>
      <c r="J129" s="131" t="s">
        <v>1734</v>
      </c>
      <c r="K129" s="131" t="s">
        <v>1735</v>
      </c>
      <c r="L129" s="131">
        <v>7000</v>
      </c>
      <c r="M129" s="131">
        <v>650</v>
      </c>
      <c r="N129" s="131"/>
      <c r="O129" s="95"/>
      <c r="P129" s="99">
        <v>0</v>
      </c>
      <c r="Q129" s="99">
        <v>149</v>
      </c>
      <c r="R129" s="99">
        <v>0</v>
      </c>
      <c r="S129" s="99">
        <v>30</v>
      </c>
      <c r="T129" s="364">
        <v>0</v>
      </c>
      <c r="U129" s="99">
        <v>1191</v>
      </c>
      <c r="V129" s="371">
        <v>127.5</v>
      </c>
      <c r="W129" s="335">
        <v>459</v>
      </c>
      <c r="X129" s="334">
        <v>275.5</v>
      </c>
      <c r="Y129" s="99">
        <v>336</v>
      </c>
      <c r="Z129" s="99">
        <v>27</v>
      </c>
      <c r="AA129" s="99">
        <v>297</v>
      </c>
      <c r="AB129" s="99"/>
      <c r="AC129" s="99"/>
      <c r="AD129" s="99"/>
      <c r="AE129" s="99">
        <f t="shared" si="4"/>
        <v>2892</v>
      </c>
      <c r="AF129" s="95"/>
      <c r="AG129" s="102">
        <f t="shared" si="5"/>
        <v>0.41314285714285715</v>
      </c>
      <c r="AH129" s="94">
        <f t="shared" si="1"/>
        <v>0.41314285714285715</v>
      </c>
      <c r="AI129" s="95"/>
      <c r="AJ129" s="95"/>
      <c r="AK129" s="95"/>
      <c r="AL129" s="95"/>
      <c r="AM129" s="95"/>
      <c r="AN129" s="95"/>
      <c r="AO129" s="95"/>
      <c r="AP129" s="95"/>
      <c r="AQ129" s="95"/>
      <c r="AR129" s="95"/>
      <c r="AS129" s="95"/>
      <c r="AT129" s="95"/>
    </row>
    <row r="130" spans="1:46" ht="61.5" customHeight="1" x14ac:dyDescent="0.25">
      <c r="A130" s="659"/>
      <c r="B130" s="808"/>
      <c r="C130" s="832"/>
      <c r="D130" s="642"/>
      <c r="E130" s="622"/>
      <c r="F130" s="622"/>
      <c r="G130" s="622"/>
      <c r="H130" s="622"/>
      <c r="I130" s="827"/>
      <c r="J130" s="131"/>
      <c r="K130" s="131"/>
      <c r="L130" s="131"/>
      <c r="M130" s="131"/>
      <c r="N130" s="131"/>
      <c r="O130" s="95"/>
      <c r="P130" s="95"/>
      <c r="Q130" s="95"/>
      <c r="R130" s="95"/>
      <c r="S130" s="134"/>
      <c r="T130" s="95"/>
      <c r="U130" s="95"/>
      <c r="V130" s="95"/>
      <c r="W130" s="95"/>
      <c r="X130" s="95"/>
      <c r="Y130" s="95"/>
      <c r="Z130" s="95"/>
      <c r="AA130" s="95"/>
      <c r="AB130" s="95"/>
      <c r="AC130" s="95"/>
      <c r="AD130" s="95"/>
      <c r="AE130" s="99"/>
      <c r="AF130" s="95"/>
      <c r="AG130" s="106">
        <f>AVERAGE(AG116:AG129)</f>
        <v>0.55298328896776106</v>
      </c>
      <c r="AH130" s="94">
        <f t="shared" si="1"/>
        <v>0.55298328896776106</v>
      </c>
      <c r="AI130" s="95"/>
      <c r="AJ130" s="95"/>
      <c r="AK130" s="95"/>
      <c r="AL130" s="95"/>
      <c r="AM130" s="95"/>
      <c r="AN130" s="95"/>
      <c r="AO130" s="95"/>
      <c r="AP130" s="95"/>
      <c r="AQ130" s="95"/>
      <c r="AR130" s="95"/>
      <c r="AS130" s="95"/>
      <c r="AT130" s="95"/>
    </row>
    <row r="131" spans="1:46" ht="66.75" customHeight="1" x14ac:dyDescent="0.25">
      <c r="A131" s="659"/>
      <c r="B131" s="808"/>
      <c r="C131" s="832"/>
      <c r="D131" s="642"/>
      <c r="E131" s="622"/>
      <c r="F131" s="622"/>
      <c r="G131" s="622"/>
      <c r="H131" s="622"/>
      <c r="I131" s="828" t="s">
        <v>1771</v>
      </c>
      <c r="J131" s="131" t="s">
        <v>1732</v>
      </c>
      <c r="K131" s="131" t="s">
        <v>1733</v>
      </c>
      <c r="L131" s="131">
        <v>1</v>
      </c>
      <c r="M131" s="131">
        <v>0</v>
      </c>
      <c r="N131" s="131"/>
      <c r="O131" s="95"/>
      <c r="P131" s="99">
        <v>0</v>
      </c>
      <c r="Q131" s="99">
        <v>0</v>
      </c>
      <c r="R131" s="99">
        <v>0</v>
      </c>
      <c r="S131" s="99">
        <v>0</v>
      </c>
      <c r="T131" s="364">
        <v>0</v>
      </c>
      <c r="U131" s="99"/>
      <c r="V131" s="99">
        <v>0</v>
      </c>
      <c r="W131" s="99">
        <v>0</v>
      </c>
      <c r="X131" s="99">
        <v>0</v>
      </c>
      <c r="Y131" s="99">
        <v>0</v>
      </c>
      <c r="Z131" s="99">
        <v>0</v>
      </c>
      <c r="AA131" s="99">
        <v>0</v>
      </c>
      <c r="AB131" s="99"/>
      <c r="AC131" s="99"/>
      <c r="AD131" s="99"/>
      <c r="AE131" s="99">
        <f>+SUM(N131:AC131)</f>
        <v>0</v>
      </c>
      <c r="AF131" s="95"/>
      <c r="AG131" s="102">
        <f>+(AE131/L131)</f>
        <v>0</v>
      </c>
      <c r="AH131" s="94">
        <f t="shared" si="1"/>
        <v>0</v>
      </c>
      <c r="AI131" s="95"/>
      <c r="AJ131" s="95"/>
      <c r="AK131" s="95"/>
      <c r="AL131" s="95"/>
      <c r="AM131" s="95"/>
      <c r="AN131" s="95"/>
      <c r="AO131" s="95"/>
      <c r="AP131" s="95"/>
      <c r="AQ131" s="95"/>
      <c r="AR131" s="95"/>
      <c r="AS131" s="95"/>
      <c r="AT131" s="95"/>
    </row>
    <row r="132" spans="1:46" ht="66.75" customHeight="1" x14ac:dyDescent="0.25">
      <c r="A132" s="659"/>
      <c r="B132" s="808"/>
      <c r="C132" s="832"/>
      <c r="D132" s="642"/>
      <c r="E132" s="622"/>
      <c r="F132" s="622"/>
      <c r="G132" s="622"/>
      <c r="H132" s="622"/>
      <c r="I132" s="828"/>
      <c r="J132" s="131"/>
      <c r="K132" s="131"/>
      <c r="L132" s="131"/>
      <c r="M132" s="131"/>
      <c r="N132" s="131"/>
      <c r="O132" s="95"/>
      <c r="P132" s="95"/>
      <c r="Q132" s="95"/>
      <c r="R132" s="95"/>
      <c r="S132" s="134"/>
      <c r="T132" s="95"/>
      <c r="U132" s="95"/>
      <c r="V132" s="95"/>
      <c r="W132" s="95"/>
      <c r="X132" s="95"/>
      <c r="Y132" s="95"/>
      <c r="Z132" s="95"/>
      <c r="AA132" s="95"/>
      <c r="AB132" s="95"/>
      <c r="AC132" s="95"/>
      <c r="AD132" s="95"/>
      <c r="AE132" s="99"/>
      <c r="AF132" s="95"/>
      <c r="AG132" s="106">
        <f>+AG131</f>
        <v>0</v>
      </c>
      <c r="AH132" s="94">
        <f t="shared" ref="AH132:AH195" si="6">+AG132</f>
        <v>0</v>
      </c>
      <c r="AI132" s="95"/>
      <c r="AJ132" s="95"/>
      <c r="AK132" s="95"/>
      <c r="AL132" s="95"/>
      <c r="AM132" s="95"/>
      <c r="AN132" s="95"/>
      <c r="AO132" s="95"/>
      <c r="AP132" s="95"/>
      <c r="AQ132" s="95"/>
      <c r="AR132" s="95"/>
      <c r="AS132" s="95"/>
      <c r="AT132" s="95"/>
    </row>
    <row r="133" spans="1:46" ht="405" x14ac:dyDescent="0.25">
      <c r="A133" s="659"/>
      <c r="B133" s="808"/>
      <c r="C133" s="832"/>
      <c r="D133" s="642"/>
      <c r="E133" s="622"/>
      <c r="F133" s="622"/>
      <c r="G133" s="622"/>
      <c r="H133" s="622"/>
      <c r="I133" s="828" t="s">
        <v>1772</v>
      </c>
      <c r="J133" s="131" t="s">
        <v>1766</v>
      </c>
      <c r="K133" s="131" t="s">
        <v>1767</v>
      </c>
      <c r="L133" s="131">
        <v>1</v>
      </c>
      <c r="M133" s="131">
        <v>0</v>
      </c>
      <c r="N133" s="131"/>
      <c r="O133" s="95"/>
      <c r="P133" s="99">
        <v>0</v>
      </c>
      <c r="Q133" s="99">
        <v>0</v>
      </c>
      <c r="R133" s="99">
        <v>0</v>
      </c>
      <c r="S133" s="99">
        <v>0</v>
      </c>
      <c r="T133" s="364">
        <v>0</v>
      </c>
      <c r="U133" s="99"/>
      <c r="V133" s="99">
        <v>0</v>
      </c>
      <c r="W133" s="99">
        <v>0</v>
      </c>
      <c r="X133" s="99">
        <v>0</v>
      </c>
      <c r="Y133" s="99">
        <v>0</v>
      </c>
      <c r="Z133" s="99">
        <v>0</v>
      </c>
      <c r="AA133" s="99">
        <v>0</v>
      </c>
      <c r="AB133" s="99"/>
      <c r="AC133" s="99"/>
      <c r="AD133" s="99"/>
      <c r="AE133" s="99">
        <f>+SUM(N133:AC133)</f>
        <v>0</v>
      </c>
      <c r="AF133" s="95"/>
      <c r="AG133" s="102">
        <f>+(AE133/L133)</f>
        <v>0</v>
      </c>
      <c r="AH133" s="94">
        <f t="shared" si="6"/>
        <v>0</v>
      </c>
      <c r="AI133" s="95"/>
      <c r="AJ133" s="95"/>
      <c r="AK133" s="95"/>
      <c r="AL133" s="95"/>
      <c r="AM133" s="95"/>
      <c r="AN133" s="95"/>
      <c r="AO133" s="95"/>
      <c r="AP133" s="95"/>
      <c r="AQ133" s="95"/>
      <c r="AR133" s="95"/>
      <c r="AS133" s="95"/>
      <c r="AT133" s="95"/>
    </row>
    <row r="134" spans="1:46" ht="69" customHeight="1" x14ac:dyDescent="0.25">
      <c r="A134" s="659"/>
      <c r="B134" s="808"/>
      <c r="C134" s="832"/>
      <c r="D134" s="642"/>
      <c r="E134" s="622"/>
      <c r="F134" s="622"/>
      <c r="G134" s="622"/>
      <c r="H134" s="622"/>
      <c r="I134" s="828"/>
      <c r="J134" s="131"/>
      <c r="K134" s="131"/>
      <c r="L134" s="131"/>
      <c r="M134" s="131"/>
      <c r="N134" s="131"/>
      <c r="O134" s="95"/>
      <c r="P134" s="99"/>
      <c r="Q134" s="99"/>
      <c r="R134" s="99"/>
      <c r="S134" s="99"/>
      <c r="T134" s="99"/>
      <c r="U134" s="99"/>
      <c r="V134" s="99"/>
      <c r="W134" s="99"/>
      <c r="X134" s="99"/>
      <c r="Y134" s="99"/>
      <c r="Z134" s="99"/>
      <c r="AA134" s="99"/>
      <c r="AB134" s="99"/>
      <c r="AC134" s="99"/>
      <c r="AD134" s="99"/>
      <c r="AE134" s="99"/>
      <c r="AF134" s="95"/>
      <c r="AG134" s="106">
        <f>+AG133</f>
        <v>0</v>
      </c>
      <c r="AH134" s="94">
        <f t="shared" si="6"/>
        <v>0</v>
      </c>
      <c r="AI134" s="95"/>
      <c r="AJ134" s="95"/>
      <c r="AK134" s="95"/>
      <c r="AL134" s="95"/>
      <c r="AM134" s="95"/>
      <c r="AN134" s="95"/>
      <c r="AO134" s="95"/>
      <c r="AP134" s="95"/>
      <c r="AQ134" s="95"/>
      <c r="AR134" s="95"/>
      <c r="AS134" s="95"/>
      <c r="AT134" s="95"/>
    </row>
    <row r="135" spans="1:46" ht="409.5" x14ac:dyDescent="0.25">
      <c r="A135" s="659"/>
      <c r="B135" s="808"/>
      <c r="C135" s="832"/>
      <c r="D135" s="642"/>
      <c r="E135" s="622"/>
      <c r="F135" s="622"/>
      <c r="G135" s="622"/>
      <c r="H135" s="622"/>
      <c r="I135" s="828" t="s">
        <v>1773</v>
      </c>
      <c r="J135" s="131" t="s">
        <v>1764</v>
      </c>
      <c r="K135" s="131" t="s">
        <v>1765</v>
      </c>
      <c r="L135" s="131">
        <v>13719</v>
      </c>
      <c r="M135" s="131">
        <v>281</v>
      </c>
      <c r="N135" s="131"/>
      <c r="O135" s="95"/>
      <c r="P135" s="99">
        <v>0</v>
      </c>
      <c r="Q135" s="99">
        <v>0</v>
      </c>
      <c r="R135" s="99">
        <v>0</v>
      </c>
      <c r="S135" s="99">
        <v>0</v>
      </c>
      <c r="T135" s="364">
        <v>0</v>
      </c>
      <c r="U135" s="99">
        <v>430</v>
      </c>
      <c r="V135" s="364"/>
      <c r="W135" s="364"/>
      <c r="X135" s="364"/>
      <c r="Y135" s="99">
        <v>34</v>
      </c>
      <c r="Z135" s="99">
        <v>34</v>
      </c>
      <c r="AA135" s="99">
        <v>0</v>
      </c>
      <c r="AB135" s="99"/>
      <c r="AC135" s="99"/>
      <c r="AD135" s="99"/>
      <c r="AE135" s="99">
        <f>+SUM(N135:AC135)</f>
        <v>498</v>
      </c>
      <c r="AF135" s="95"/>
      <c r="AG135" s="102">
        <f>+(AE135/L135)</f>
        <v>3.6300021867483052E-2</v>
      </c>
      <c r="AH135" s="94">
        <f t="shared" si="6"/>
        <v>3.6300021867483052E-2</v>
      </c>
      <c r="AI135" s="95"/>
      <c r="AJ135" s="95"/>
      <c r="AK135" s="95"/>
      <c r="AL135" s="95"/>
      <c r="AM135" s="95"/>
      <c r="AN135" s="95"/>
      <c r="AO135" s="95"/>
      <c r="AP135" s="95"/>
      <c r="AQ135" s="95"/>
      <c r="AR135" s="95"/>
      <c r="AS135" s="95"/>
      <c r="AT135" s="95"/>
    </row>
    <row r="136" spans="1:46" ht="61.5" customHeight="1" thickBot="1" x14ac:dyDescent="0.3">
      <c r="A136" s="659"/>
      <c r="B136" s="808"/>
      <c r="C136" s="832"/>
      <c r="D136" s="642"/>
      <c r="E136" s="622"/>
      <c r="F136" s="622"/>
      <c r="G136" s="622"/>
      <c r="H136" s="622"/>
      <c r="I136" s="828"/>
      <c r="J136" s="131"/>
      <c r="K136" s="131"/>
      <c r="L136" s="131"/>
      <c r="M136" s="131"/>
      <c r="N136" s="131"/>
      <c r="O136" s="95"/>
      <c r="P136" s="95"/>
      <c r="Q136" s="95"/>
      <c r="R136" s="95"/>
      <c r="S136" s="134"/>
      <c r="T136" s="95"/>
      <c r="U136" s="95"/>
      <c r="V136" s="95"/>
      <c r="W136" s="95"/>
      <c r="X136" s="95"/>
      <c r="Y136" s="95"/>
      <c r="Z136" s="95"/>
      <c r="AA136" s="95"/>
      <c r="AB136" s="95"/>
      <c r="AC136" s="95"/>
      <c r="AD136" s="95"/>
      <c r="AE136" s="99"/>
      <c r="AF136" s="95"/>
      <c r="AG136" s="106">
        <f>+AG135</f>
        <v>3.6300021867483052E-2</v>
      </c>
      <c r="AH136" s="94">
        <f t="shared" si="6"/>
        <v>3.6300021867483052E-2</v>
      </c>
      <c r="AI136" s="95"/>
      <c r="AJ136" s="95"/>
      <c r="AK136" s="95"/>
      <c r="AL136" s="95"/>
      <c r="AM136" s="95"/>
      <c r="AN136" s="95"/>
      <c r="AO136" s="95"/>
      <c r="AP136" s="95"/>
      <c r="AQ136" s="95"/>
      <c r="AR136" s="95"/>
      <c r="AS136" s="95"/>
      <c r="AT136" s="95"/>
    </row>
    <row r="137" spans="1:46" ht="60" customHeight="1" thickBot="1" x14ac:dyDescent="0.3">
      <c r="A137" s="659"/>
      <c r="B137" s="808"/>
      <c r="C137" s="832"/>
      <c r="D137" s="642"/>
      <c r="E137" s="622"/>
      <c r="F137" s="622"/>
      <c r="G137" s="622"/>
      <c r="H137" s="622"/>
      <c r="I137" s="828" t="s">
        <v>1774</v>
      </c>
      <c r="J137" s="131" t="s">
        <v>1762</v>
      </c>
      <c r="K137" s="131" t="s">
        <v>1763</v>
      </c>
      <c r="L137" s="131">
        <v>16</v>
      </c>
      <c r="M137" s="131">
        <v>0</v>
      </c>
      <c r="N137" s="131"/>
      <c r="O137" s="95"/>
      <c r="P137" s="99">
        <v>5</v>
      </c>
      <c r="Q137" s="99">
        <v>5</v>
      </c>
      <c r="R137" s="99">
        <v>0</v>
      </c>
      <c r="S137" s="99">
        <v>0</v>
      </c>
      <c r="T137" s="378">
        <v>3</v>
      </c>
      <c r="U137" s="99"/>
      <c r="V137" s="388">
        <v>8</v>
      </c>
      <c r="W137" s="388">
        <v>8</v>
      </c>
      <c r="X137" s="389">
        <f>W137+2</f>
        <v>10</v>
      </c>
      <c r="Y137" s="99">
        <v>0</v>
      </c>
      <c r="Z137" s="99">
        <v>0</v>
      </c>
      <c r="AA137" s="99">
        <v>0</v>
      </c>
      <c r="AB137" s="99"/>
      <c r="AC137" s="99"/>
      <c r="AD137" s="99"/>
      <c r="AE137" s="238">
        <f>+Q137+X137+T137</f>
        <v>18</v>
      </c>
      <c r="AF137" s="95"/>
      <c r="AG137" s="102">
        <v>1</v>
      </c>
      <c r="AH137" s="94">
        <f t="shared" si="6"/>
        <v>1</v>
      </c>
      <c r="AI137" s="95"/>
      <c r="AJ137" s="95"/>
      <c r="AK137" s="95"/>
      <c r="AL137" s="95"/>
      <c r="AM137" s="95"/>
      <c r="AN137" s="95"/>
      <c r="AO137" s="95"/>
      <c r="AP137" s="95"/>
      <c r="AQ137" s="95"/>
      <c r="AR137" s="95"/>
      <c r="AS137" s="95"/>
      <c r="AT137" s="95"/>
    </row>
    <row r="138" spans="1:46" ht="60" customHeight="1" x14ac:dyDescent="0.25">
      <c r="A138" s="659"/>
      <c r="B138" s="808"/>
      <c r="C138" s="832"/>
      <c r="D138" s="642"/>
      <c r="E138" s="622"/>
      <c r="F138" s="622"/>
      <c r="G138" s="622"/>
      <c r="H138" s="622"/>
      <c r="I138" s="828"/>
      <c r="J138" s="131"/>
      <c r="K138" s="131"/>
      <c r="L138" s="131"/>
      <c r="M138" s="131"/>
      <c r="N138" s="131"/>
      <c r="O138" s="95"/>
      <c r="P138" s="95"/>
      <c r="Q138" s="95"/>
      <c r="R138" s="95"/>
      <c r="S138" s="134"/>
      <c r="T138" s="95"/>
      <c r="U138" s="95"/>
      <c r="V138" s="95"/>
      <c r="W138" s="95"/>
      <c r="X138" s="95"/>
      <c r="Y138" s="95"/>
      <c r="Z138" s="95"/>
      <c r="AA138" s="95"/>
      <c r="AB138" s="95"/>
      <c r="AC138" s="95"/>
      <c r="AD138" s="95"/>
      <c r="AE138" s="99"/>
      <c r="AF138" s="95"/>
      <c r="AG138" s="106">
        <f>+AG137</f>
        <v>1</v>
      </c>
      <c r="AH138" s="94">
        <f t="shared" si="6"/>
        <v>1</v>
      </c>
      <c r="AI138" s="95"/>
      <c r="AJ138" s="95"/>
      <c r="AK138" s="95"/>
      <c r="AL138" s="95"/>
      <c r="AM138" s="95"/>
      <c r="AN138" s="95"/>
      <c r="AO138" s="95"/>
      <c r="AP138" s="95"/>
      <c r="AQ138" s="95"/>
      <c r="AR138" s="95"/>
      <c r="AS138" s="95"/>
      <c r="AT138" s="95"/>
    </row>
    <row r="139" spans="1:46" ht="60" customHeight="1" x14ac:dyDescent="0.25">
      <c r="A139" s="659"/>
      <c r="B139" s="808"/>
      <c r="C139" s="832"/>
      <c r="D139" s="642"/>
      <c r="E139" s="622"/>
      <c r="F139" s="622"/>
      <c r="G139" s="622"/>
      <c r="H139" s="622"/>
      <c r="I139" s="136"/>
      <c r="J139" s="131"/>
      <c r="K139" s="131"/>
      <c r="L139" s="131"/>
      <c r="M139" s="131"/>
      <c r="N139" s="131"/>
      <c r="O139" s="95"/>
      <c r="P139" s="95"/>
      <c r="Q139" s="95"/>
      <c r="R139" s="95"/>
      <c r="S139" s="134"/>
      <c r="T139" s="95"/>
      <c r="U139" s="95"/>
      <c r="V139" s="95"/>
      <c r="W139" s="95"/>
      <c r="X139" s="95"/>
      <c r="Y139" s="95"/>
      <c r="Z139" s="95"/>
      <c r="AA139" s="95"/>
      <c r="AB139" s="95"/>
      <c r="AC139" s="95"/>
      <c r="AD139" s="95"/>
      <c r="AE139" s="99"/>
      <c r="AF139" s="95"/>
      <c r="AG139" s="241">
        <f>+(AG109+AG115+AG130+AG132+AG134+AG138+AG136)/7</f>
        <v>0.29443843216013693</v>
      </c>
      <c r="AH139" s="94">
        <f t="shared" si="6"/>
        <v>0.29443843216013693</v>
      </c>
      <c r="AI139" s="95"/>
      <c r="AJ139" s="95"/>
      <c r="AK139" s="95"/>
      <c r="AL139" s="95"/>
      <c r="AM139" s="95"/>
      <c r="AN139" s="95"/>
      <c r="AO139" s="95"/>
      <c r="AP139" s="95"/>
      <c r="AQ139" s="95"/>
      <c r="AR139" s="95"/>
      <c r="AS139" s="95"/>
      <c r="AT139" s="95"/>
    </row>
    <row r="140" spans="1:46" ht="60" customHeight="1" thickBot="1" x14ac:dyDescent="0.3">
      <c r="A140" s="659"/>
      <c r="B140" s="808"/>
      <c r="C140" s="832"/>
      <c r="D140" s="131"/>
      <c r="E140" s="132"/>
      <c r="F140" s="132"/>
      <c r="G140" s="132"/>
      <c r="H140" s="132"/>
      <c r="I140" s="136"/>
      <c r="J140" s="131"/>
      <c r="K140" s="131"/>
      <c r="L140" s="131"/>
      <c r="M140" s="131"/>
      <c r="N140" s="131"/>
      <c r="O140" s="95"/>
      <c r="P140" s="95"/>
      <c r="Q140" s="95"/>
      <c r="R140" s="95"/>
      <c r="S140" s="134"/>
      <c r="T140" s="95"/>
      <c r="U140" s="95"/>
      <c r="V140" s="95"/>
      <c r="W140" s="95"/>
      <c r="X140" s="95"/>
      <c r="Y140" s="95"/>
      <c r="Z140" s="95"/>
      <c r="AA140" s="95"/>
      <c r="AB140" s="95"/>
      <c r="AC140" s="95"/>
      <c r="AD140" s="95"/>
      <c r="AE140" s="99"/>
      <c r="AF140" s="95"/>
      <c r="AG140" s="230">
        <f>+(AG107+AG139)/2</f>
        <v>0.64721921608006849</v>
      </c>
      <c r="AH140" s="94">
        <f t="shared" si="6"/>
        <v>0.64721921608006849</v>
      </c>
      <c r="AI140" s="95"/>
      <c r="AJ140" s="95"/>
      <c r="AK140" s="95"/>
      <c r="AL140" s="95"/>
      <c r="AM140" s="95"/>
      <c r="AN140" s="95"/>
      <c r="AO140" s="95"/>
      <c r="AP140" s="95"/>
      <c r="AQ140" s="95"/>
      <c r="AR140" s="95"/>
      <c r="AS140" s="95"/>
      <c r="AT140" s="95"/>
    </row>
    <row r="141" spans="1:46" ht="409.6" thickBot="1" x14ac:dyDescent="0.3">
      <c r="A141" s="659"/>
      <c r="B141" s="808"/>
      <c r="C141" s="810" t="s">
        <v>1775</v>
      </c>
      <c r="D141" s="632" t="s">
        <v>1776</v>
      </c>
      <c r="E141" s="622" t="s">
        <v>1785</v>
      </c>
      <c r="F141" s="622" t="s">
        <v>1783</v>
      </c>
      <c r="G141" s="623">
        <v>0.6</v>
      </c>
      <c r="H141" s="623">
        <v>0.42</v>
      </c>
      <c r="I141" s="131" t="s">
        <v>1781</v>
      </c>
      <c r="J141" s="251" t="s">
        <v>1777</v>
      </c>
      <c r="K141" s="131" t="s">
        <v>1778</v>
      </c>
      <c r="L141" s="131">
        <v>672380</v>
      </c>
      <c r="M141" s="131">
        <v>469980</v>
      </c>
      <c r="N141" s="131"/>
      <c r="O141" s="95"/>
      <c r="P141" s="99">
        <v>125000</v>
      </c>
      <c r="Q141" s="99">
        <v>644972</v>
      </c>
      <c r="R141" s="99">
        <v>12500</v>
      </c>
      <c r="S141" s="99">
        <v>0</v>
      </c>
      <c r="T141" s="99">
        <v>0</v>
      </c>
      <c r="U141" s="99">
        <v>50040</v>
      </c>
      <c r="V141" s="99">
        <v>0</v>
      </c>
      <c r="W141" s="99">
        <v>0</v>
      </c>
      <c r="X141" s="388">
        <v>0</v>
      </c>
      <c r="Y141" s="99">
        <v>147000</v>
      </c>
      <c r="Z141" s="99"/>
      <c r="AA141" s="99">
        <v>5260</v>
      </c>
      <c r="AB141" s="99"/>
      <c r="AC141" s="99"/>
      <c r="AD141" s="99"/>
      <c r="AE141" s="238">
        <f>+Y141+AA141</f>
        <v>152260</v>
      </c>
      <c r="AF141" s="95"/>
      <c r="AG141" s="102">
        <v>1</v>
      </c>
      <c r="AH141" s="94">
        <f t="shared" si="6"/>
        <v>1</v>
      </c>
      <c r="AI141" s="95"/>
      <c r="AJ141" s="95"/>
      <c r="AK141" s="95"/>
      <c r="AL141" s="95"/>
      <c r="AM141" s="95"/>
      <c r="AN141" s="95"/>
      <c r="AO141" s="95"/>
      <c r="AP141" s="95"/>
      <c r="AQ141" s="95"/>
      <c r="AR141" s="95"/>
      <c r="AS141" s="95"/>
      <c r="AT141" s="95"/>
    </row>
    <row r="142" spans="1:46" ht="54.75" customHeight="1" x14ac:dyDescent="0.25">
      <c r="A142" s="659"/>
      <c r="B142" s="808"/>
      <c r="C142" s="810"/>
      <c r="D142" s="632"/>
      <c r="E142" s="622"/>
      <c r="F142" s="622"/>
      <c r="G142" s="623"/>
      <c r="H142" s="623"/>
      <c r="I142" s="100"/>
      <c r="J142" s="131"/>
      <c r="K142" s="131"/>
      <c r="L142" s="131"/>
      <c r="M142" s="131"/>
      <c r="N142" s="131"/>
      <c r="O142" s="95"/>
      <c r="P142" s="95"/>
      <c r="Q142" s="95"/>
      <c r="R142" s="95"/>
      <c r="S142" s="134"/>
      <c r="T142" s="95"/>
      <c r="U142" s="95"/>
      <c r="V142" s="95"/>
      <c r="W142" s="95"/>
      <c r="X142" s="95"/>
      <c r="Y142" s="95"/>
      <c r="Z142" s="95"/>
      <c r="AA142" s="95"/>
      <c r="AB142" s="95"/>
      <c r="AC142" s="95"/>
      <c r="AD142" s="95"/>
      <c r="AE142" s="99"/>
      <c r="AF142" s="95"/>
      <c r="AG142" s="106">
        <f>+AG141</f>
        <v>1</v>
      </c>
      <c r="AH142" s="94">
        <f t="shared" si="6"/>
        <v>1</v>
      </c>
      <c r="AI142" s="95"/>
      <c r="AJ142" s="95"/>
      <c r="AK142" s="95"/>
      <c r="AL142" s="95"/>
      <c r="AM142" s="95"/>
      <c r="AN142" s="95"/>
      <c r="AO142" s="95"/>
      <c r="AP142" s="95"/>
      <c r="AQ142" s="95"/>
      <c r="AR142" s="95"/>
      <c r="AS142" s="95"/>
      <c r="AT142" s="95"/>
    </row>
    <row r="143" spans="1:46" ht="60" customHeight="1" x14ac:dyDescent="0.25">
      <c r="A143" s="659"/>
      <c r="B143" s="808"/>
      <c r="C143" s="810"/>
      <c r="D143" s="632"/>
      <c r="E143" s="622" t="s">
        <v>1786</v>
      </c>
      <c r="F143" s="622" t="s">
        <v>1784</v>
      </c>
      <c r="G143" s="622">
        <v>1</v>
      </c>
      <c r="H143" s="622">
        <v>0</v>
      </c>
      <c r="I143" s="632" t="s">
        <v>1782</v>
      </c>
      <c r="J143" s="251" t="s">
        <v>1779</v>
      </c>
      <c r="K143" s="131" t="s">
        <v>1780</v>
      </c>
      <c r="L143" s="131">
        <v>1</v>
      </c>
      <c r="M143" s="131">
        <v>0</v>
      </c>
      <c r="N143" s="131"/>
      <c r="O143" s="95"/>
      <c r="P143" s="99">
        <v>0</v>
      </c>
      <c r="Q143" s="99">
        <v>0.25</v>
      </c>
      <c r="R143" s="99">
        <v>0.25</v>
      </c>
      <c r="S143" s="99">
        <v>0</v>
      </c>
      <c r="T143" s="99">
        <v>0.25</v>
      </c>
      <c r="U143" s="99">
        <v>0.25</v>
      </c>
      <c r="V143" s="99">
        <v>1</v>
      </c>
      <c r="W143" s="99">
        <v>1</v>
      </c>
      <c r="X143" s="99">
        <v>1</v>
      </c>
      <c r="Y143" s="99">
        <v>0</v>
      </c>
      <c r="Z143" s="99">
        <v>0</v>
      </c>
      <c r="AA143" s="99">
        <v>1</v>
      </c>
      <c r="AB143" s="99"/>
      <c r="AC143" s="99"/>
      <c r="AD143" s="99"/>
      <c r="AE143" s="99">
        <f>+Q143+R143+T143+U143</f>
        <v>1</v>
      </c>
      <c r="AF143" s="95"/>
      <c r="AG143" s="102">
        <f>+AE143</f>
        <v>1</v>
      </c>
      <c r="AH143" s="94">
        <f t="shared" si="6"/>
        <v>1</v>
      </c>
      <c r="AI143" s="95"/>
      <c r="AJ143" s="95"/>
      <c r="AK143" s="95"/>
      <c r="AL143" s="95"/>
      <c r="AM143" s="95"/>
      <c r="AN143" s="95"/>
      <c r="AO143" s="95"/>
      <c r="AP143" s="95"/>
      <c r="AQ143" s="95"/>
      <c r="AR143" s="95"/>
      <c r="AS143" s="95"/>
      <c r="AT143" s="95"/>
    </row>
    <row r="144" spans="1:46" ht="60" customHeight="1" x14ac:dyDescent="0.25">
      <c r="A144" s="659"/>
      <c r="B144" s="808"/>
      <c r="C144" s="810"/>
      <c r="D144" s="632"/>
      <c r="E144" s="622"/>
      <c r="F144" s="622"/>
      <c r="G144" s="622"/>
      <c r="H144" s="622"/>
      <c r="I144" s="632"/>
      <c r="J144" s="131"/>
      <c r="K144" s="131"/>
      <c r="L144" s="131"/>
      <c r="M144" s="131"/>
      <c r="N144" s="131"/>
      <c r="O144" s="95"/>
      <c r="P144" s="95"/>
      <c r="Q144" s="95"/>
      <c r="R144" s="95"/>
      <c r="S144" s="134"/>
      <c r="T144" s="95"/>
      <c r="U144" s="95"/>
      <c r="V144" s="95"/>
      <c r="W144" s="95"/>
      <c r="X144" s="95"/>
      <c r="Y144" s="95"/>
      <c r="Z144" s="95"/>
      <c r="AA144" s="95"/>
      <c r="AB144" s="95"/>
      <c r="AC144" s="95"/>
      <c r="AD144" s="95"/>
      <c r="AE144" s="99"/>
      <c r="AF144" s="95"/>
      <c r="AG144" s="7">
        <f>+AG143</f>
        <v>1</v>
      </c>
      <c r="AH144" s="94">
        <f t="shared" si="6"/>
        <v>1</v>
      </c>
      <c r="AI144" s="95"/>
      <c r="AJ144" s="95"/>
      <c r="AK144" s="95"/>
      <c r="AL144" s="95"/>
      <c r="AM144" s="95"/>
      <c r="AN144" s="95"/>
      <c r="AO144" s="95"/>
      <c r="AP144" s="95"/>
      <c r="AQ144" s="95"/>
      <c r="AR144" s="95"/>
      <c r="AS144" s="95"/>
      <c r="AT144" s="95"/>
    </row>
    <row r="145" spans="1:46" ht="63" customHeight="1" x14ac:dyDescent="0.25">
      <c r="A145" s="659"/>
      <c r="B145" s="808"/>
      <c r="C145" s="810"/>
      <c r="D145" s="131"/>
      <c r="E145" s="132"/>
      <c r="F145" s="132"/>
      <c r="G145" s="132"/>
      <c r="H145" s="132"/>
      <c r="I145" s="100"/>
      <c r="J145" s="131"/>
      <c r="K145" s="131"/>
      <c r="L145" s="131"/>
      <c r="M145" s="131"/>
      <c r="N145" s="131"/>
      <c r="O145" s="95"/>
      <c r="P145" s="95"/>
      <c r="Q145" s="95"/>
      <c r="R145" s="95"/>
      <c r="S145" s="134"/>
      <c r="T145" s="95"/>
      <c r="U145" s="95"/>
      <c r="V145" s="95"/>
      <c r="W145" s="95"/>
      <c r="X145" s="95"/>
      <c r="Y145" s="95"/>
      <c r="Z145" s="95"/>
      <c r="AA145" s="95"/>
      <c r="AB145" s="95"/>
      <c r="AC145" s="95"/>
      <c r="AD145" s="95"/>
      <c r="AE145" s="99"/>
      <c r="AF145" s="95"/>
      <c r="AG145" s="171">
        <f>+(AG142+AG144)/2</f>
        <v>1</v>
      </c>
      <c r="AH145" s="94">
        <f t="shared" si="6"/>
        <v>1</v>
      </c>
      <c r="AI145" s="95"/>
      <c r="AJ145" s="95"/>
      <c r="AK145" s="95"/>
      <c r="AL145" s="95"/>
      <c r="AM145" s="95"/>
      <c r="AN145" s="95"/>
      <c r="AO145" s="95"/>
      <c r="AP145" s="95"/>
      <c r="AQ145" s="95"/>
      <c r="AR145" s="95"/>
      <c r="AS145" s="95"/>
      <c r="AT145" s="95"/>
    </row>
    <row r="146" spans="1:46" ht="75" customHeight="1" x14ac:dyDescent="0.25">
      <c r="A146" s="659"/>
      <c r="B146" s="808"/>
      <c r="C146" s="810"/>
      <c r="D146" s="632" t="s">
        <v>1787</v>
      </c>
      <c r="E146" s="622" t="s">
        <v>1791</v>
      </c>
      <c r="F146" s="622" t="s">
        <v>1788</v>
      </c>
      <c r="G146" s="623">
        <v>0.7</v>
      </c>
      <c r="H146" s="623">
        <v>0</v>
      </c>
      <c r="I146" s="678" t="s">
        <v>1794</v>
      </c>
      <c r="J146" s="251" t="s">
        <v>1795</v>
      </c>
      <c r="K146" s="131" t="s">
        <v>1796</v>
      </c>
      <c r="L146" s="131">
        <v>262</v>
      </c>
      <c r="M146" s="131">
        <v>0</v>
      </c>
      <c r="N146" s="131"/>
      <c r="O146" s="95"/>
      <c r="P146" s="99">
        <v>109</v>
      </c>
      <c r="Q146" s="99">
        <v>154</v>
      </c>
      <c r="R146" s="99">
        <v>20</v>
      </c>
      <c r="S146" s="99">
        <v>17</v>
      </c>
      <c r="T146" s="99">
        <v>16</v>
      </c>
      <c r="U146" s="99">
        <v>70</v>
      </c>
      <c r="V146" s="377">
        <f>327-65</f>
        <v>262</v>
      </c>
      <c r="W146" s="377">
        <f>154+70+103</f>
        <v>327</v>
      </c>
      <c r="X146" s="377">
        <v>547</v>
      </c>
      <c r="Y146" s="99">
        <v>0</v>
      </c>
      <c r="Z146" s="99">
        <v>151</v>
      </c>
      <c r="AA146" s="99">
        <v>417</v>
      </c>
      <c r="AB146" s="99"/>
      <c r="AC146" s="99"/>
      <c r="AD146" s="99"/>
      <c r="AE146" s="238">
        <f>+X146+Z146+AA146</f>
        <v>1115</v>
      </c>
      <c r="AF146" s="95"/>
      <c r="AG146" s="102">
        <v>1</v>
      </c>
      <c r="AH146" s="94">
        <f t="shared" si="6"/>
        <v>1</v>
      </c>
      <c r="AI146" s="95"/>
      <c r="AJ146" s="95"/>
      <c r="AK146" s="95"/>
      <c r="AL146" s="95"/>
      <c r="AM146" s="95"/>
      <c r="AN146" s="95"/>
      <c r="AO146" s="95"/>
      <c r="AP146" s="95"/>
      <c r="AQ146" s="95"/>
      <c r="AR146" s="95"/>
      <c r="AS146" s="95"/>
      <c r="AT146" s="95"/>
    </row>
    <row r="147" spans="1:46" ht="62.25" customHeight="1" x14ac:dyDescent="0.25">
      <c r="A147" s="659"/>
      <c r="B147" s="808"/>
      <c r="C147" s="810"/>
      <c r="D147" s="632"/>
      <c r="E147" s="622"/>
      <c r="F147" s="622"/>
      <c r="G147" s="623"/>
      <c r="H147" s="623"/>
      <c r="I147" s="680"/>
      <c r="J147" s="131"/>
      <c r="K147" s="131"/>
      <c r="L147" s="131"/>
      <c r="M147" s="131"/>
      <c r="N147" s="131"/>
      <c r="O147" s="95"/>
      <c r="P147" s="95"/>
      <c r="Q147" s="95"/>
      <c r="R147" s="95"/>
      <c r="S147" s="134"/>
      <c r="T147" s="95"/>
      <c r="U147" s="95"/>
      <c r="V147" s="377"/>
      <c r="W147" s="377"/>
      <c r="X147" s="377"/>
      <c r="Y147" s="95"/>
      <c r="Z147" s="95"/>
      <c r="AA147" s="95"/>
      <c r="AB147" s="95"/>
      <c r="AC147" s="95"/>
      <c r="AD147" s="95"/>
      <c r="AE147" s="99"/>
      <c r="AF147" s="95"/>
      <c r="AG147" s="7">
        <f>+AG146</f>
        <v>1</v>
      </c>
      <c r="AH147" s="94">
        <f t="shared" si="6"/>
        <v>1</v>
      </c>
      <c r="AI147" s="95"/>
      <c r="AJ147" s="95"/>
      <c r="AK147" s="95"/>
      <c r="AL147" s="95"/>
      <c r="AM147" s="95"/>
      <c r="AN147" s="95"/>
      <c r="AO147" s="95"/>
      <c r="AP147" s="95"/>
      <c r="AQ147" s="95"/>
      <c r="AR147" s="95"/>
      <c r="AS147" s="95"/>
      <c r="AT147" s="95"/>
    </row>
    <row r="148" spans="1:46" ht="57.75" customHeight="1" x14ac:dyDescent="0.25">
      <c r="A148" s="659"/>
      <c r="B148" s="808"/>
      <c r="C148" s="810"/>
      <c r="D148" s="632"/>
      <c r="E148" s="622"/>
      <c r="F148" s="622"/>
      <c r="G148" s="623"/>
      <c r="H148" s="623"/>
      <c r="I148" s="114"/>
      <c r="J148" s="131"/>
      <c r="K148" s="131"/>
      <c r="L148" s="131"/>
      <c r="M148" s="131"/>
      <c r="N148" s="131"/>
      <c r="O148" s="95"/>
      <c r="P148" s="95"/>
      <c r="Q148" s="95"/>
      <c r="R148" s="95"/>
      <c r="S148" s="134"/>
      <c r="T148" s="95"/>
      <c r="U148" s="95"/>
      <c r="V148" s="95"/>
      <c r="W148" s="95"/>
      <c r="X148" s="95"/>
      <c r="Y148" s="95"/>
      <c r="Z148" s="95"/>
      <c r="AA148" s="95"/>
      <c r="AB148" s="95"/>
      <c r="AC148" s="95"/>
      <c r="AD148" s="95"/>
      <c r="AE148" s="99"/>
      <c r="AF148" s="95"/>
      <c r="AG148" s="124">
        <f>+AG147</f>
        <v>1</v>
      </c>
      <c r="AH148" s="94">
        <f t="shared" si="6"/>
        <v>1</v>
      </c>
      <c r="AI148" s="95"/>
      <c r="AJ148" s="95"/>
      <c r="AK148" s="95"/>
      <c r="AL148" s="95"/>
      <c r="AM148" s="95"/>
      <c r="AN148" s="95"/>
      <c r="AO148" s="95"/>
      <c r="AP148" s="95"/>
      <c r="AQ148" s="95"/>
      <c r="AR148" s="95"/>
      <c r="AS148" s="95"/>
      <c r="AT148" s="95"/>
    </row>
    <row r="149" spans="1:46" ht="75" customHeight="1" x14ac:dyDescent="0.25">
      <c r="A149" s="659"/>
      <c r="B149" s="808"/>
      <c r="C149" s="810"/>
      <c r="D149" s="632" t="s">
        <v>1797</v>
      </c>
      <c r="E149" s="622" t="s">
        <v>1792</v>
      </c>
      <c r="F149" s="622" t="s">
        <v>1789</v>
      </c>
      <c r="G149" s="623">
        <v>0.3</v>
      </c>
      <c r="H149" s="623">
        <v>0.49</v>
      </c>
      <c r="I149" s="678"/>
      <c r="J149" s="249" t="s">
        <v>1798</v>
      </c>
      <c r="K149" s="135" t="s">
        <v>1799</v>
      </c>
      <c r="L149" s="132">
        <v>335700</v>
      </c>
      <c r="M149" s="132">
        <v>548310</v>
      </c>
      <c r="N149" s="132"/>
      <c r="O149" s="95"/>
      <c r="P149" s="99">
        <v>125000</v>
      </c>
      <c r="Q149" s="99">
        <v>155500</v>
      </c>
      <c r="R149" s="99">
        <v>12500</v>
      </c>
      <c r="S149" s="99">
        <v>13289</v>
      </c>
      <c r="T149" s="99">
        <v>10000</v>
      </c>
      <c r="U149" s="99">
        <v>52887</v>
      </c>
      <c r="V149" s="99"/>
      <c r="W149" s="99"/>
      <c r="X149" s="99">
        <v>0</v>
      </c>
      <c r="Y149" s="99">
        <v>402805</v>
      </c>
      <c r="Z149" s="99">
        <v>2464</v>
      </c>
      <c r="AA149" s="99">
        <v>88644</v>
      </c>
      <c r="AB149" s="99"/>
      <c r="AC149" s="99"/>
      <c r="AD149" s="99"/>
      <c r="AE149" s="99">
        <f>+Y149+Z149+AA149</f>
        <v>493913</v>
      </c>
      <c r="AF149" s="95"/>
      <c r="AG149" s="102">
        <v>1</v>
      </c>
      <c r="AH149" s="94">
        <f t="shared" si="6"/>
        <v>1</v>
      </c>
      <c r="AI149" s="95"/>
      <c r="AJ149" s="95"/>
      <c r="AK149" s="95"/>
      <c r="AL149" s="95"/>
      <c r="AM149" s="95"/>
      <c r="AN149" s="95"/>
      <c r="AO149" s="95"/>
      <c r="AP149" s="95"/>
      <c r="AQ149" s="95"/>
      <c r="AR149" s="95"/>
      <c r="AS149" s="95"/>
      <c r="AT149" s="95"/>
    </row>
    <row r="150" spans="1:46" ht="75" customHeight="1" x14ac:dyDescent="0.25">
      <c r="A150" s="659"/>
      <c r="B150" s="808"/>
      <c r="C150" s="810"/>
      <c r="D150" s="632"/>
      <c r="E150" s="622"/>
      <c r="F150" s="622"/>
      <c r="G150" s="623"/>
      <c r="H150" s="623"/>
      <c r="I150" s="680"/>
      <c r="J150" s="135"/>
      <c r="K150" s="135"/>
      <c r="L150" s="132"/>
      <c r="M150" s="132"/>
      <c r="N150" s="132"/>
      <c r="O150" s="95"/>
      <c r="P150" s="95"/>
      <c r="Q150" s="95"/>
      <c r="R150" s="95"/>
      <c r="S150" s="134"/>
      <c r="T150" s="95"/>
      <c r="U150" s="95"/>
      <c r="V150" s="95"/>
      <c r="W150" s="95"/>
      <c r="X150" s="95"/>
      <c r="Y150" s="95"/>
      <c r="Z150" s="95"/>
      <c r="AA150" s="95"/>
      <c r="AB150" s="95"/>
      <c r="AC150" s="95"/>
      <c r="AD150" s="95"/>
      <c r="AE150" s="99"/>
      <c r="AF150" s="95"/>
      <c r="AG150" s="7">
        <f>+AG149</f>
        <v>1</v>
      </c>
      <c r="AH150" s="94">
        <f t="shared" si="6"/>
        <v>1</v>
      </c>
      <c r="AI150" s="95"/>
      <c r="AJ150" s="95"/>
      <c r="AK150" s="95"/>
      <c r="AL150" s="95"/>
      <c r="AM150" s="95"/>
      <c r="AN150" s="95"/>
      <c r="AO150" s="95"/>
      <c r="AP150" s="95"/>
      <c r="AQ150" s="95"/>
      <c r="AR150" s="95"/>
      <c r="AS150" s="95"/>
      <c r="AT150" s="95"/>
    </row>
    <row r="151" spans="1:46" ht="75" customHeight="1" x14ac:dyDescent="0.25">
      <c r="A151" s="659"/>
      <c r="B151" s="808"/>
      <c r="C151" s="810"/>
      <c r="D151" s="632"/>
      <c r="E151" s="135"/>
      <c r="F151" s="135"/>
      <c r="G151" s="206"/>
      <c r="H151" s="206"/>
      <c r="I151" s="114"/>
      <c r="J151" s="135"/>
      <c r="K151" s="135"/>
      <c r="L151" s="132"/>
      <c r="M151" s="132"/>
      <c r="N151" s="132"/>
      <c r="O151" s="95"/>
      <c r="P151" s="95"/>
      <c r="Q151" s="95"/>
      <c r="R151" s="95"/>
      <c r="S151" s="134"/>
      <c r="T151" s="95"/>
      <c r="U151" s="95"/>
      <c r="V151" s="95"/>
      <c r="W151" s="95"/>
      <c r="X151" s="95"/>
      <c r="Y151" s="95"/>
      <c r="Z151" s="95"/>
      <c r="AA151" s="95"/>
      <c r="AB151" s="95"/>
      <c r="AC151" s="95"/>
      <c r="AD151" s="95"/>
      <c r="AE151" s="99"/>
      <c r="AF151" s="95"/>
      <c r="AG151" s="104">
        <f>+AG150</f>
        <v>1</v>
      </c>
      <c r="AH151" s="94">
        <f t="shared" si="6"/>
        <v>1</v>
      </c>
      <c r="AI151" s="95"/>
      <c r="AJ151" s="95"/>
      <c r="AK151" s="95"/>
      <c r="AL151" s="95"/>
      <c r="AM151" s="95"/>
      <c r="AN151" s="95"/>
      <c r="AO151" s="95"/>
      <c r="AP151" s="95"/>
      <c r="AQ151" s="95"/>
      <c r="AR151" s="95"/>
      <c r="AS151" s="95"/>
      <c r="AT151" s="95"/>
    </row>
    <row r="152" spans="1:46" ht="409.5" x14ac:dyDescent="0.25">
      <c r="A152" s="659"/>
      <c r="B152" s="808"/>
      <c r="C152" s="810"/>
      <c r="D152" s="632" t="s">
        <v>1802</v>
      </c>
      <c r="E152" s="622" t="s">
        <v>1793</v>
      </c>
      <c r="F152" s="622" t="s">
        <v>1790</v>
      </c>
      <c r="G152" s="623">
        <v>0.6</v>
      </c>
      <c r="H152" s="622">
        <v>1534</v>
      </c>
      <c r="I152" s="678" t="s">
        <v>1801</v>
      </c>
      <c r="J152" s="250" t="s">
        <v>1803</v>
      </c>
      <c r="K152" s="132" t="s">
        <v>1804</v>
      </c>
      <c r="L152" s="132">
        <v>2500</v>
      </c>
      <c r="M152" s="132">
        <v>1534</v>
      </c>
      <c r="N152" s="132"/>
      <c r="O152" s="95"/>
      <c r="P152" s="99">
        <v>1534</v>
      </c>
      <c r="Q152" s="99">
        <v>19200</v>
      </c>
      <c r="R152" s="99">
        <v>6562</v>
      </c>
      <c r="S152" s="99">
        <v>157</v>
      </c>
      <c r="T152" s="99">
        <v>3420</v>
      </c>
      <c r="U152" s="99">
        <v>3421</v>
      </c>
      <c r="V152" s="99">
        <v>0</v>
      </c>
      <c r="W152" s="99">
        <v>0</v>
      </c>
      <c r="X152" s="99">
        <v>24792</v>
      </c>
      <c r="Y152" s="99">
        <v>0</v>
      </c>
      <c r="Z152" s="99">
        <v>120</v>
      </c>
      <c r="AA152" s="99">
        <v>523</v>
      </c>
      <c r="AB152" s="99"/>
      <c r="AC152" s="99"/>
      <c r="AD152" s="99"/>
      <c r="AE152" s="99">
        <f>+X152</f>
        <v>24792</v>
      </c>
      <c r="AF152" s="95"/>
      <c r="AG152" s="102">
        <v>1</v>
      </c>
      <c r="AH152" s="94">
        <f t="shared" si="6"/>
        <v>1</v>
      </c>
      <c r="AI152" s="95"/>
      <c r="AJ152" s="95"/>
      <c r="AK152" s="95"/>
      <c r="AL152" s="95"/>
      <c r="AM152" s="95"/>
      <c r="AN152" s="95"/>
      <c r="AO152" s="95"/>
      <c r="AP152" s="95"/>
      <c r="AQ152" s="95"/>
      <c r="AR152" s="95"/>
      <c r="AS152" s="95"/>
      <c r="AT152" s="95"/>
    </row>
    <row r="153" spans="1:46" ht="77.25" customHeight="1" x14ac:dyDescent="0.25">
      <c r="A153" s="659"/>
      <c r="B153" s="808"/>
      <c r="C153" s="810"/>
      <c r="D153" s="632"/>
      <c r="E153" s="622"/>
      <c r="F153" s="622"/>
      <c r="G153" s="623"/>
      <c r="H153" s="622"/>
      <c r="I153" s="680"/>
      <c r="J153" s="132"/>
      <c r="K153" s="132"/>
      <c r="L153" s="132"/>
      <c r="M153" s="132"/>
      <c r="N153" s="132"/>
      <c r="O153" s="95"/>
      <c r="P153" s="95"/>
      <c r="Q153" s="95"/>
      <c r="R153" s="95"/>
      <c r="S153" s="134"/>
      <c r="T153" s="95"/>
      <c r="U153" s="95"/>
      <c r="V153" s="95"/>
      <c r="W153" s="95"/>
      <c r="X153" s="95"/>
      <c r="Y153" s="95"/>
      <c r="Z153" s="95"/>
      <c r="AA153" s="95"/>
      <c r="AB153" s="95"/>
      <c r="AC153" s="95"/>
      <c r="AD153" s="95"/>
      <c r="AE153" s="99"/>
      <c r="AF153" s="95"/>
      <c r="AG153" s="106">
        <f>+AG152</f>
        <v>1</v>
      </c>
      <c r="AH153" s="94">
        <f t="shared" si="6"/>
        <v>1</v>
      </c>
      <c r="AI153" s="95"/>
      <c r="AJ153" s="95"/>
      <c r="AK153" s="95"/>
      <c r="AL153" s="95"/>
      <c r="AM153" s="95"/>
      <c r="AN153" s="95"/>
      <c r="AO153" s="95"/>
      <c r="AP153" s="95"/>
      <c r="AQ153" s="95"/>
      <c r="AR153" s="95"/>
      <c r="AS153" s="95"/>
      <c r="AT153" s="95"/>
    </row>
    <row r="154" spans="1:46" ht="77.25" customHeight="1" x14ac:dyDescent="0.25">
      <c r="A154" s="659"/>
      <c r="B154" s="808"/>
      <c r="C154" s="810"/>
      <c r="D154" s="632"/>
      <c r="E154" s="622"/>
      <c r="F154" s="622"/>
      <c r="G154" s="623"/>
      <c r="H154" s="622"/>
      <c r="I154" s="99"/>
      <c r="J154" s="132"/>
      <c r="K154" s="132"/>
      <c r="L154" s="132"/>
      <c r="M154" s="132"/>
      <c r="N154" s="132"/>
      <c r="O154" s="95"/>
      <c r="P154" s="95"/>
      <c r="Q154" s="95"/>
      <c r="R154" s="95"/>
      <c r="S154" s="134"/>
      <c r="T154" s="95"/>
      <c r="U154" s="95"/>
      <c r="V154" s="95"/>
      <c r="W154" s="95"/>
      <c r="X154" s="95"/>
      <c r="Y154" s="95"/>
      <c r="Z154" s="95"/>
      <c r="AA154" s="95"/>
      <c r="AB154" s="95"/>
      <c r="AC154" s="95"/>
      <c r="AD154" s="95"/>
      <c r="AE154" s="99"/>
      <c r="AF154" s="95"/>
      <c r="AG154" s="104">
        <f>+AG153</f>
        <v>1</v>
      </c>
      <c r="AH154" s="94">
        <f t="shared" si="6"/>
        <v>1</v>
      </c>
      <c r="AI154" s="95"/>
      <c r="AJ154" s="95"/>
      <c r="AK154" s="95"/>
      <c r="AL154" s="95"/>
      <c r="AM154" s="95"/>
      <c r="AN154" s="95"/>
      <c r="AO154" s="95"/>
      <c r="AP154" s="95"/>
      <c r="AQ154" s="95"/>
      <c r="AR154" s="95"/>
      <c r="AS154" s="95"/>
      <c r="AT154" s="95"/>
    </row>
    <row r="155" spans="1:46" ht="77.25" customHeight="1" x14ac:dyDescent="0.25">
      <c r="A155" s="659"/>
      <c r="B155" s="808"/>
      <c r="C155" s="810"/>
      <c r="D155" s="131"/>
      <c r="E155" s="135"/>
      <c r="F155" s="135"/>
      <c r="G155" s="206"/>
      <c r="H155" s="132"/>
      <c r="I155" s="99"/>
      <c r="J155" s="132"/>
      <c r="K155" s="132"/>
      <c r="L155" s="132"/>
      <c r="M155" s="132"/>
      <c r="N155" s="132"/>
      <c r="O155" s="95"/>
      <c r="P155" s="95"/>
      <c r="Q155" s="95"/>
      <c r="R155" s="95"/>
      <c r="S155" s="134"/>
      <c r="T155" s="95"/>
      <c r="U155" s="95"/>
      <c r="V155" s="95"/>
      <c r="W155" s="95"/>
      <c r="X155" s="95"/>
      <c r="Y155" s="95"/>
      <c r="Z155" s="95"/>
      <c r="AA155" s="95"/>
      <c r="AB155" s="95"/>
      <c r="AC155" s="95"/>
      <c r="AD155" s="95"/>
      <c r="AE155" s="99"/>
      <c r="AF155" s="95"/>
      <c r="AG155" s="230">
        <f>+(AG145+AG148+AG151+AG154)/4</f>
        <v>1</v>
      </c>
      <c r="AH155" s="94">
        <f t="shared" si="6"/>
        <v>1</v>
      </c>
      <c r="AI155" s="95"/>
      <c r="AJ155" s="95"/>
      <c r="AK155" s="95"/>
      <c r="AL155" s="95"/>
      <c r="AM155" s="95"/>
      <c r="AN155" s="95"/>
      <c r="AO155" s="95"/>
      <c r="AP155" s="95"/>
      <c r="AQ155" s="95"/>
      <c r="AR155" s="95"/>
      <c r="AS155" s="95"/>
      <c r="AT155" s="95"/>
    </row>
    <row r="156" spans="1:46" ht="90" customHeight="1" x14ac:dyDescent="0.25">
      <c r="A156" s="659"/>
      <c r="B156" s="808"/>
      <c r="C156" s="829" t="s">
        <v>1805</v>
      </c>
      <c r="D156" s="642" t="s">
        <v>1806</v>
      </c>
      <c r="E156" s="632" t="s">
        <v>1808</v>
      </c>
      <c r="F156" s="632" t="s">
        <v>1807</v>
      </c>
      <c r="G156" s="840">
        <v>1</v>
      </c>
      <c r="H156" s="840">
        <v>0.7</v>
      </c>
      <c r="I156" s="642" t="s">
        <v>2122</v>
      </c>
      <c r="J156" s="132" t="s">
        <v>1809</v>
      </c>
      <c r="K156" s="132" t="s">
        <v>1810</v>
      </c>
      <c r="L156" s="132">
        <v>5</v>
      </c>
      <c r="M156" s="132">
        <v>0</v>
      </c>
      <c r="N156" s="132"/>
      <c r="O156" s="95"/>
      <c r="P156" s="99">
        <v>0</v>
      </c>
      <c r="Q156" s="99">
        <v>0</v>
      </c>
      <c r="R156" s="99"/>
      <c r="S156" s="99">
        <v>1</v>
      </c>
      <c r="T156" s="99">
        <v>0</v>
      </c>
      <c r="U156" s="99">
        <v>0</v>
      </c>
      <c r="V156" s="99">
        <v>0</v>
      </c>
      <c r="W156" s="99">
        <v>0</v>
      </c>
      <c r="X156" s="99">
        <v>0</v>
      </c>
      <c r="Y156" s="99">
        <v>0</v>
      </c>
      <c r="Z156" s="99">
        <v>1</v>
      </c>
      <c r="AA156" s="99"/>
      <c r="AB156" s="99"/>
      <c r="AC156" s="99"/>
      <c r="AD156" s="99"/>
      <c r="AE156" s="99">
        <f>+SUM(N156:AC156)</f>
        <v>2</v>
      </c>
      <c r="AF156" s="95"/>
      <c r="AG156" s="102">
        <f>+(AE156/L156)</f>
        <v>0.4</v>
      </c>
      <c r="AH156" s="94">
        <f t="shared" si="6"/>
        <v>0.4</v>
      </c>
      <c r="AI156" s="95"/>
      <c r="AJ156" s="833">
        <v>236290000</v>
      </c>
      <c r="AK156" s="95"/>
      <c r="AL156" s="95"/>
      <c r="AM156" s="95"/>
      <c r="AN156" s="95"/>
      <c r="AO156" s="95"/>
      <c r="AP156" s="95"/>
      <c r="AQ156" s="95"/>
      <c r="AR156" s="95"/>
      <c r="AS156" s="833">
        <v>202399593</v>
      </c>
      <c r="AT156" s="836">
        <f>+AS156/AJ156</f>
        <v>0.85657282576494986</v>
      </c>
    </row>
    <row r="157" spans="1:46" ht="409.5" x14ac:dyDescent="0.25">
      <c r="A157" s="659"/>
      <c r="B157" s="808"/>
      <c r="C157" s="830"/>
      <c r="D157" s="642"/>
      <c r="E157" s="632"/>
      <c r="F157" s="632"/>
      <c r="G157" s="840"/>
      <c r="H157" s="840"/>
      <c r="I157" s="642"/>
      <c r="J157" s="132" t="s">
        <v>1811</v>
      </c>
      <c r="K157" s="132" t="s">
        <v>1812</v>
      </c>
      <c r="L157" s="132">
        <v>48</v>
      </c>
      <c r="M157" s="132">
        <v>9</v>
      </c>
      <c r="N157" s="132"/>
      <c r="O157" s="95"/>
      <c r="P157" s="99">
        <v>8</v>
      </c>
      <c r="Q157" s="99">
        <v>8</v>
      </c>
      <c r="R157" s="99"/>
      <c r="S157" s="99">
        <v>6</v>
      </c>
      <c r="T157" s="99">
        <v>0</v>
      </c>
      <c r="U157" s="99">
        <v>0</v>
      </c>
      <c r="V157" s="99">
        <v>3</v>
      </c>
      <c r="W157" s="99">
        <v>3</v>
      </c>
      <c r="X157" s="99">
        <v>3</v>
      </c>
      <c r="Y157" s="99">
        <v>3</v>
      </c>
      <c r="Z157" s="99">
        <v>6</v>
      </c>
      <c r="AA157" s="99"/>
      <c r="AB157" s="99"/>
      <c r="AC157" s="99"/>
      <c r="AD157" s="99"/>
      <c r="AE157" s="99">
        <f>+R157+S157+P157+Q157+V157+W157+X157+Y157+Z157</f>
        <v>40</v>
      </c>
      <c r="AF157" s="95"/>
      <c r="AG157" s="102">
        <f>+(AE157/L157)</f>
        <v>0.83333333333333337</v>
      </c>
      <c r="AH157" s="94">
        <f t="shared" si="6"/>
        <v>0.83333333333333337</v>
      </c>
      <c r="AI157" s="95"/>
      <c r="AJ157" s="834"/>
      <c r="AK157" s="95"/>
      <c r="AL157" s="95"/>
      <c r="AM157" s="95"/>
      <c r="AN157" s="95"/>
      <c r="AO157" s="95"/>
      <c r="AP157" s="95"/>
      <c r="AQ157" s="95"/>
      <c r="AR157" s="95"/>
      <c r="AS157" s="834"/>
      <c r="AT157" s="837"/>
    </row>
    <row r="158" spans="1:46" ht="52.5" customHeight="1" x14ac:dyDescent="0.25">
      <c r="A158" s="659"/>
      <c r="B158" s="808"/>
      <c r="C158" s="830"/>
      <c r="D158" s="642"/>
      <c r="E158" s="632"/>
      <c r="F158" s="632"/>
      <c r="G158" s="840"/>
      <c r="H158" s="840"/>
      <c r="I158" s="642"/>
      <c r="J158" s="132"/>
      <c r="K158" s="132"/>
      <c r="L158" s="132"/>
      <c r="M158" s="132"/>
      <c r="N158" s="132"/>
      <c r="O158" s="95"/>
      <c r="P158" s="95"/>
      <c r="Q158" s="95"/>
      <c r="R158" s="95"/>
      <c r="S158" s="134"/>
      <c r="T158" s="95"/>
      <c r="U158" s="95"/>
      <c r="V158" s="95"/>
      <c r="W158" s="95"/>
      <c r="X158" s="95"/>
      <c r="Y158" s="95"/>
      <c r="Z158" s="95"/>
      <c r="AA158" s="95"/>
      <c r="AB158" s="95"/>
      <c r="AC158" s="95"/>
      <c r="AD158" s="95"/>
      <c r="AE158" s="99"/>
      <c r="AF158" s="95"/>
      <c r="AG158" s="7">
        <f>AVERAGE(AG156:AG157)</f>
        <v>0.6166666666666667</v>
      </c>
      <c r="AH158" s="94">
        <f t="shared" si="6"/>
        <v>0.6166666666666667</v>
      </c>
      <c r="AI158" s="95"/>
      <c r="AJ158" s="834"/>
      <c r="AK158" s="95"/>
      <c r="AL158" s="95"/>
      <c r="AM158" s="95"/>
      <c r="AN158" s="95"/>
      <c r="AO158" s="95"/>
      <c r="AP158" s="95"/>
      <c r="AQ158" s="95"/>
      <c r="AR158" s="95"/>
      <c r="AS158" s="834"/>
      <c r="AT158" s="837"/>
    </row>
    <row r="159" spans="1:46" ht="409.5" x14ac:dyDescent="0.25">
      <c r="A159" s="659"/>
      <c r="B159" s="808"/>
      <c r="C159" s="830"/>
      <c r="D159" s="642"/>
      <c r="E159" s="632"/>
      <c r="F159" s="632"/>
      <c r="G159" s="840"/>
      <c r="H159" s="840"/>
      <c r="I159" s="642" t="s">
        <v>1823</v>
      </c>
      <c r="J159" s="132" t="s">
        <v>1813</v>
      </c>
      <c r="K159" s="132" t="s">
        <v>1814</v>
      </c>
      <c r="L159" s="132">
        <v>261495</v>
      </c>
      <c r="M159" s="132">
        <v>261495</v>
      </c>
      <c r="N159" s="132"/>
      <c r="O159" s="95"/>
      <c r="P159" s="99">
        <v>0</v>
      </c>
      <c r="Q159" s="99">
        <v>0</v>
      </c>
      <c r="R159" s="99"/>
      <c r="S159" s="99">
        <v>0</v>
      </c>
      <c r="T159" s="99">
        <v>0</v>
      </c>
      <c r="U159" s="99">
        <v>0</v>
      </c>
      <c r="V159" s="99">
        <v>0</v>
      </c>
      <c r="W159" s="99">
        <v>0</v>
      </c>
      <c r="X159" s="99">
        <v>0</v>
      </c>
      <c r="Y159" s="99">
        <v>0</v>
      </c>
      <c r="Z159" s="99"/>
      <c r="AA159" s="99"/>
      <c r="AB159" s="99"/>
      <c r="AC159" s="99"/>
      <c r="AD159" s="99"/>
      <c r="AE159" s="99">
        <f>+SUM(N159:AC159)</f>
        <v>0</v>
      </c>
      <c r="AF159" s="95"/>
      <c r="AG159" s="102">
        <f>+(AE159/L159)</f>
        <v>0</v>
      </c>
      <c r="AH159" s="94">
        <f t="shared" si="6"/>
        <v>0</v>
      </c>
      <c r="AI159" s="95"/>
      <c r="AJ159" s="834"/>
      <c r="AK159" s="95"/>
      <c r="AL159" s="95"/>
      <c r="AM159" s="95"/>
      <c r="AN159" s="95"/>
      <c r="AO159" s="95"/>
      <c r="AP159" s="95"/>
      <c r="AQ159" s="95"/>
      <c r="AR159" s="95"/>
      <c r="AS159" s="834"/>
      <c r="AT159" s="837"/>
    </row>
    <row r="160" spans="1:46" ht="409.5" x14ac:dyDescent="0.25">
      <c r="A160" s="659"/>
      <c r="B160" s="808"/>
      <c r="C160" s="830"/>
      <c r="D160" s="642"/>
      <c r="E160" s="632"/>
      <c r="F160" s="632"/>
      <c r="G160" s="840"/>
      <c r="H160" s="840"/>
      <c r="I160" s="642"/>
      <c r="J160" s="132" t="s">
        <v>1815</v>
      </c>
      <c r="K160" s="132" t="s">
        <v>1816</v>
      </c>
      <c r="L160" s="132">
        <v>5</v>
      </c>
      <c r="M160" s="132">
        <v>5</v>
      </c>
      <c r="N160" s="132"/>
      <c r="O160" s="95"/>
      <c r="P160" s="99">
        <v>1</v>
      </c>
      <c r="Q160" s="99"/>
      <c r="R160" s="99"/>
      <c r="S160" s="99">
        <v>4</v>
      </c>
      <c r="T160" s="99">
        <v>0</v>
      </c>
      <c r="U160" s="99">
        <v>0</v>
      </c>
      <c r="V160" s="99">
        <v>0</v>
      </c>
      <c r="W160" s="99">
        <v>0</v>
      </c>
      <c r="X160" s="99">
        <v>0</v>
      </c>
      <c r="Y160" s="99">
        <v>0</v>
      </c>
      <c r="Z160" s="99">
        <v>0</v>
      </c>
      <c r="AA160" s="99">
        <v>0</v>
      </c>
      <c r="AB160" s="99"/>
      <c r="AC160" s="99"/>
      <c r="AD160" s="99"/>
      <c r="AE160" s="99">
        <f>+SUM(N160:AC160)</f>
        <v>5</v>
      </c>
      <c r="AF160" s="95"/>
      <c r="AG160" s="102">
        <f>+(AE160/L160)</f>
        <v>1</v>
      </c>
      <c r="AH160" s="94">
        <f t="shared" si="6"/>
        <v>1</v>
      </c>
      <c r="AI160" s="95"/>
      <c r="AJ160" s="834"/>
      <c r="AK160" s="95"/>
      <c r="AL160" s="95"/>
      <c r="AM160" s="95"/>
      <c r="AN160" s="95"/>
      <c r="AO160" s="95"/>
      <c r="AP160" s="95"/>
      <c r="AQ160" s="95"/>
      <c r="AR160" s="95"/>
      <c r="AS160" s="834"/>
      <c r="AT160" s="837"/>
    </row>
    <row r="161" spans="1:46" ht="409.5" x14ac:dyDescent="0.25">
      <c r="A161" s="659"/>
      <c r="B161" s="808"/>
      <c r="C161" s="830"/>
      <c r="D161" s="642"/>
      <c r="E161" s="632"/>
      <c r="F161" s="632"/>
      <c r="G161" s="840"/>
      <c r="H161" s="840"/>
      <c r="I161" s="642"/>
      <c r="J161" s="132" t="s">
        <v>1817</v>
      </c>
      <c r="K161" s="132" t="s">
        <v>1818</v>
      </c>
      <c r="L161" s="132">
        <v>71024</v>
      </c>
      <c r="M161" s="132">
        <v>190471</v>
      </c>
      <c r="N161" s="132"/>
      <c r="O161" s="95"/>
      <c r="P161" s="99">
        <v>0</v>
      </c>
      <c r="Q161" s="99">
        <v>0</v>
      </c>
      <c r="R161" s="99">
        <v>0</v>
      </c>
      <c r="S161" s="99">
        <v>0</v>
      </c>
      <c r="T161" s="99">
        <v>0</v>
      </c>
      <c r="U161" s="99">
        <v>0</v>
      </c>
      <c r="V161" s="99">
        <v>16</v>
      </c>
      <c r="W161" s="99">
        <v>0</v>
      </c>
      <c r="X161" s="99">
        <v>0</v>
      </c>
      <c r="Y161" s="99">
        <v>0</v>
      </c>
      <c r="Z161" s="99">
        <v>0</v>
      </c>
      <c r="AA161" s="99">
        <v>0</v>
      </c>
      <c r="AB161" s="99"/>
      <c r="AC161" s="99"/>
      <c r="AD161" s="99"/>
      <c r="AE161" s="99">
        <f>+SUM(N161:AC161)</f>
        <v>16</v>
      </c>
      <c r="AF161" s="95"/>
      <c r="AG161" s="570">
        <f>+(AE161/L161)</f>
        <v>2.2527596305474206E-4</v>
      </c>
      <c r="AH161" s="94">
        <f t="shared" si="6"/>
        <v>2.2527596305474206E-4</v>
      </c>
      <c r="AI161" s="95"/>
      <c r="AJ161" s="834"/>
      <c r="AK161" s="95"/>
      <c r="AL161" s="95"/>
      <c r="AM161" s="95"/>
      <c r="AN161" s="95"/>
      <c r="AO161" s="95"/>
      <c r="AP161" s="95"/>
      <c r="AQ161" s="95"/>
      <c r="AR161" s="95"/>
      <c r="AS161" s="834"/>
      <c r="AT161" s="837"/>
    </row>
    <row r="162" spans="1:46" ht="409.5" x14ac:dyDescent="0.25">
      <c r="A162" s="659"/>
      <c r="B162" s="808"/>
      <c r="C162" s="830"/>
      <c r="D162" s="642"/>
      <c r="E162" s="632"/>
      <c r="F162" s="632"/>
      <c r="G162" s="840"/>
      <c r="H162" s="840"/>
      <c r="I162" s="642"/>
      <c r="J162" s="132" t="s">
        <v>1819</v>
      </c>
      <c r="K162" s="132" t="s">
        <v>1820</v>
      </c>
      <c r="L162" s="132">
        <v>1</v>
      </c>
      <c r="M162" s="132">
        <v>0</v>
      </c>
      <c r="N162" s="132"/>
      <c r="O162" s="95"/>
      <c r="P162" s="99">
        <v>0</v>
      </c>
      <c r="Q162" s="99">
        <v>0</v>
      </c>
      <c r="R162" s="99"/>
      <c r="S162" s="99">
        <v>0</v>
      </c>
      <c r="T162" s="99">
        <v>0</v>
      </c>
      <c r="U162" s="99">
        <v>0</v>
      </c>
      <c r="V162" s="99">
        <v>0</v>
      </c>
      <c r="W162" s="99">
        <v>0</v>
      </c>
      <c r="X162" s="99">
        <v>0</v>
      </c>
      <c r="Y162" s="99">
        <v>0</v>
      </c>
      <c r="Z162" s="99"/>
      <c r="AA162" s="99"/>
      <c r="AB162" s="99"/>
      <c r="AC162" s="99"/>
      <c r="AD162" s="99"/>
      <c r="AE162" s="99">
        <f>+SUM(N162:AC162)</f>
        <v>0</v>
      </c>
      <c r="AF162" s="95"/>
      <c r="AG162" s="102">
        <f>+(AE162/L162)</f>
        <v>0</v>
      </c>
      <c r="AH162" s="94">
        <f t="shared" si="6"/>
        <v>0</v>
      </c>
      <c r="AI162" s="95"/>
      <c r="AJ162" s="834"/>
      <c r="AK162" s="95"/>
      <c r="AL162" s="95"/>
      <c r="AM162" s="95"/>
      <c r="AN162" s="95"/>
      <c r="AO162" s="95"/>
      <c r="AP162" s="95"/>
      <c r="AQ162" s="95"/>
      <c r="AR162" s="95"/>
      <c r="AS162" s="834"/>
      <c r="AT162" s="837"/>
    </row>
    <row r="163" spans="1:46" ht="409.5" x14ac:dyDescent="0.25">
      <c r="A163" s="659"/>
      <c r="B163" s="808"/>
      <c r="C163" s="830"/>
      <c r="D163" s="642"/>
      <c r="E163" s="632"/>
      <c r="F163" s="632"/>
      <c r="G163" s="840"/>
      <c r="H163" s="840"/>
      <c r="I163" s="642"/>
      <c r="J163" s="132" t="s">
        <v>1821</v>
      </c>
      <c r="K163" s="132" t="s">
        <v>1822</v>
      </c>
      <c r="L163" s="132">
        <v>12</v>
      </c>
      <c r="M163" s="132">
        <v>12</v>
      </c>
      <c r="N163" s="132"/>
      <c r="O163" s="95"/>
      <c r="P163" s="99">
        <v>2</v>
      </c>
      <c r="Q163" s="121">
        <f>0</f>
        <v>0</v>
      </c>
      <c r="R163" s="99"/>
      <c r="S163" s="99">
        <v>0</v>
      </c>
      <c r="T163" s="99">
        <v>0</v>
      </c>
      <c r="U163" s="99">
        <v>0</v>
      </c>
      <c r="V163" s="99">
        <v>0</v>
      </c>
      <c r="W163" s="99">
        <v>0</v>
      </c>
      <c r="X163" s="99">
        <v>0</v>
      </c>
      <c r="Y163" s="99">
        <v>0</v>
      </c>
      <c r="Z163" s="99">
        <v>4</v>
      </c>
      <c r="AA163" s="99"/>
      <c r="AB163" s="99"/>
      <c r="AC163" s="99"/>
      <c r="AD163" s="99"/>
      <c r="AE163" s="99">
        <f>+SUM(N163:AC163)</f>
        <v>6</v>
      </c>
      <c r="AF163" s="95"/>
      <c r="AG163" s="102">
        <f>+(AE163/L163)</f>
        <v>0.5</v>
      </c>
      <c r="AH163" s="94">
        <f t="shared" si="6"/>
        <v>0.5</v>
      </c>
      <c r="AI163" s="95"/>
      <c r="AJ163" s="834"/>
      <c r="AK163" s="95"/>
      <c r="AL163" s="95"/>
      <c r="AM163" s="95"/>
      <c r="AN163" s="95"/>
      <c r="AO163" s="95"/>
      <c r="AP163" s="95"/>
      <c r="AQ163" s="95"/>
      <c r="AR163" s="95"/>
      <c r="AS163" s="834"/>
      <c r="AT163" s="837"/>
    </row>
    <row r="164" spans="1:46" ht="57.75" customHeight="1" x14ac:dyDescent="0.25">
      <c r="A164" s="659"/>
      <c r="B164" s="808"/>
      <c r="C164" s="830"/>
      <c r="D164" s="642"/>
      <c r="E164" s="632"/>
      <c r="F164" s="632"/>
      <c r="G164" s="840"/>
      <c r="H164" s="840"/>
      <c r="I164" s="642"/>
      <c r="J164" s="132"/>
      <c r="K164" s="132"/>
      <c r="L164" s="132"/>
      <c r="M164" s="132"/>
      <c r="N164" s="132"/>
      <c r="O164" s="95"/>
      <c r="P164" s="95"/>
      <c r="Q164" s="95"/>
      <c r="R164" s="95"/>
      <c r="S164" s="134"/>
      <c r="T164" s="95"/>
      <c r="U164" s="95"/>
      <c r="V164" s="95"/>
      <c r="W164" s="95"/>
      <c r="X164" s="95"/>
      <c r="Y164" s="95"/>
      <c r="Z164" s="95"/>
      <c r="AA164" s="95"/>
      <c r="AB164" s="95"/>
      <c r="AC164" s="95"/>
      <c r="AD164" s="95"/>
      <c r="AE164" s="99"/>
      <c r="AF164" s="95"/>
      <c r="AG164" s="7">
        <f>AVERAGE(AG159:AG163)</f>
        <v>0.30004505519261093</v>
      </c>
      <c r="AH164" s="94">
        <f t="shared" si="6"/>
        <v>0.30004505519261093</v>
      </c>
      <c r="AI164" s="95"/>
      <c r="AJ164" s="834"/>
      <c r="AK164" s="95"/>
      <c r="AL164" s="95"/>
      <c r="AM164" s="95"/>
      <c r="AN164" s="95"/>
      <c r="AO164" s="95"/>
      <c r="AP164" s="95"/>
      <c r="AQ164" s="95"/>
      <c r="AR164" s="95"/>
      <c r="AS164" s="834"/>
      <c r="AT164" s="837"/>
    </row>
    <row r="165" spans="1:46" ht="92.25" customHeight="1" x14ac:dyDescent="0.25">
      <c r="A165" s="659"/>
      <c r="B165" s="808"/>
      <c r="C165" s="830"/>
      <c r="D165" s="642"/>
      <c r="E165" s="632"/>
      <c r="F165" s="632"/>
      <c r="G165" s="840"/>
      <c r="H165" s="840"/>
      <c r="I165" s="805" t="s">
        <v>1824</v>
      </c>
      <c r="J165" s="563" t="s">
        <v>1825</v>
      </c>
      <c r="K165" s="135" t="s">
        <v>1826</v>
      </c>
      <c r="L165" s="105">
        <v>3</v>
      </c>
      <c r="M165" s="115">
        <v>3</v>
      </c>
      <c r="N165" s="115"/>
      <c r="O165" s="95"/>
      <c r="P165" s="99">
        <v>1</v>
      </c>
      <c r="Q165" s="99"/>
      <c r="R165" s="99"/>
      <c r="S165" s="99">
        <v>0</v>
      </c>
      <c r="T165" s="99">
        <v>0</v>
      </c>
      <c r="U165" s="99">
        <v>0</v>
      </c>
      <c r="V165" s="99">
        <v>0</v>
      </c>
      <c r="W165" s="99">
        <v>0</v>
      </c>
      <c r="X165" s="99">
        <v>1</v>
      </c>
      <c r="Y165" s="99">
        <v>0</v>
      </c>
      <c r="Z165" s="99">
        <v>0</v>
      </c>
      <c r="AA165" s="99">
        <v>0</v>
      </c>
      <c r="AB165" s="99"/>
      <c r="AC165" s="99"/>
      <c r="AD165" s="99"/>
      <c r="AE165" s="99">
        <f>+SUM(N165:AC165)</f>
        <v>2</v>
      </c>
      <c r="AF165" s="95"/>
      <c r="AG165" s="102">
        <f>+(AE165/L165)</f>
        <v>0.66666666666666663</v>
      </c>
      <c r="AH165" s="94">
        <f t="shared" si="6"/>
        <v>0.66666666666666663</v>
      </c>
      <c r="AI165" s="95"/>
      <c r="AJ165" s="834"/>
      <c r="AK165" s="95"/>
      <c r="AL165" s="95"/>
      <c r="AM165" s="95"/>
      <c r="AN165" s="95"/>
      <c r="AO165" s="95"/>
      <c r="AP165" s="95"/>
      <c r="AQ165" s="95"/>
      <c r="AR165" s="95"/>
      <c r="AS165" s="834"/>
      <c r="AT165" s="837"/>
    </row>
    <row r="166" spans="1:46" ht="409.5" x14ac:dyDescent="0.25">
      <c r="A166" s="659"/>
      <c r="B166" s="808"/>
      <c r="C166" s="830"/>
      <c r="D166" s="642"/>
      <c r="E166" s="632"/>
      <c r="F166" s="632"/>
      <c r="G166" s="840"/>
      <c r="H166" s="840"/>
      <c r="I166" s="806"/>
      <c r="J166" s="564" t="s">
        <v>1837</v>
      </c>
      <c r="K166" s="98" t="s">
        <v>1838</v>
      </c>
      <c r="L166" s="105">
        <v>3</v>
      </c>
      <c r="M166" s="115">
        <v>3</v>
      </c>
      <c r="N166" s="115"/>
      <c r="O166" s="95"/>
      <c r="P166" s="99">
        <v>1</v>
      </c>
      <c r="Q166" s="99"/>
      <c r="R166" s="99"/>
      <c r="S166" s="99"/>
      <c r="T166" s="99">
        <v>0</v>
      </c>
      <c r="U166" s="99">
        <v>0</v>
      </c>
      <c r="V166" s="99">
        <v>0</v>
      </c>
      <c r="W166" s="99">
        <v>0</v>
      </c>
      <c r="X166" s="99">
        <v>0</v>
      </c>
      <c r="Y166" s="99">
        <v>2</v>
      </c>
      <c r="Z166" s="99">
        <v>0</v>
      </c>
      <c r="AA166" s="99">
        <v>0</v>
      </c>
      <c r="AB166" s="99"/>
      <c r="AC166" s="99"/>
      <c r="AD166" s="99"/>
      <c r="AE166" s="99">
        <f>+SUM(N166:AC166)</f>
        <v>3</v>
      </c>
      <c r="AF166" s="95"/>
      <c r="AG166" s="102">
        <f>+(AE166/L166)</f>
        <v>1</v>
      </c>
      <c r="AH166" s="94">
        <f t="shared" si="6"/>
        <v>1</v>
      </c>
      <c r="AI166" s="95"/>
      <c r="AJ166" s="834"/>
      <c r="AK166" s="95"/>
      <c r="AL166" s="95"/>
      <c r="AM166" s="95"/>
      <c r="AN166" s="95"/>
      <c r="AO166" s="95"/>
      <c r="AP166" s="95"/>
      <c r="AQ166" s="95"/>
      <c r="AR166" s="95"/>
      <c r="AS166" s="834"/>
      <c r="AT166" s="837"/>
    </row>
    <row r="167" spans="1:46" ht="409.5" x14ac:dyDescent="0.25">
      <c r="A167" s="659"/>
      <c r="B167" s="808"/>
      <c r="C167" s="830"/>
      <c r="D167" s="642"/>
      <c r="E167" s="632"/>
      <c r="F167" s="632"/>
      <c r="G167" s="840"/>
      <c r="H167" s="840"/>
      <c r="I167" s="807"/>
      <c r="J167" s="564" t="s">
        <v>1827</v>
      </c>
      <c r="K167" s="98" t="s">
        <v>1828</v>
      </c>
      <c r="L167" s="131">
        <v>5</v>
      </c>
      <c r="M167" s="131">
        <v>5</v>
      </c>
      <c r="N167" s="131"/>
      <c r="O167" s="95"/>
      <c r="P167" s="99">
        <v>0</v>
      </c>
      <c r="Q167" s="99">
        <v>0</v>
      </c>
      <c r="R167" s="95"/>
      <c r="S167" s="134"/>
      <c r="T167" s="281">
        <v>1</v>
      </c>
      <c r="U167" s="297">
        <v>0</v>
      </c>
      <c r="V167" s="399">
        <v>1</v>
      </c>
      <c r="W167" s="399">
        <v>0</v>
      </c>
      <c r="X167" s="399">
        <v>0</v>
      </c>
      <c r="Y167" s="399">
        <v>0</v>
      </c>
      <c r="Z167" s="399">
        <v>0</v>
      </c>
      <c r="AA167" s="399">
        <v>0</v>
      </c>
      <c r="AB167" s="95"/>
      <c r="AC167" s="95"/>
      <c r="AD167" s="95"/>
      <c r="AE167" s="99">
        <f>+SUM(N167:AC167)</f>
        <v>2</v>
      </c>
      <c r="AF167" s="95"/>
      <c r="AG167" s="102">
        <f>+(AE167/3)</f>
        <v>0.66666666666666663</v>
      </c>
      <c r="AH167" s="94">
        <f t="shared" si="6"/>
        <v>0.66666666666666663</v>
      </c>
      <c r="AI167" s="95"/>
      <c r="AJ167" s="834"/>
      <c r="AK167" s="95"/>
      <c r="AL167" s="95"/>
      <c r="AM167" s="95"/>
      <c r="AN167" s="95"/>
      <c r="AO167" s="95"/>
      <c r="AP167" s="95"/>
      <c r="AQ167" s="95"/>
      <c r="AR167" s="95"/>
      <c r="AS167" s="834"/>
      <c r="AT167" s="837"/>
    </row>
    <row r="168" spans="1:46" ht="67.5" customHeight="1" x14ac:dyDescent="0.25">
      <c r="A168" s="659"/>
      <c r="B168" s="808"/>
      <c r="C168" s="830"/>
      <c r="D168" s="642"/>
      <c r="E168" s="632"/>
      <c r="F168" s="632"/>
      <c r="G168" s="840"/>
      <c r="H168" s="840"/>
      <c r="I168" s="119"/>
      <c r="J168" s="98"/>
      <c r="K168" s="98"/>
      <c r="L168" s="131"/>
      <c r="M168" s="131"/>
      <c r="N168" s="131"/>
      <c r="O168" s="95"/>
      <c r="P168" s="95"/>
      <c r="Q168" s="95"/>
      <c r="R168" s="95"/>
      <c r="S168" s="134"/>
      <c r="T168" s="95"/>
      <c r="U168" s="95"/>
      <c r="V168" s="95"/>
      <c r="W168" s="95"/>
      <c r="X168" s="95"/>
      <c r="Y168" s="95"/>
      <c r="Z168" s="95"/>
      <c r="AA168" s="95"/>
      <c r="AB168" s="95"/>
      <c r="AC168" s="95"/>
      <c r="AD168" s="95"/>
      <c r="AE168" s="99"/>
      <c r="AF168" s="95"/>
      <c r="AG168" s="106">
        <f>AVERAGE(AG165:AG167)</f>
        <v>0.77777777777777768</v>
      </c>
      <c r="AH168" s="94">
        <f t="shared" si="6"/>
        <v>0.77777777777777768</v>
      </c>
      <c r="AI168" s="95"/>
      <c r="AJ168" s="834"/>
      <c r="AK168" s="95"/>
      <c r="AL168" s="95"/>
      <c r="AM168" s="95"/>
      <c r="AN168" s="95"/>
      <c r="AO168" s="95"/>
      <c r="AP168" s="95"/>
      <c r="AQ168" s="95"/>
      <c r="AR168" s="95"/>
      <c r="AS168" s="834"/>
      <c r="AT168" s="837"/>
    </row>
    <row r="169" spans="1:46" ht="409.5" x14ac:dyDescent="0.25">
      <c r="A169" s="659"/>
      <c r="B169" s="808"/>
      <c r="C169" s="830"/>
      <c r="D169" s="642"/>
      <c r="E169" s="632"/>
      <c r="F169" s="632"/>
      <c r="G169" s="840"/>
      <c r="H169" s="840"/>
      <c r="I169" s="839" t="s">
        <v>1839</v>
      </c>
      <c r="J169" s="100" t="s">
        <v>1829</v>
      </c>
      <c r="K169" s="98" t="s">
        <v>1830</v>
      </c>
      <c r="L169" s="131">
        <v>2</v>
      </c>
      <c r="M169" s="131">
        <v>7</v>
      </c>
      <c r="N169" s="131"/>
      <c r="O169" s="95"/>
      <c r="P169" s="99">
        <v>0</v>
      </c>
      <c r="Q169" s="95"/>
      <c r="R169" s="95">
        <v>0</v>
      </c>
      <c r="S169" s="281">
        <v>0</v>
      </c>
      <c r="T169" s="281">
        <v>0</v>
      </c>
      <c r="U169" s="297">
        <v>0</v>
      </c>
      <c r="V169" s="399">
        <v>0</v>
      </c>
      <c r="W169" s="399">
        <v>0</v>
      </c>
      <c r="X169" s="399">
        <v>0</v>
      </c>
      <c r="Y169" s="399">
        <v>0</v>
      </c>
      <c r="Z169" s="399">
        <v>0</v>
      </c>
      <c r="AA169" s="399">
        <v>0</v>
      </c>
      <c r="AB169" s="95"/>
      <c r="AC169" s="95"/>
      <c r="AD169" s="95"/>
      <c r="AE169" s="99">
        <f>+SUM(N169:AC169)</f>
        <v>0</v>
      </c>
      <c r="AF169" s="95"/>
      <c r="AG169" s="102">
        <f>+(AE169/L169)</f>
        <v>0</v>
      </c>
      <c r="AH169" s="94">
        <f t="shared" si="6"/>
        <v>0</v>
      </c>
      <c r="AI169" s="95"/>
      <c r="AJ169" s="834"/>
      <c r="AK169" s="95"/>
      <c r="AL169" s="95"/>
      <c r="AM169" s="95"/>
      <c r="AN169" s="95"/>
      <c r="AO169" s="95"/>
      <c r="AP169" s="95"/>
      <c r="AQ169" s="95"/>
      <c r="AR169" s="95"/>
      <c r="AS169" s="834"/>
      <c r="AT169" s="837"/>
    </row>
    <row r="170" spans="1:46" ht="409.5" x14ac:dyDescent="0.25">
      <c r="A170" s="659"/>
      <c r="B170" s="808"/>
      <c r="C170" s="830"/>
      <c r="D170" s="642"/>
      <c r="E170" s="632"/>
      <c r="F170" s="632"/>
      <c r="G170" s="840"/>
      <c r="H170" s="840"/>
      <c r="I170" s="839"/>
      <c r="J170" s="564" t="s">
        <v>1831</v>
      </c>
      <c r="K170" s="98" t="s">
        <v>1832</v>
      </c>
      <c r="L170" s="131">
        <v>7</v>
      </c>
      <c r="M170" s="131">
        <v>7</v>
      </c>
      <c r="N170" s="131"/>
      <c r="O170" s="95"/>
      <c r="P170" s="99">
        <v>0</v>
      </c>
      <c r="Q170" s="99">
        <v>0</v>
      </c>
      <c r="R170" s="95">
        <v>0</v>
      </c>
      <c r="S170" s="281">
        <v>0</v>
      </c>
      <c r="T170" s="281">
        <v>0</v>
      </c>
      <c r="U170" s="297">
        <v>0</v>
      </c>
      <c r="V170" s="95"/>
      <c r="W170" s="95"/>
      <c r="X170" s="95"/>
      <c r="Y170" s="95"/>
      <c r="Z170" s="95"/>
      <c r="AA170" s="95"/>
      <c r="AB170" s="95"/>
      <c r="AC170" s="95"/>
      <c r="AD170" s="95"/>
      <c r="AE170" s="99">
        <f>+SUM(N170:AC170)</f>
        <v>0</v>
      </c>
      <c r="AF170" s="95"/>
      <c r="AG170" s="102">
        <f>+(AE170/L170)</f>
        <v>0</v>
      </c>
      <c r="AH170" s="94">
        <f t="shared" si="6"/>
        <v>0</v>
      </c>
      <c r="AI170" s="95"/>
      <c r="AJ170" s="834"/>
      <c r="AK170" s="95"/>
      <c r="AL170" s="95"/>
      <c r="AM170" s="95"/>
      <c r="AN170" s="95"/>
      <c r="AO170" s="95"/>
      <c r="AP170" s="95"/>
      <c r="AQ170" s="95"/>
      <c r="AR170" s="95"/>
      <c r="AS170" s="834"/>
      <c r="AT170" s="837"/>
    </row>
    <row r="171" spans="1:46" ht="409.5" x14ac:dyDescent="0.25">
      <c r="A171" s="659"/>
      <c r="B171" s="808"/>
      <c r="C171" s="830"/>
      <c r="D171" s="642"/>
      <c r="E171" s="632"/>
      <c r="F171" s="632"/>
      <c r="G171" s="840"/>
      <c r="H171" s="840"/>
      <c r="I171" s="839"/>
      <c r="J171" s="98" t="s">
        <v>1833</v>
      </c>
      <c r="K171" s="98" t="s">
        <v>1834</v>
      </c>
      <c r="L171" s="131">
        <v>6300</v>
      </c>
      <c r="M171" s="131">
        <v>3048</v>
      </c>
      <c r="N171" s="131"/>
      <c r="O171" s="95"/>
      <c r="P171" s="99">
        <v>6300</v>
      </c>
      <c r="Q171" s="99"/>
      <c r="R171" s="95"/>
      <c r="S171" s="281">
        <v>1322</v>
      </c>
      <c r="T171" s="281">
        <v>0</v>
      </c>
      <c r="U171" s="297">
        <v>0</v>
      </c>
      <c r="V171" s="399">
        <v>0</v>
      </c>
      <c r="W171" s="399">
        <v>0</v>
      </c>
      <c r="X171" s="399">
        <v>6300</v>
      </c>
      <c r="Y171" s="399">
        <v>0</v>
      </c>
      <c r="Z171" s="95"/>
      <c r="AA171" s="95"/>
      <c r="AB171" s="95"/>
      <c r="AC171" s="95"/>
      <c r="AD171" s="95"/>
      <c r="AE171" s="99">
        <f>+SUM(N171:AC171)</f>
        <v>13922</v>
      </c>
      <c r="AF171" s="95"/>
      <c r="AG171" s="102">
        <f>100%</f>
        <v>1</v>
      </c>
      <c r="AH171" s="94">
        <f t="shared" si="6"/>
        <v>1</v>
      </c>
      <c r="AI171" s="95"/>
      <c r="AJ171" s="834"/>
      <c r="AK171" s="95"/>
      <c r="AL171" s="95"/>
      <c r="AM171" s="95"/>
      <c r="AN171" s="95"/>
      <c r="AO171" s="95"/>
      <c r="AP171" s="95"/>
      <c r="AQ171" s="95"/>
      <c r="AR171" s="95"/>
      <c r="AS171" s="834"/>
      <c r="AT171" s="837"/>
    </row>
    <row r="172" spans="1:46" ht="409.5" x14ac:dyDescent="0.25">
      <c r="A172" s="659"/>
      <c r="B172" s="808"/>
      <c r="C172" s="830"/>
      <c r="D172" s="642"/>
      <c r="E172" s="632"/>
      <c r="F172" s="632"/>
      <c r="G172" s="840"/>
      <c r="H172" s="840"/>
      <c r="I172" s="839"/>
      <c r="J172" s="564" t="s">
        <v>1835</v>
      </c>
      <c r="K172" s="98" t="s">
        <v>1836</v>
      </c>
      <c r="L172" s="131">
        <v>5</v>
      </c>
      <c r="M172" s="131">
        <v>1</v>
      </c>
      <c r="N172" s="131"/>
      <c r="O172" s="95"/>
      <c r="P172" s="99">
        <v>0</v>
      </c>
      <c r="Q172" s="99"/>
      <c r="R172" s="95"/>
      <c r="S172" s="281">
        <v>0</v>
      </c>
      <c r="T172" s="281">
        <v>0</v>
      </c>
      <c r="U172" s="297">
        <v>0</v>
      </c>
      <c r="V172" s="399">
        <v>0</v>
      </c>
      <c r="W172" s="399">
        <v>1</v>
      </c>
      <c r="X172" s="399">
        <v>0</v>
      </c>
      <c r="Y172" s="399">
        <v>0</v>
      </c>
      <c r="Z172" s="95"/>
      <c r="AA172" s="95"/>
      <c r="AB172" s="95"/>
      <c r="AC172" s="95"/>
      <c r="AD172" s="95"/>
      <c r="AE172" s="99">
        <f>+SUM(N172:AC172)</f>
        <v>1</v>
      </c>
      <c r="AF172" s="95"/>
      <c r="AG172" s="102">
        <f>+(AE172/L172)</f>
        <v>0.2</v>
      </c>
      <c r="AH172" s="94">
        <f t="shared" si="6"/>
        <v>0.2</v>
      </c>
      <c r="AI172" s="95"/>
      <c r="AJ172" s="834"/>
      <c r="AK172" s="95"/>
      <c r="AL172" s="95"/>
      <c r="AM172" s="95"/>
      <c r="AN172" s="95"/>
      <c r="AO172" s="95"/>
      <c r="AP172" s="95"/>
      <c r="AQ172" s="95"/>
      <c r="AR172" s="95"/>
      <c r="AS172" s="834"/>
      <c r="AT172" s="837"/>
    </row>
    <row r="173" spans="1:46" ht="65.25" customHeight="1" x14ac:dyDescent="0.25">
      <c r="A173" s="659"/>
      <c r="B173" s="808"/>
      <c r="C173" s="830"/>
      <c r="D173" s="642"/>
      <c r="E173" s="632"/>
      <c r="F173" s="632"/>
      <c r="G173" s="840"/>
      <c r="H173" s="840"/>
      <c r="I173" s="839"/>
      <c r="J173" s="98"/>
      <c r="K173" s="98"/>
      <c r="L173" s="131"/>
      <c r="M173" s="131"/>
      <c r="N173" s="131"/>
      <c r="O173" s="95"/>
      <c r="P173" s="95"/>
      <c r="Q173" s="95"/>
      <c r="R173" s="95"/>
      <c r="S173" s="134"/>
      <c r="T173" s="95"/>
      <c r="U173" s="95"/>
      <c r="V173" s="95"/>
      <c r="W173" s="95"/>
      <c r="X173" s="95"/>
      <c r="Y173" s="95"/>
      <c r="Z173" s="95"/>
      <c r="AA173" s="95"/>
      <c r="AB173" s="95"/>
      <c r="AC173" s="95"/>
      <c r="AD173" s="95"/>
      <c r="AE173" s="99"/>
      <c r="AF173" s="95"/>
      <c r="AG173" s="235">
        <f>AVERAGE(AG169:AG172)</f>
        <v>0.3</v>
      </c>
      <c r="AH173" s="94">
        <f t="shared" si="6"/>
        <v>0.3</v>
      </c>
      <c r="AI173" s="95"/>
      <c r="AJ173" s="834"/>
      <c r="AK173" s="95"/>
      <c r="AL173" s="95"/>
      <c r="AM173" s="95"/>
      <c r="AN173" s="95"/>
      <c r="AO173" s="95"/>
      <c r="AP173" s="95"/>
      <c r="AQ173" s="95"/>
      <c r="AR173" s="95"/>
      <c r="AS173" s="834"/>
      <c r="AT173" s="837"/>
    </row>
    <row r="174" spans="1:46" ht="409.5" x14ac:dyDescent="0.25">
      <c r="A174" s="659"/>
      <c r="B174" s="808"/>
      <c r="C174" s="830"/>
      <c r="D174" s="642"/>
      <c r="E174" s="632"/>
      <c r="F174" s="632"/>
      <c r="G174" s="840"/>
      <c r="H174" s="840"/>
      <c r="I174" s="642" t="s">
        <v>1850</v>
      </c>
      <c r="J174" s="564" t="s">
        <v>1840</v>
      </c>
      <c r="K174" s="98" t="s">
        <v>1841</v>
      </c>
      <c r="L174" s="131">
        <v>250</v>
      </c>
      <c r="M174" s="131">
        <v>0</v>
      </c>
      <c r="N174" s="131"/>
      <c r="O174" s="95"/>
      <c r="P174" s="99">
        <v>0</v>
      </c>
      <c r="Q174" s="99"/>
      <c r="R174" s="95"/>
      <c r="S174" s="281">
        <v>50</v>
      </c>
      <c r="T174" s="281">
        <v>40</v>
      </c>
      <c r="U174" s="297">
        <v>0</v>
      </c>
      <c r="V174" s="399">
        <v>0</v>
      </c>
      <c r="W174" s="399">
        <v>0</v>
      </c>
      <c r="X174" s="399">
        <v>0</v>
      </c>
      <c r="Y174" s="399">
        <v>250</v>
      </c>
      <c r="Z174" s="399">
        <v>0</v>
      </c>
      <c r="AA174" s="399">
        <v>0</v>
      </c>
      <c r="AB174" s="95"/>
      <c r="AC174" s="95"/>
      <c r="AD174" s="95"/>
      <c r="AE174" s="99">
        <f>+SUM(N174:AC174)</f>
        <v>340</v>
      </c>
      <c r="AF174" s="95"/>
      <c r="AG174" s="102">
        <v>1</v>
      </c>
      <c r="AH174" s="94">
        <f t="shared" si="6"/>
        <v>1</v>
      </c>
      <c r="AI174" s="95"/>
      <c r="AJ174" s="834"/>
      <c r="AK174" s="95"/>
      <c r="AL174" s="95"/>
      <c r="AM174" s="95"/>
      <c r="AN174" s="95"/>
      <c r="AO174" s="95"/>
      <c r="AP174" s="95"/>
      <c r="AQ174" s="95"/>
      <c r="AR174" s="95"/>
      <c r="AS174" s="834"/>
      <c r="AT174" s="837"/>
    </row>
    <row r="175" spans="1:46" ht="409.5" x14ac:dyDescent="0.25">
      <c r="A175" s="659"/>
      <c r="B175" s="808"/>
      <c r="C175" s="830"/>
      <c r="D175" s="642"/>
      <c r="E175" s="632"/>
      <c r="F175" s="632"/>
      <c r="G175" s="840"/>
      <c r="H175" s="840"/>
      <c r="I175" s="642"/>
      <c r="J175" s="564" t="s">
        <v>1842</v>
      </c>
      <c r="K175" s="98" t="s">
        <v>1843</v>
      </c>
      <c r="L175" s="131">
        <v>1</v>
      </c>
      <c r="M175" s="131">
        <v>0</v>
      </c>
      <c r="N175" s="131"/>
      <c r="O175" s="95"/>
      <c r="P175" s="99">
        <v>0</v>
      </c>
      <c r="Q175" s="95"/>
      <c r="R175" s="95"/>
      <c r="S175" s="297">
        <v>0</v>
      </c>
      <c r="T175" s="281">
        <v>1</v>
      </c>
      <c r="U175" s="297">
        <v>0</v>
      </c>
      <c r="V175" s="95"/>
      <c r="W175" s="95"/>
      <c r="X175" s="95"/>
      <c r="Y175" s="95"/>
      <c r="Z175" s="95"/>
      <c r="AA175" s="95"/>
      <c r="AB175" s="95"/>
      <c r="AC175" s="95"/>
      <c r="AD175" s="95"/>
      <c r="AE175" s="99">
        <f>+SUM(N175:AC175)</f>
        <v>1</v>
      </c>
      <c r="AF175" s="95"/>
      <c r="AG175" s="102">
        <f>+(AE175/L175)</f>
        <v>1</v>
      </c>
      <c r="AH175" s="94">
        <f t="shared" si="6"/>
        <v>1</v>
      </c>
      <c r="AI175" s="95"/>
      <c r="AJ175" s="834"/>
      <c r="AK175" s="95"/>
      <c r="AL175" s="95"/>
      <c r="AM175" s="95"/>
      <c r="AN175" s="95"/>
      <c r="AO175" s="95"/>
      <c r="AP175" s="95"/>
      <c r="AQ175" s="95"/>
      <c r="AR175" s="95"/>
      <c r="AS175" s="834"/>
      <c r="AT175" s="837"/>
    </row>
    <row r="176" spans="1:46" ht="409.5" x14ac:dyDescent="0.25">
      <c r="A176" s="659"/>
      <c r="B176" s="808"/>
      <c r="C176" s="830"/>
      <c r="D176" s="642"/>
      <c r="E176" s="632"/>
      <c r="F176" s="632"/>
      <c r="G176" s="840"/>
      <c r="H176" s="840"/>
      <c r="I176" s="642"/>
      <c r="J176" s="564" t="s">
        <v>1844</v>
      </c>
      <c r="K176" s="98" t="s">
        <v>1845</v>
      </c>
      <c r="L176" s="131">
        <v>4</v>
      </c>
      <c r="M176" s="131">
        <v>0</v>
      </c>
      <c r="N176" s="131"/>
      <c r="O176" s="95"/>
      <c r="P176" s="99">
        <v>1</v>
      </c>
      <c r="Q176" s="99"/>
      <c r="R176" s="95"/>
      <c r="S176" s="297">
        <v>0</v>
      </c>
      <c r="T176" s="281">
        <v>0</v>
      </c>
      <c r="U176" s="297">
        <v>0</v>
      </c>
      <c r="V176" s="95"/>
      <c r="W176" s="399">
        <v>1</v>
      </c>
      <c r="X176" s="95"/>
      <c r="Y176" s="399">
        <v>0</v>
      </c>
      <c r="Z176" s="399">
        <v>0</v>
      </c>
      <c r="AA176" s="399">
        <v>0</v>
      </c>
      <c r="AB176" s="95"/>
      <c r="AC176" s="95"/>
      <c r="AD176" s="95"/>
      <c r="AE176" s="99">
        <f>+SUM(N176:AC176)</f>
        <v>2</v>
      </c>
      <c r="AF176" s="95"/>
      <c r="AG176" s="102">
        <f>+(AE176/L176)</f>
        <v>0.5</v>
      </c>
      <c r="AH176" s="94">
        <f t="shared" si="6"/>
        <v>0.5</v>
      </c>
      <c r="AI176" s="95"/>
      <c r="AJ176" s="834"/>
      <c r="AK176" s="95"/>
      <c r="AL176" s="95"/>
      <c r="AM176" s="95"/>
      <c r="AN176" s="95"/>
      <c r="AO176" s="95"/>
      <c r="AP176" s="95"/>
      <c r="AQ176" s="95"/>
      <c r="AR176" s="95"/>
      <c r="AS176" s="834"/>
      <c r="AT176" s="837"/>
    </row>
    <row r="177" spans="1:46" ht="409.5" x14ac:dyDescent="0.25">
      <c r="A177" s="659"/>
      <c r="B177" s="808"/>
      <c r="C177" s="830"/>
      <c r="D177" s="642"/>
      <c r="E177" s="632"/>
      <c r="F177" s="632"/>
      <c r="G177" s="840"/>
      <c r="H177" s="840"/>
      <c r="I177" s="642"/>
      <c r="J177" s="564" t="s">
        <v>1846</v>
      </c>
      <c r="K177" s="98" t="s">
        <v>1847</v>
      </c>
      <c r="L177" s="131">
        <v>4</v>
      </c>
      <c r="M177" s="131">
        <v>0</v>
      </c>
      <c r="N177" s="131"/>
      <c r="O177" s="95"/>
      <c r="P177" s="99">
        <v>1</v>
      </c>
      <c r="Q177" s="99"/>
      <c r="R177" s="95"/>
      <c r="S177" s="297">
        <v>0</v>
      </c>
      <c r="T177" s="281">
        <v>0</v>
      </c>
      <c r="U177" s="297">
        <v>0</v>
      </c>
      <c r="V177" s="399">
        <v>0</v>
      </c>
      <c r="W177" s="399">
        <v>0</v>
      </c>
      <c r="X177" s="399">
        <v>0</v>
      </c>
      <c r="Y177" s="399">
        <v>0</v>
      </c>
      <c r="Z177" s="399">
        <v>0</v>
      </c>
      <c r="AA177" s="399">
        <v>0</v>
      </c>
      <c r="AB177" s="95"/>
      <c r="AC177" s="95"/>
      <c r="AD177" s="95"/>
      <c r="AE177" s="99">
        <f>+SUM(N177:AC177)</f>
        <v>1</v>
      </c>
      <c r="AF177" s="95"/>
      <c r="AG177" s="102">
        <f>+(AE177/L177)</f>
        <v>0.25</v>
      </c>
      <c r="AH177" s="94">
        <f t="shared" si="6"/>
        <v>0.25</v>
      </c>
      <c r="AI177" s="95"/>
      <c r="AJ177" s="834"/>
      <c r="AK177" s="95"/>
      <c r="AL177" s="95"/>
      <c r="AM177" s="95"/>
      <c r="AN177" s="95"/>
      <c r="AO177" s="95"/>
      <c r="AP177" s="95"/>
      <c r="AQ177" s="95"/>
      <c r="AR177" s="95"/>
      <c r="AS177" s="834"/>
      <c r="AT177" s="837"/>
    </row>
    <row r="178" spans="1:46" ht="409.5" x14ac:dyDescent="0.25">
      <c r="A178" s="659"/>
      <c r="B178" s="808"/>
      <c r="C178" s="830"/>
      <c r="D178" s="642"/>
      <c r="E178" s="632"/>
      <c r="F178" s="632"/>
      <c r="G178" s="840"/>
      <c r="H178" s="840"/>
      <c r="I178" s="642"/>
      <c r="J178" s="564" t="s">
        <v>1848</v>
      </c>
      <c r="K178" s="98" t="s">
        <v>1849</v>
      </c>
      <c r="L178" s="131">
        <v>4</v>
      </c>
      <c r="M178" s="131">
        <v>0</v>
      </c>
      <c r="N178" s="131"/>
      <c r="O178" s="95"/>
      <c r="P178" s="99">
        <v>1</v>
      </c>
      <c r="Q178" s="99"/>
      <c r="R178" s="95"/>
      <c r="S178" s="297">
        <v>2</v>
      </c>
      <c r="T178" s="281">
        <v>0</v>
      </c>
      <c r="U178" s="297">
        <v>0</v>
      </c>
      <c r="V178" s="399">
        <v>0</v>
      </c>
      <c r="W178" s="399"/>
      <c r="X178" s="399">
        <v>0</v>
      </c>
      <c r="Y178" s="399">
        <v>0</v>
      </c>
      <c r="Z178" s="399">
        <v>0</v>
      </c>
      <c r="AA178" s="399">
        <v>0</v>
      </c>
      <c r="AB178" s="95"/>
      <c r="AC178" s="95"/>
      <c r="AD178" s="95"/>
      <c r="AE178" s="99">
        <f>+SUM(N178:AC178)</f>
        <v>3</v>
      </c>
      <c r="AF178" s="95"/>
      <c r="AG178" s="102">
        <f>+(AE178/L178)</f>
        <v>0.75</v>
      </c>
      <c r="AH178" s="94">
        <f t="shared" si="6"/>
        <v>0.75</v>
      </c>
      <c r="AI178" s="95"/>
      <c r="AJ178" s="834"/>
      <c r="AK178" s="95"/>
      <c r="AL178" s="95"/>
      <c r="AM178" s="95"/>
      <c r="AN178" s="95"/>
      <c r="AO178" s="95"/>
      <c r="AP178" s="95"/>
      <c r="AQ178" s="95"/>
      <c r="AR178" s="95"/>
      <c r="AS178" s="834"/>
      <c r="AT178" s="837"/>
    </row>
    <row r="179" spans="1:46" ht="77.25" customHeight="1" x14ac:dyDescent="0.25">
      <c r="A179" s="659"/>
      <c r="B179" s="808"/>
      <c r="C179" s="830"/>
      <c r="D179" s="642"/>
      <c r="E179" s="632"/>
      <c r="F179" s="632"/>
      <c r="G179" s="840"/>
      <c r="H179" s="840"/>
      <c r="I179" s="642"/>
      <c r="J179" s="98"/>
      <c r="K179" s="98"/>
      <c r="L179" s="131"/>
      <c r="M179" s="131"/>
      <c r="N179" s="131"/>
      <c r="O179" s="95"/>
      <c r="P179" s="95"/>
      <c r="Q179" s="95"/>
      <c r="R179" s="95"/>
      <c r="S179" s="134"/>
      <c r="T179" s="95"/>
      <c r="U179" s="95"/>
      <c r="V179" s="95"/>
      <c r="W179" s="95"/>
      <c r="X179" s="95"/>
      <c r="Y179" s="95"/>
      <c r="Z179" s="95"/>
      <c r="AA179" s="95"/>
      <c r="AB179" s="95"/>
      <c r="AC179" s="95"/>
      <c r="AD179" s="95"/>
      <c r="AE179" s="99"/>
      <c r="AF179" s="95"/>
      <c r="AG179" s="106">
        <f>AVERAGE(AG174:AG178)</f>
        <v>0.7</v>
      </c>
      <c r="AH179" s="94">
        <f t="shared" si="6"/>
        <v>0.7</v>
      </c>
      <c r="AI179" s="95"/>
      <c r="AJ179" s="835"/>
      <c r="AK179" s="95"/>
      <c r="AL179" s="95"/>
      <c r="AM179" s="95"/>
      <c r="AN179" s="95"/>
      <c r="AO179" s="95"/>
      <c r="AP179" s="95"/>
      <c r="AQ179" s="95"/>
      <c r="AR179" s="95"/>
      <c r="AS179" s="835"/>
      <c r="AT179" s="838"/>
    </row>
    <row r="180" spans="1:46" ht="77.25" customHeight="1" x14ac:dyDescent="0.25">
      <c r="A180" s="659"/>
      <c r="B180" s="808"/>
      <c r="C180" s="830"/>
      <c r="D180" s="642"/>
      <c r="E180" s="632"/>
      <c r="F180" s="632"/>
      <c r="G180" s="840"/>
      <c r="H180" s="840"/>
      <c r="I180" s="133"/>
      <c r="J180" s="98"/>
      <c r="K180" s="98"/>
      <c r="L180" s="131"/>
      <c r="M180" s="131"/>
      <c r="N180" s="131"/>
      <c r="O180" s="95"/>
      <c r="P180" s="95"/>
      <c r="Q180" s="95"/>
      <c r="R180" s="95"/>
      <c r="S180" s="134"/>
      <c r="T180" s="95"/>
      <c r="U180" s="95"/>
      <c r="V180" s="95"/>
      <c r="W180" s="95"/>
      <c r="X180" s="95"/>
      <c r="Y180" s="95"/>
      <c r="Z180" s="95"/>
      <c r="AA180" s="95"/>
      <c r="AB180" s="95"/>
      <c r="AC180" s="95"/>
      <c r="AD180" s="95"/>
      <c r="AE180" s="99"/>
      <c r="AF180" s="95"/>
      <c r="AG180" s="104">
        <f>+(AG158+AG164+AG168+AG173+AG179)/5</f>
        <v>0.53889789992741099</v>
      </c>
      <c r="AH180" s="94">
        <f t="shared" si="6"/>
        <v>0.53889789992741099</v>
      </c>
      <c r="AI180" s="95"/>
      <c r="AJ180" s="95"/>
      <c r="AK180" s="95"/>
      <c r="AL180" s="95"/>
      <c r="AM180" s="95"/>
      <c r="AN180" s="95"/>
      <c r="AO180" s="95"/>
      <c r="AP180" s="95"/>
      <c r="AQ180" s="95"/>
      <c r="AR180" s="95"/>
      <c r="AS180" s="95"/>
      <c r="AT180" s="95"/>
    </row>
    <row r="181" spans="1:46" ht="90" customHeight="1" x14ac:dyDescent="0.25">
      <c r="A181" s="659"/>
      <c r="B181" s="808"/>
      <c r="C181" s="830"/>
      <c r="D181" s="624" t="s">
        <v>1851</v>
      </c>
      <c r="E181" s="250" t="s">
        <v>1854</v>
      </c>
      <c r="F181" s="250" t="s">
        <v>1852</v>
      </c>
      <c r="G181" s="250">
        <v>373</v>
      </c>
      <c r="H181" s="250">
        <v>261</v>
      </c>
      <c r="I181" s="621" t="s">
        <v>1860</v>
      </c>
      <c r="J181" s="251" t="s">
        <v>1856</v>
      </c>
      <c r="K181" s="131" t="s">
        <v>1857</v>
      </c>
      <c r="L181" s="131">
        <v>261</v>
      </c>
      <c r="M181" s="131">
        <v>373</v>
      </c>
      <c r="N181" s="131"/>
      <c r="O181" s="95"/>
      <c r="P181" s="99">
        <v>292</v>
      </c>
      <c r="Q181" s="99">
        <v>0</v>
      </c>
      <c r="R181" s="285">
        <v>96</v>
      </c>
      <c r="S181" s="285">
        <v>97</v>
      </c>
      <c r="T181" s="285">
        <v>100</v>
      </c>
      <c r="U181" s="285">
        <v>7</v>
      </c>
      <c r="V181" s="339">
        <v>88</v>
      </c>
      <c r="W181" s="339">
        <v>157</v>
      </c>
      <c r="X181" s="339">
        <v>16</v>
      </c>
      <c r="Y181" s="99">
        <v>0</v>
      </c>
      <c r="Z181" s="99">
        <v>57</v>
      </c>
      <c r="AA181" s="99">
        <v>148</v>
      </c>
      <c r="AB181" s="99"/>
      <c r="AC181" s="99"/>
      <c r="AD181" s="99"/>
      <c r="AE181" s="99">
        <f>+SUM(N181:AC181)</f>
        <v>1058</v>
      </c>
      <c r="AF181" s="95"/>
      <c r="AG181" s="102">
        <v>1</v>
      </c>
      <c r="AH181" s="94">
        <f t="shared" si="6"/>
        <v>1</v>
      </c>
      <c r="AI181" s="95"/>
      <c r="AJ181" s="95"/>
      <c r="AK181" s="95"/>
      <c r="AL181" s="95"/>
      <c r="AM181" s="95"/>
      <c r="AN181" s="95"/>
      <c r="AO181" s="95"/>
      <c r="AP181" s="95"/>
      <c r="AQ181" s="95"/>
      <c r="AR181" s="95"/>
      <c r="AS181" s="236">
        <v>299921867</v>
      </c>
      <c r="AT181" s="236">
        <v>293362300</v>
      </c>
    </row>
    <row r="182" spans="1:46" ht="409.5" x14ac:dyDescent="0.25">
      <c r="A182" s="659"/>
      <c r="B182" s="808"/>
      <c r="C182" s="830"/>
      <c r="D182" s="624"/>
      <c r="E182" s="625" t="s">
        <v>1855</v>
      </c>
      <c r="F182" s="625" t="s">
        <v>1853</v>
      </c>
      <c r="G182" s="625">
        <v>0.15</v>
      </c>
      <c r="H182" s="625" t="s">
        <v>956</v>
      </c>
      <c r="I182" s="621"/>
      <c r="J182" s="251" t="s">
        <v>1858</v>
      </c>
      <c r="K182" s="131" t="s">
        <v>1859</v>
      </c>
      <c r="L182" s="131">
        <v>123088</v>
      </c>
      <c r="M182" s="131">
        <v>820588</v>
      </c>
      <c r="N182" s="131"/>
      <c r="O182" s="95"/>
      <c r="P182" s="99">
        <v>1485</v>
      </c>
      <c r="Q182" s="99">
        <v>83000</v>
      </c>
      <c r="R182" s="285">
        <v>8634</v>
      </c>
      <c r="S182" s="285">
        <v>10150</v>
      </c>
      <c r="T182" s="285">
        <v>59516</v>
      </c>
      <c r="U182" s="285">
        <v>5758</v>
      </c>
      <c r="V182" s="339">
        <v>89198</v>
      </c>
      <c r="W182" s="339">
        <v>89808</v>
      </c>
      <c r="X182" s="339">
        <v>90007</v>
      </c>
      <c r="Y182" s="99">
        <v>0</v>
      </c>
      <c r="Z182" s="99">
        <v>1600</v>
      </c>
      <c r="AA182" s="99">
        <v>2800</v>
      </c>
      <c r="AB182" s="99"/>
      <c r="AC182" s="99"/>
      <c r="AD182" s="99"/>
      <c r="AE182" s="99">
        <f>+SUM(N182:AC182)</f>
        <v>441956</v>
      </c>
      <c r="AF182" s="95"/>
      <c r="AG182" s="102">
        <v>1</v>
      </c>
      <c r="AH182" s="94">
        <f t="shared" si="6"/>
        <v>1</v>
      </c>
      <c r="AI182" s="95"/>
      <c r="AJ182" s="95"/>
      <c r="AK182" s="95"/>
      <c r="AL182" s="95"/>
      <c r="AM182" s="95"/>
      <c r="AN182" s="95"/>
      <c r="AO182" s="95"/>
      <c r="AP182" s="95"/>
      <c r="AQ182" s="95"/>
      <c r="AR182" s="95"/>
      <c r="AS182" s="95"/>
      <c r="AT182" s="95"/>
    </row>
    <row r="183" spans="1:46" ht="45" customHeight="1" x14ac:dyDescent="0.25">
      <c r="A183" s="659"/>
      <c r="B183" s="808"/>
      <c r="C183" s="830"/>
      <c r="D183" s="624"/>
      <c r="E183" s="625"/>
      <c r="F183" s="625"/>
      <c r="G183" s="625"/>
      <c r="H183" s="625"/>
      <c r="I183" s="621"/>
      <c r="J183" s="251"/>
      <c r="K183" s="131"/>
      <c r="L183" s="131"/>
      <c r="M183" s="131"/>
      <c r="N183" s="131"/>
      <c r="O183" s="95"/>
      <c r="P183" s="95"/>
      <c r="Q183" s="95"/>
      <c r="R183" s="95"/>
      <c r="S183" s="134"/>
      <c r="T183" s="95"/>
      <c r="U183" s="95"/>
      <c r="V183" s="95"/>
      <c r="W183" s="95"/>
      <c r="X183" s="95"/>
      <c r="Y183" s="95"/>
      <c r="Z183" s="95"/>
      <c r="AA183" s="95"/>
      <c r="AB183" s="95"/>
      <c r="AC183" s="95"/>
      <c r="AD183" s="95"/>
      <c r="AE183" s="99"/>
      <c r="AF183" s="95"/>
      <c r="AG183" s="106">
        <f>AVERAGE(AG181:AG182)</f>
        <v>1</v>
      </c>
      <c r="AH183" s="94">
        <f t="shared" si="6"/>
        <v>1</v>
      </c>
      <c r="AI183" s="95"/>
      <c r="AJ183" s="95"/>
      <c r="AK183" s="95"/>
      <c r="AL183" s="95"/>
      <c r="AM183" s="95"/>
      <c r="AN183" s="95"/>
      <c r="AO183" s="95"/>
      <c r="AP183" s="95"/>
      <c r="AQ183" s="95"/>
      <c r="AR183" s="95"/>
      <c r="AS183" s="95"/>
      <c r="AT183" s="95"/>
    </row>
    <row r="184" spans="1:46" ht="45" customHeight="1" x14ac:dyDescent="0.25">
      <c r="A184" s="659"/>
      <c r="B184" s="808"/>
      <c r="C184" s="830"/>
      <c r="D184" s="624"/>
      <c r="E184" s="250"/>
      <c r="F184" s="250"/>
      <c r="G184" s="250"/>
      <c r="H184" s="250"/>
      <c r="I184" s="257"/>
      <c r="J184" s="251"/>
      <c r="K184" s="131"/>
      <c r="L184" s="131"/>
      <c r="M184" s="131"/>
      <c r="N184" s="131"/>
      <c r="O184" s="95"/>
      <c r="P184" s="95"/>
      <c r="Q184" s="95"/>
      <c r="R184" s="95"/>
      <c r="S184" s="134"/>
      <c r="T184" s="95"/>
      <c r="U184" s="95"/>
      <c r="V184" s="95"/>
      <c r="W184" s="95"/>
      <c r="X184" s="95"/>
      <c r="Y184" s="95"/>
      <c r="Z184" s="95"/>
      <c r="AA184" s="95"/>
      <c r="AB184" s="95"/>
      <c r="AC184" s="95"/>
      <c r="AD184" s="95"/>
      <c r="AE184" s="99"/>
      <c r="AF184" s="95"/>
      <c r="AG184" s="104">
        <f>+AG183</f>
        <v>1</v>
      </c>
      <c r="AH184" s="94">
        <f t="shared" si="6"/>
        <v>1</v>
      </c>
      <c r="AI184" s="95"/>
      <c r="AJ184" s="95"/>
      <c r="AK184" s="95"/>
      <c r="AL184" s="95"/>
      <c r="AM184" s="95"/>
      <c r="AN184" s="95"/>
      <c r="AO184" s="95"/>
      <c r="AP184" s="95"/>
      <c r="AQ184" s="95"/>
      <c r="AR184" s="95"/>
      <c r="AS184" s="95"/>
      <c r="AT184" s="95"/>
    </row>
    <row r="185" spans="1:46" ht="30" customHeight="1" x14ac:dyDescent="0.25">
      <c r="A185" s="659"/>
      <c r="B185" s="808"/>
      <c r="C185" s="830"/>
      <c r="D185" s="131"/>
      <c r="E185" s="95"/>
      <c r="F185" s="95"/>
      <c r="G185" s="95"/>
      <c r="H185" s="95"/>
      <c r="I185" s="120"/>
      <c r="J185" s="95"/>
      <c r="K185" s="95"/>
      <c r="L185" s="95"/>
      <c r="M185" s="95"/>
      <c r="N185" s="95"/>
      <c r="O185" s="95"/>
      <c r="P185" s="95"/>
      <c r="Q185" s="95"/>
      <c r="R185" s="95"/>
      <c r="S185" s="134"/>
      <c r="T185" s="95"/>
      <c r="U185" s="95"/>
      <c r="V185" s="95"/>
      <c r="W185" s="95"/>
      <c r="X185" s="95"/>
      <c r="Y185" s="95"/>
      <c r="Z185" s="95"/>
      <c r="AA185" s="95"/>
      <c r="AB185" s="95"/>
      <c r="AC185" s="95"/>
      <c r="AD185" s="95"/>
      <c r="AE185" s="99">
        <f>+SUM(N185:AC185)</f>
        <v>0</v>
      </c>
      <c r="AF185" s="95"/>
      <c r="AG185" s="116">
        <v>0</v>
      </c>
      <c r="AH185" s="94">
        <f t="shared" si="6"/>
        <v>0</v>
      </c>
      <c r="AI185" s="95"/>
      <c r="AJ185" s="95"/>
      <c r="AK185" s="95"/>
      <c r="AL185" s="95"/>
      <c r="AM185" s="95"/>
      <c r="AN185" s="95"/>
      <c r="AO185" s="95"/>
      <c r="AP185" s="95"/>
      <c r="AQ185" s="95"/>
      <c r="AR185" s="95"/>
      <c r="AS185" s="95"/>
      <c r="AT185" s="95"/>
    </row>
    <row r="186" spans="1:46" ht="30" customHeight="1" x14ac:dyDescent="0.25">
      <c r="A186" s="659"/>
      <c r="B186" s="808"/>
      <c r="C186" s="830"/>
      <c r="D186" s="100"/>
      <c r="E186" s="95"/>
      <c r="F186" s="95"/>
      <c r="G186" s="95"/>
      <c r="H186" s="95"/>
      <c r="I186" s="120"/>
      <c r="J186" s="95"/>
      <c r="K186" s="95"/>
      <c r="L186" s="95"/>
      <c r="M186" s="95"/>
      <c r="N186" s="95"/>
      <c r="O186" s="95"/>
      <c r="P186" s="95"/>
      <c r="Q186" s="95"/>
      <c r="R186" s="95"/>
      <c r="S186" s="134"/>
      <c r="T186" s="95"/>
      <c r="U186" s="95"/>
      <c r="V186" s="95"/>
      <c r="W186" s="95"/>
      <c r="X186" s="95"/>
      <c r="Y186" s="95"/>
      <c r="Z186" s="95"/>
      <c r="AA186" s="95"/>
      <c r="AB186" s="95"/>
      <c r="AC186" s="95"/>
      <c r="AD186" s="95"/>
      <c r="AE186" s="99"/>
      <c r="AF186" s="95"/>
      <c r="AG186" s="230">
        <f>+(AG180+AG184)/2</f>
        <v>0.7694489499637055</v>
      </c>
      <c r="AH186" s="94">
        <f t="shared" si="6"/>
        <v>0.7694489499637055</v>
      </c>
      <c r="AI186" s="95"/>
      <c r="AJ186" s="95"/>
      <c r="AK186" s="95"/>
      <c r="AL186" s="95"/>
      <c r="AM186" s="95"/>
      <c r="AN186" s="95"/>
      <c r="AO186" s="95"/>
      <c r="AP186" s="95"/>
      <c r="AQ186" s="95"/>
      <c r="AR186" s="95"/>
      <c r="AS186" s="95"/>
      <c r="AT186" s="95"/>
    </row>
    <row r="187" spans="1:46" ht="90" customHeight="1" x14ac:dyDescent="0.25">
      <c r="A187" s="659"/>
      <c r="B187" s="808"/>
      <c r="C187" s="830"/>
      <c r="D187" s="632" t="s">
        <v>1861</v>
      </c>
      <c r="E187" s="622" t="s">
        <v>1863</v>
      </c>
      <c r="F187" s="622" t="s">
        <v>1862</v>
      </c>
      <c r="G187" s="623">
        <v>1</v>
      </c>
      <c r="H187" s="623">
        <v>0.47</v>
      </c>
      <c r="I187" s="621" t="s">
        <v>1864</v>
      </c>
      <c r="J187" s="251" t="s">
        <v>1865</v>
      </c>
      <c r="K187" s="131" t="s">
        <v>1866</v>
      </c>
      <c r="L187" s="131">
        <v>1</v>
      </c>
      <c r="M187" s="131">
        <v>1</v>
      </c>
      <c r="N187" s="131"/>
      <c r="O187" s="95"/>
      <c r="P187" s="99">
        <v>0</v>
      </c>
      <c r="Q187" s="99">
        <v>0</v>
      </c>
      <c r="R187" s="99">
        <v>0</v>
      </c>
      <c r="S187" s="99">
        <v>0</v>
      </c>
      <c r="T187" s="99">
        <v>0</v>
      </c>
      <c r="U187" s="99">
        <v>0</v>
      </c>
      <c r="V187" s="99">
        <v>0</v>
      </c>
      <c r="W187" s="99">
        <v>0</v>
      </c>
      <c r="X187" s="99">
        <v>0</v>
      </c>
      <c r="Y187" s="99">
        <v>0</v>
      </c>
      <c r="Z187" s="99">
        <v>0</v>
      </c>
      <c r="AA187" s="99">
        <v>0</v>
      </c>
      <c r="AB187" s="99"/>
      <c r="AC187" s="99"/>
      <c r="AD187" s="99"/>
      <c r="AE187" s="99">
        <f>+SUM(N187:AC187)</f>
        <v>0</v>
      </c>
      <c r="AF187" s="95"/>
      <c r="AG187" s="102">
        <f>+(AE187/L187)</f>
        <v>0</v>
      </c>
      <c r="AH187" s="94">
        <f t="shared" si="6"/>
        <v>0</v>
      </c>
      <c r="AI187" s="95"/>
      <c r="AJ187" s="95"/>
      <c r="AK187" s="95"/>
      <c r="AL187" s="95"/>
      <c r="AM187" s="95"/>
      <c r="AN187" s="95"/>
      <c r="AO187" s="95"/>
      <c r="AP187" s="95"/>
      <c r="AQ187" s="95"/>
      <c r="AR187" s="95"/>
      <c r="AS187" s="95"/>
      <c r="AT187" s="95"/>
    </row>
    <row r="188" spans="1:46" ht="409.5" x14ac:dyDescent="0.25">
      <c r="A188" s="659"/>
      <c r="B188" s="808"/>
      <c r="C188" s="830"/>
      <c r="D188" s="632"/>
      <c r="E188" s="622"/>
      <c r="F188" s="622"/>
      <c r="G188" s="623"/>
      <c r="H188" s="623"/>
      <c r="I188" s="621"/>
      <c r="J188" s="251" t="s">
        <v>1867</v>
      </c>
      <c r="K188" s="131" t="s">
        <v>1868</v>
      </c>
      <c r="L188" s="131">
        <v>1</v>
      </c>
      <c r="M188" s="131">
        <v>173</v>
      </c>
      <c r="N188" s="131"/>
      <c r="O188" s="95"/>
      <c r="P188" s="99">
        <v>0</v>
      </c>
      <c r="Q188" s="99">
        <v>0</v>
      </c>
      <c r="R188" s="99">
        <v>0</v>
      </c>
      <c r="S188" s="99">
        <v>0</v>
      </c>
      <c r="T188" s="99">
        <v>0</v>
      </c>
      <c r="U188" s="99">
        <v>0</v>
      </c>
      <c r="V188" s="335">
        <v>0</v>
      </c>
      <c r="W188" s="335">
        <v>0</v>
      </c>
      <c r="X188" s="335">
        <v>0</v>
      </c>
      <c r="Y188" s="99">
        <v>0</v>
      </c>
      <c r="Z188" s="99">
        <v>0</v>
      </c>
      <c r="AA188" s="99">
        <v>0</v>
      </c>
      <c r="AB188" s="99"/>
      <c r="AC188" s="99"/>
      <c r="AD188" s="99"/>
      <c r="AE188" s="99">
        <f>+SUM(N188:AC188)</f>
        <v>0</v>
      </c>
      <c r="AF188" s="95"/>
      <c r="AG188" s="102">
        <f>+(AE188/L188)</f>
        <v>0</v>
      </c>
      <c r="AH188" s="94">
        <f t="shared" si="6"/>
        <v>0</v>
      </c>
      <c r="AI188" s="95"/>
      <c r="AJ188" s="95"/>
      <c r="AK188" s="95"/>
      <c r="AL188" s="95"/>
      <c r="AM188" s="95"/>
      <c r="AN188" s="95"/>
      <c r="AO188" s="95"/>
      <c r="AP188" s="95"/>
      <c r="AQ188" s="95"/>
      <c r="AR188" s="95"/>
      <c r="AS188" s="95"/>
      <c r="AT188" s="95"/>
    </row>
    <row r="189" spans="1:46" ht="409.5" x14ac:dyDescent="0.25">
      <c r="A189" s="659"/>
      <c r="B189" s="808"/>
      <c r="C189" s="830"/>
      <c r="D189" s="632"/>
      <c r="E189" s="622"/>
      <c r="F189" s="622"/>
      <c r="G189" s="623"/>
      <c r="H189" s="623"/>
      <c r="I189" s="621"/>
      <c r="J189" s="251" t="s">
        <v>1869</v>
      </c>
      <c r="K189" s="131" t="s">
        <v>1870</v>
      </c>
      <c r="L189" s="131">
        <v>1</v>
      </c>
      <c r="M189" s="131">
        <v>82</v>
      </c>
      <c r="N189" s="131"/>
      <c r="O189" s="95"/>
      <c r="P189" s="99">
        <v>0</v>
      </c>
      <c r="Q189" s="99">
        <v>0</v>
      </c>
      <c r="R189" s="99">
        <v>0</v>
      </c>
      <c r="S189" s="99">
        <v>0</v>
      </c>
      <c r="T189" s="99">
        <v>0</v>
      </c>
      <c r="U189" s="99">
        <v>0</v>
      </c>
      <c r="V189" s="335">
        <v>0</v>
      </c>
      <c r="W189" s="335">
        <v>0</v>
      </c>
      <c r="X189" s="335">
        <v>0</v>
      </c>
      <c r="Y189" s="99">
        <v>0</v>
      </c>
      <c r="Z189" s="99">
        <v>0</v>
      </c>
      <c r="AA189" s="99">
        <v>0</v>
      </c>
      <c r="AB189" s="99"/>
      <c r="AC189" s="99"/>
      <c r="AD189" s="99"/>
      <c r="AE189" s="99">
        <f>+SUM(N189:AC189)</f>
        <v>0</v>
      </c>
      <c r="AF189" s="95"/>
      <c r="AG189" s="102">
        <f>+(AE189/L189)</f>
        <v>0</v>
      </c>
      <c r="AH189" s="94">
        <f t="shared" si="6"/>
        <v>0</v>
      </c>
      <c r="AI189" s="95"/>
      <c r="AJ189" s="95"/>
      <c r="AK189" s="95"/>
      <c r="AL189" s="95"/>
      <c r="AM189" s="95"/>
      <c r="AN189" s="95"/>
      <c r="AO189" s="95"/>
      <c r="AP189" s="95"/>
      <c r="AQ189" s="95"/>
      <c r="AR189" s="95"/>
      <c r="AS189" s="95"/>
      <c r="AT189" s="95"/>
    </row>
    <row r="190" spans="1:46" ht="409.5" x14ac:dyDescent="0.25">
      <c r="A190" s="659"/>
      <c r="B190" s="808"/>
      <c r="C190" s="830"/>
      <c r="D190" s="632"/>
      <c r="E190" s="622"/>
      <c r="F190" s="622"/>
      <c r="G190" s="623"/>
      <c r="H190" s="623"/>
      <c r="I190" s="621"/>
      <c r="J190" s="251" t="s">
        <v>1871</v>
      </c>
      <c r="K190" s="131" t="s">
        <v>1870</v>
      </c>
      <c r="L190" s="131">
        <v>91</v>
      </c>
      <c r="M190" s="131">
        <v>82</v>
      </c>
      <c r="N190" s="131"/>
      <c r="O190" s="95"/>
      <c r="P190" s="99">
        <v>0</v>
      </c>
      <c r="Q190" s="99">
        <v>0</v>
      </c>
      <c r="R190" s="99">
        <v>0</v>
      </c>
      <c r="S190" s="99">
        <v>0</v>
      </c>
      <c r="T190" s="99">
        <v>0</v>
      </c>
      <c r="U190" s="99">
        <v>1</v>
      </c>
      <c r="V190" s="335">
        <v>0</v>
      </c>
      <c r="W190" s="335">
        <v>0</v>
      </c>
      <c r="X190" s="335">
        <v>0</v>
      </c>
      <c r="Y190" s="99">
        <v>0</v>
      </c>
      <c r="Z190" s="99">
        <v>0</v>
      </c>
      <c r="AA190" s="99">
        <v>11</v>
      </c>
      <c r="AB190" s="99"/>
      <c r="AC190" s="99"/>
      <c r="AD190" s="99"/>
      <c r="AE190" s="99">
        <f>+SUM(N190:AC190)</f>
        <v>12</v>
      </c>
      <c r="AF190" s="95"/>
      <c r="AG190" s="102">
        <f>+(AE190/L190)</f>
        <v>0.13186813186813187</v>
      </c>
      <c r="AH190" s="94">
        <f t="shared" si="6"/>
        <v>0.13186813186813187</v>
      </c>
      <c r="AI190" s="95"/>
      <c r="AJ190" s="95"/>
      <c r="AK190" s="95"/>
      <c r="AL190" s="95"/>
      <c r="AM190" s="95"/>
      <c r="AN190" s="95"/>
      <c r="AO190" s="95"/>
      <c r="AP190" s="95"/>
      <c r="AQ190" s="95"/>
      <c r="AR190" s="95"/>
      <c r="AS190" s="95"/>
      <c r="AT190" s="95"/>
    </row>
    <row r="191" spans="1:46" ht="37.5" customHeight="1" x14ac:dyDescent="0.25">
      <c r="A191" s="659"/>
      <c r="B191" s="808"/>
      <c r="C191" s="830"/>
      <c r="D191" s="632"/>
      <c r="E191" s="622"/>
      <c r="F191" s="622"/>
      <c r="G191" s="623"/>
      <c r="H191" s="623"/>
      <c r="I191" s="621"/>
      <c r="J191" s="251"/>
      <c r="K191" s="131"/>
      <c r="L191" s="131"/>
      <c r="M191" s="131"/>
      <c r="N191" s="131"/>
      <c r="O191" s="95"/>
      <c r="P191" s="95"/>
      <c r="Q191" s="95"/>
      <c r="R191" s="95"/>
      <c r="S191" s="134"/>
      <c r="T191" s="95"/>
      <c r="U191" s="95"/>
      <c r="V191" s="95"/>
      <c r="W191" s="95"/>
      <c r="X191" s="95"/>
      <c r="Y191" s="95"/>
      <c r="Z191" s="95"/>
      <c r="AA191" s="95"/>
      <c r="AB191" s="95"/>
      <c r="AC191" s="95"/>
      <c r="AD191" s="95"/>
      <c r="AE191" s="99"/>
      <c r="AF191" s="95"/>
      <c r="AG191" s="106">
        <f>AVERAGE(AG187:AG190)</f>
        <v>3.2967032967032968E-2</v>
      </c>
      <c r="AH191" s="94">
        <f t="shared" si="6"/>
        <v>3.2967032967032968E-2</v>
      </c>
      <c r="AI191" s="95"/>
      <c r="AJ191" s="95"/>
      <c r="AK191" s="95"/>
      <c r="AL191" s="95"/>
      <c r="AM191" s="95"/>
      <c r="AN191" s="95"/>
      <c r="AO191" s="95"/>
      <c r="AP191" s="95"/>
      <c r="AQ191" s="95"/>
      <c r="AR191" s="95"/>
      <c r="AS191" s="95"/>
      <c r="AT191" s="95"/>
    </row>
    <row r="192" spans="1:46" ht="47.25" customHeight="1" x14ac:dyDescent="0.25">
      <c r="A192" s="659"/>
      <c r="B192" s="808"/>
      <c r="C192" s="830"/>
      <c r="D192" s="632"/>
      <c r="E192" s="622"/>
      <c r="F192" s="622"/>
      <c r="G192" s="623"/>
      <c r="H192" s="623"/>
      <c r="I192" s="133"/>
      <c r="J192" s="131"/>
      <c r="K192" s="131"/>
      <c r="L192" s="131"/>
      <c r="M192" s="131"/>
      <c r="N192" s="131"/>
      <c r="O192" s="95"/>
      <c r="P192" s="95"/>
      <c r="Q192" s="95"/>
      <c r="R192" s="95"/>
      <c r="S192" s="134"/>
      <c r="T192" s="95"/>
      <c r="U192" s="95"/>
      <c r="V192" s="95"/>
      <c r="W192" s="95"/>
      <c r="X192" s="95"/>
      <c r="Y192" s="95"/>
      <c r="Z192" s="95"/>
      <c r="AA192" s="95"/>
      <c r="AB192" s="95"/>
      <c r="AC192" s="95"/>
      <c r="AD192" s="95"/>
      <c r="AE192" s="99"/>
      <c r="AF192" s="95"/>
      <c r="AG192" s="104">
        <f>+AG191</f>
        <v>3.2967032967032968E-2</v>
      </c>
      <c r="AH192" s="94">
        <f t="shared" si="6"/>
        <v>3.2967032967032968E-2</v>
      </c>
      <c r="AI192" s="95"/>
      <c r="AJ192" s="95"/>
      <c r="AK192" s="95"/>
      <c r="AL192" s="95"/>
      <c r="AM192" s="95"/>
      <c r="AN192" s="95"/>
      <c r="AO192" s="95"/>
      <c r="AP192" s="95"/>
      <c r="AQ192" s="95"/>
      <c r="AR192" s="95"/>
      <c r="AS192" s="95"/>
      <c r="AT192" s="95"/>
    </row>
    <row r="193" spans="1:46" ht="37.5" customHeight="1" x14ac:dyDescent="0.25">
      <c r="A193" s="659"/>
      <c r="B193" s="808"/>
      <c r="C193" s="831"/>
      <c r="D193" s="131"/>
      <c r="E193" s="132"/>
      <c r="F193" s="132"/>
      <c r="G193" s="206"/>
      <c r="H193" s="206"/>
      <c r="I193" s="133"/>
      <c r="J193" s="131"/>
      <c r="K193" s="131"/>
      <c r="L193" s="131"/>
      <c r="M193" s="131"/>
      <c r="N193" s="131"/>
      <c r="O193" s="95"/>
      <c r="P193" s="95"/>
      <c r="Q193" s="95"/>
      <c r="R193" s="95"/>
      <c r="S193" s="134"/>
      <c r="T193" s="95"/>
      <c r="U193" s="95"/>
      <c r="V193" s="95"/>
      <c r="W193" s="95"/>
      <c r="X193" s="95"/>
      <c r="Y193" s="95"/>
      <c r="Z193" s="95"/>
      <c r="AA193" s="95"/>
      <c r="AB193" s="95"/>
      <c r="AC193" s="95"/>
      <c r="AD193" s="95"/>
      <c r="AE193" s="99"/>
      <c r="AF193" s="95"/>
      <c r="AG193" s="113">
        <f>+(AG180+AG184+AG192)/3</f>
        <v>0.52395497763148136</v>
      </c>
      <c r="AH193" s="94">
        <f t="shared" si="6"/>
        <v>0.52395497763148136</v>
      </c>
      <c r="AI193" s="95"/>
      <c r="AJ193" s="95"/>
      <c r="AK193" s="95"/>
      <c r="AL193" s="95"/>
      <c r="AM193" s="95"/>
      <c r="AN193" s="95"/>
      <c r="AO193" s="95"/>
      <c r="AP193" s="95"/>
      <c r="AQ193" s="95"/>
      <c r="AR193" s="95"/>
      <c r="AS193" s="95"/>
      <c r="AT193" s="95"/>
    </row>
    <row r="194" spans="1:46" ht="45" customHeight="1" x14ac:dyDescent="0.25">
      <c r="A194" s="659"/>
      <c r="B194" s="808"/>
      <c r="C194" s="809" t="s">
        <v>1872</v>
      </c>
      <c r="D194" s="678" t="s">
        <v>2178</v>
      </c>
      <c r="E194" s="678" t="s">
        <v>1875</v>
      </c>
      <c r="F194" s="678" t="s">
        <v>1874</v>
      </c>
      <c r="G194" s="617">
        <v>0.11</v>
      </c>
      <c r="H194" s="617">
        <v>0.06</v>
      </c>
      <c r="I194" s="805" t="s">
        <v>1876</v>
      </c>
      <c r="J194" s="384" t="s">
        <v>1877</v>
      </c>
      <c r="K194" s="385" t="s">
        <v>1878</v>
      </c>
      <c r="L194" s="379">
        <v>931838490672</v>
      </c>
      <c r="M194" s="379" t="s">
        <v>1879</v>
      </c>
      <c r="N194" s="379"/>
      <c r="O194" s="120"/>
      <c r="P194" s="391"/>
      <c r="Q194" s="391"/>
      <c r="R194" s="392"/>
      <c r="S194" s="393"/>
      <c r="T194" s="393"/>
      <c r="U194" s="393">
        <v>436024637167</v>
      </c>
      <c r="V194" s="394"/>
      <c r="W194" s="394"/>
      <c r="X194" s="394"/>
      <c r="Y194" s="394">
        <v>268788751363</v>
      </c>
      <c r="Z194" s="394">
        <v>178571777699</v>
      </c>
      <c r="AA194" s="394">
        <v>24405320227</v>
      </c>
      <c r="AB194" s="120"/>
      <c r="AC194" s="120"/>
      <c r="AD194" s="396"/>
      <c r="AE194" s="395">
        <f>+Q194+U194+Y194+Z194+AA194</f>
        <v>907790486456</v>
      </c>
      <c r="AF194" s="366"/>
      <c r="AG194" s="312">
        <f>+(AE194/L194)</f>
        <v>0.97419294818068991</v>
      </c>
      <c r="AH194" s="94">
        <f t="shared" si="6"/>
        <v>0.97419294818068991</v>
      </c>
      <c r="AI194" s="95"/>
      <c r="AJ194" s="95"/>
      <c r="AK194" s="95"/>
      <c r="AL194" s="95"/>
      <c r="AM194" s="95"/>
      <c r="AN194" s="95"/>
      <c r="AO194" s="95"/>
      <c r="AP194" s="95"/>
      <c r="AQ194" s="95"/>
      <c r="AR194" s="95"/>
      <c r="AS194" s="95"/>
      <c r="AT194" s="95"/>
    </row>
    <row r="195" spans="1:46" ht="409.5" x14ac:dyDescent="0.25">
      <c r="A195" s="659"/>
      <c r="B195" s="808"/>
      <c r="C195" s="809"/>
      <c r="D195" s="679"/>
      <c r="E195" s="679"/>
      <c r="F195" s="679"/>
      <c r="G195" s="670"/>
      <c r="H195" s="670"/>
      <c r="I195" s="806"/>
      <c r="J195" s="384" t="s">
        <v>1880</v>
      </c>
      <c r="K195" s="385" t="s">
        <v>1878</v>
      </c>
      <c r="L195" s="379">
        <v>1052980949605</v>
      </c>
      <c r="M195" s="379" t="s">
        <v>1881</v>
      </c>
      <c r="N195" s="379"/>
      <c r="O195" s="120"/>
      <c r="P195" s="391"/>
      <c r="Q195" s="391"/>
      <c r="R195" s="391"/>
      <c r="S195" s="393"/>
      <c r="T195" s="393"/>
      <c r="U195" s="400">
        <v>496448644182</v>
      </c>
      <c r="V195" s="394"/>
      <c r="W195" s="394"/>
      <c r="X195" s="401"/>
      <c r="Y195" s="614">
        <v>302670134995</v>
      </c>
      <c r="Z195" s="607">
        <v>90317753713</v>
      </c>
      <c r="AA195" s="607">
        <v>89559583010</v>
      </c>
      <c r="AB195" s="120"/>
      <c r="AC195" s="120"/>
      <c r="AD195" s="120"/>
      <c r="AE195" s="395">
        <f>+U195+Y195+Z195+AA195</f>
        <v>978996115900</v>
      </c>
      <c r="AF195" s="366"/>
      <c r="AG195" s="616">
        <f>+(AE195/L195)</f>
        <v>0.92973772817755762</v>
      </c>
      <c r="AH195" s="94">
        <f t="shared" si="6"/>
        <v>0.92973772817755762</v>
      </c>
      <c r="AI195" s="95"/>
      <c r="AJ195" s="237">
        <v>5014450818</v>
      </c>
      <c r="AK195" s="95"/>
      <c r="AL195" s="95"/>
      <c r="AM195" s="95"/>
      <c r="AN195" s="95"/>
      <c r="AO195" s="95"/>
      <c r="AP195" s="95"/>
      <c r="AQ195" s="95"/>
      <c r="AR195" s="95"/>
      <c r="AS195" s="237">
        <v>4037107746</v>
      </c>
    </row>
    <row r="196" spans="1:46" ht="409.5" x14ac:dyDescent="0.25">
      <c r="A196" s="659"/>
      <c r="B196" s="808"/>
      <c r="C196" s="809"/>
      <c r="D196" s="679"/>
      <c r="E196" s="679"/>
      <c r="F196" s="679"/>
      <c r="G196" s="670"/>
      <c r="H196" s="670"/>
      <c r="I196" s="806"/>
      <c r="J196" s="251" t="s">
        <v>1882</v>
      </c>
      <c r="K196" s="131" t="s">
        <v>1878</v>
      </c>
      <c r="L196" s="379">
        <v>141298575616</v>
      </c>
      <c r="M196" s="379">
        <v>111581349000</v>
      </c>
      <c r="N196" s="379"/>
      <c r="O196" s="120"/>
      <c r="P196" s="391"/>
      <c r="Q196" s="391"/>
      <c r="R196" s="391"/>
      <c r="S196" s="393"/>
      <c r="T196" s="392"/>
      <c r="U196" s="393">
        <v>63383431569</v>
      </c>
      <c r="V196" s="397"/>
      <c r="W196" s="397"/>
      <c r="X196" s="397"/>
      <c r="Y196" s="399">
        <v>25115114000</v>
      </c>
      <c r="Z196" s="399">
        <v>9673176000</v>
      </c>
      <c r="AA196" s="399">
        <v>10214006000</v>
      </c>
      <c r="AB196" s="95"/>
      <c r="AC196" s="95"/>
      <c r="AD196" s="95"/>
      <c r="AE196" s="365">
        <f>+U196+Y196+Z196+AA196</f>
        <v>108385727569</v>
      </c>
      <c r="AF196" s="366"/>
      <c r="AG196" s="312">
        <f>+(AE196/L196)</f>
        <v>0.76706879100858327</v>
      </c>
      <c r="AH196" s="94">
        <f t="shared" ref="AH196:AH205" si="7">+AG196</f>
        <v>0.76706879100858327</v>
      </c>
      <c r="AI196" s="95"/>
      <c r="AJ196" s="95"/>
      <c r="AK196" s="95"/>
      <c r="AL196" s="95"/>
      <c r="AM196" s="95"/>
      <c r="AN196" s="95"/>
      <c r="AO196" s="95"/>
      <c r="AP196" s="95"/>
      <c r="AQ196" s="95"/>
      <c r="AR196" s="95"/>
      <c r="AS196" s="95"/>
      <c r="AT196" s="95"/>
    </row>
    <row r="197" spans="1:46" ht="409.5" x14ac:dyDescent="0.25">
      <c r="A197" s="659"/>
      <c r="B197" s="808"/>
      <c r="C197" s="809"/>
      <c r="D197" s="679"/>
      <c r="E197" s="679"/>
      <c r="F197" s="679"/>
      <c r="G197" s="670"/>
      <c r="H197" s="670"/>
      <c r="I197" s="806"/>
      <c r="J197" s="251" t="s">
        <v>1883</v>
      </c>
      <c r="K197" s="131" t="s">
        <v>1878</v>
      </c>
      <c r="L197" s="379">
        <v>33340137211</v>
      </c>
      <c r="M197" s="379" t="s">
        <v>1884</v>
      </c>
      <c r="N197" s="379"/>
      <c r="O197" s="120"/>
      <c r="P197" s="391"/>
      <c r="Q197" s="391"/>
      <c r="R197" s="391"/>
      <c r="S197" s="393"/>
      <c r="T197" s="398"/>
      <c r="U197" s="400">
        <v>13267149865.779999</v>
      </c>
      <c r="V197" s="397"/>
      <c r="W197" s="397"/>
      <c r="X197" s="397"/>
      <c r="Y197" s="397">
        <v>7390502976</v>
      </c>
      <c r="Z197" s="399">
        <v>707131631</v>
      </c>
      <c r="AA197" s="615">
        <f>1641748643-Z197</f>
        <v>934617012</v>
      </c>
      <c r="AB197" s="95"/>
      <c r="AC197" s="95"/>
      <c r="AD197" s="95"/>
      <c r="AE197" s="365">
        <f>+U197+Y197+Z197+AA197</f>
        <v>22299401484.779999</v>
      </c>
      <c r="AF197" s="366"/>
      <c r="AG197" s="312">
        <f>+(AE197/L197)</f>
        <v>0.66884552225006133</v>
      </c>
      <c r="AH197" s="94">
        <f t="shared" si="7"/>
        <v>0.66884552225006133</v>
      </c>
      <c r="AI197" s="95"/>
      <c r="AJ197" s="95"/>
      <c r="AK197" s="95"/>
      <c r="AL197" s="95"/>
      <c r="AM197" s="95"/>
      <c r="AN197" s="95"/>
      <c r="AO197" s="95"/>
      <c r="AP197" s="95"/>
      <c r="AQ197" s="95"/>
      <c r="AR197" s="95"/>
      <c r="AS197" s="95"/>
      <c r="AT197" s="95"/>
    </row>
    <row r="198" spans="1:46" ht="409.5" x14ac:dyDescent="0.25">
      <c r="A198" s="659"/>
      <c r="B198" s="808"/>
      <c r="C198" s="809"/>
      <c r="D198" s="679"/>
      <c r="E198" s="679"/>
      <c r="F198" s="679"/>
      <c r="G198" s="670"/>
      <c r="H198" s="670"/>
      <c r="I198" s="807"/>
      <c r="J198" s="251" t="s">
        <v>1885</v>
      </c>
      <c r="K198" s="131" t="s">
        <v>1878</v>
      </c>
      <c r="L198" s="379">
        <v>18227947566</v>
      </c>
      <c r="M198" s="379" t="s">
        <v>1886</v>
      </c>
      <c r="N198" s="379"/>
      <c r="O198" s="120"/>
      <c r="P198" s="391"/>
      <c r="Q198" s="391"/>
      <c r="R198" s="391"/>
      <c r="S198" s="393"/>
      <c r="T198" s="392"/>
      <c r="U198" s="400">
        <v>8176198697.5799999</v>
      </c>
      <c r="V198" s="397"/>
      <c r="W198" s="397"/>
      <c r="X198" s="397"/>
      <c r="Y198" s="397">
        <v>4902288920</v>
      </c>
      <c r="Z198" s="399">
        <v>3909928612</v>
      </c>
      <c r="AA198" s="399">
        <v>199922152</v>
      </c>
      <c r="AB198" s="95"/>
      <c r="AC198" s="95"/>
      <c r="AD198" s="95"/>
      <c r="AE198" s="367">
        <f>+U198+Y198+Z198+AA198</f>
        <v>17188338381.580002</v>
      </c>
      <c r="AF198" s="366"/>
      <c r="AG198" s="312">
        <f>+(AE198/L198)</f>
        <v>0.94296619624037392</v>
      </c>
      <c r="AH198" s="94">
        <f t="shared" si="7"/>
        <v>0.94296619624037392</v>
      </c>
      <c r="AI198" s="95"/>
      <c r="AJ198" s="95"/>
      <c r="AK198" s="95"/>
      <c r="AL198" s="95"/>
      <c r="AM198" s="95"/>
      <c r="AN198" s="95"/>
      <c r="AO198" s="95"/>
      <c r="AP198" s="95"/>
      <c r="AQ198" s="95"/>
      <c r="AR198" s="95"/>
      <c r="AS198" s="95"/>
      <c r="AT198" s="95"/>
    </row>
    <row r="199" spans="1:46" ht="39.75" customHeight="1" x14ac:dyDescent="0.25">
      <c r="A199" s="659"/>
      <c r="B199" s="808"/>
      <c r="C199" s="809"/>
      <c r="D199" s="679"/>
      <c r="E199" s="679"/>
      <c r="F199" s="679"/>
      <c r="G199" s="670"/>
      <c r="H199" s="670"/>
      <c r="I199" s="99"/>
      <c r="J199" s="131"/>
      <c r="K199" s="131"/>
      <c r="L199" s="242"/>
      <c r="M199" s="242"/>
      <c r="N199" s="242"/>
      <c r="O199" s="95"/>
      <c r="P199" s="95"/>
      <c r="Q199" s="95"/>
      <c r="R199" s="95"/>
      <c r="S199" s="134"/>
      <c r="T199" s="95"/>
      <c r="U199" s="95"/>
      <c r="V199" s="95"/>
      <c r="W199" s="95"/>
      <c r="X199" s="95"/>
      <c r="Y199" s="95"/>
      <c r="Z199" s="95"/>
      <c r="AA199" s="95"/>
      <c r="AB199" s="95"/>
      <c r="AC199" s="95"/>
      <c r="AD199" s="95"/>
      <c r="AE199" s="99"/>
      <c r="AF199" s="95"/>
      <c r="AG199" s="106">
        <f>AVERAGE(AG194:AG198)</f>
        <v>0.85656223717145319</v>
      </c>
      <c r="AH199" s="94">
        <f t="shared" si="7"/>
        <v>0.85656223717145319</v>
      </c>
      <c r="AI199" s="95"/>
      <c r="AJ199" s="95"/>
      <c r="AK199" s="95"/>
      <c r="AL199" s="95"/>
      <c r="AM199" s="95"/>
      <c r="AN199" s="95"/>
      <c r="AO199" s="95"/>
      <c r="AP199" s="95"/>
      <c r="AQ199" s="95"/>
      <c r="AR199" s="95"/>
      <c r="AS199" s="95"/>
      <c r="AT199" s="95"/>
    </row>
    <row r="200" spans="1:46" ht="60" customHeight="1" x14ac:dyDescent="0.25">
      <c r="A200" s="659"/>
      <c r="B200" s="808"/>
      <c r="C200" s="809"/>
      <c r="D200" s="679"/>
      <c r="E200" s="679"/>
      <c r="F200" s="679"/>
      <c r="G200" s="670"/>
      <c r="H200" s="670"/>
      <c r="I200" s="678" t="s">
        <v>1889</v>
      </c>
      <c r="J200" s="251" t="s">
        <v>1887</v>
      </c>
      <c r="K200" s="131" t="s">
        <v>1888</v>
      </c>
      <c r="L200" s="379">
        <v>40000000000</v>
      </c>
      <c r="M200" s="379">
        <v>25140424866</v>
      </c>
      <c r="N200" s="379"/>
      <c r="O200" s="120"/>
      <c r="P200" s="380"/>
      <c r="Q200" s="380"/>
      <c r="R200" s="380"/>
      <c r="S200" s="381"/>
      <c r="T200" s="364">
        <v>0</v>
      </c>
      <c r="U200" s="383">
        <v>15259766344</v>
      </c>
      <c r="V200" s="120"/>
      <c r="W200" s="120"/>
      <c r="X200" s="120"/>
      <c r="Y200" s="272">
        <v>485812600</v>
      </c>
      <c r="Z200" s="580">
        <v>0</v>
      </c>
      <c r="AA200" s="580">
        <v>0</v>
      </c>
      <c r="AB200" s="120"/>
      <c r="AC200" s="120"/>
      <c r="AD200" s="120"/>
      <c r="AE200" s="382">
        <f>+U200</f>
        <v>15259766344</v>
      </c>
      <c r="AF200" s="95"/>
      <c r="AG200" s="102">
        <f>+(AE200/L200)</f>
        <v>0.38149415860000002</v>
      </c>
      <c r="AH200" s="94">
        <f t="shared" si="7"/>
        <v>0.38149415860000002</v>
      </c>
      <c r="AI200" s="95"/>
      <c r="AJ200" s="236">
        <v>130000001</v>
      </c>
      <c r="AK200" s="95"/>
      <c r="AL200" s="95"/>
      <c r="AM200" s="95"/>
      <c r="AN200" s="95"/>
      <c r="AO200" s="95"/>
      <c r="AP200" s="95"/>
      <c r="AQ200" s="95"/>
      <c r="AR200" s="95"/>
      <c r="AS200" s="236">
        <v>116500000</v>
      </c>
      <c r="AT200" s="234">
        <f>+AS200/AJ200</f>
        <v>0.89615383926035508</v>
      </c>
    </row>
    <row r="201" spans="1:46" ht="35.25" customHeight="1" x14ac:dyDescent="0.25">
      <c r="A201" s="659"/>
      <c r="B201" s="808"/>
      <c r="C201" s="809"/>
      <c r="D201" s="679"/>
      <c r="E201" s="679"/>
      <c r="F201" s="679"/>
      <c r="G201" s="670"/>
      <c r="H201" s="670"/>
      <c r="I201" s="680"/>
      <c r="J201" s="95"/>
      <c r="K201" s="95"/>
      <c r="L201" s="95"/>
      <c r="M201" s="95"/>
      <c r="N201" s="95"/>
      <c r="O201" s="95"/>
      <c r="P201" s="95"/>
      <c r="Q201" s="95"/>
      <c r="R201" s="95"/>
      <c r="S201" s="134"/>
      <c r="T201" s="95"/>
      <c r="U201" s="95"/>
      <c r="V201" s="95"/>
      <c r="W201" s="95"/>
      <c r="X201" s="95"/>
      <c r="Y201" s="95"/>
      <c r="Z201" s="95"/>
      <c r="AA201" s="95"/>
      <c r="AB201" s="95"/>
      <c r="AC201" s="95"/>
      <c r="AD201" s="95"/>
      <c r="AE201" s="99"/>
      <c r="AF201" s="95"/>
      <c r="AG201" s="106">
        <f>+AG200</f>
        <v>0.38149415860000002</v>
      </c>
      <c r="AH201" s="94">
        <f t="shared" si="7"/>
        <v>0.38149415860000002</v>
      </c>
      <c r="AI201" s="95"/>
      <c r="AJ201" s="95"/>
      <c r="AK201" s="95"/>
      <c r="AL201" s="95"/>
      <c r="AM201" s="95"/>
      <c r="AN201" s="95"/>
      <c r="AO201" s="95"/>
      <c r="AP201" s="95"/>
      <c r="AQ201" s="95"/>
      <c r="AR201" s="95"/>
      <c r="AS201" s="95"/>
      <c r="AT201" s="95"/>
    </row>
    <row r="202" spans="1:46" ht="47.25" customHeight="1" x14ac:dyDescent="0.25">
      <c r="A202" s="659"/>
      <c r="B202" s="808"/>
      <c r="C202" s="809"/>
      <c r="D202" s="680"/>
      <c r="E202" s="680"/>
      <c r="F202" s="680"/>
      <c r="G202" s="618"/>
      <c r="H202" s="618"/>
      <c r="I202" s="95"/>
      <c r="J202" s="95"/>
      <c r="K202" s="95"/>
      <c r="L202" s="95"/>
      <c r="M202" s="95"/>
      <c r="N202" s="95"/>
      <c r="O202" s="95"/>
      <c r="P202" s="95"/>
      <c r="Q202" s="95"/>
      <c r="R202" s="95"/>
      <c r="S202" s="134"/>
      <c r="T202" s="95"/>
      <c r="U202" s="95"/>
      <c r="V202" s="95"/>
      <c r="W202" s="95"/>
      <c r="X202" s="95"/>
      <c r="Y202" s="95"/>
      <c r="Z202" s="95"/>
      <c r="AA202" s="95"/>
      <c r="AB202" s="95"/>
      <c r="AC202" s="95"/>
      <c r="AD202" s="95"/>
      <c r="AE202" s="99"/>
      <c r="AF202" s="95"/>
      <c r="AG202" s="209">
        <f>+(AG199+AG201)/2</f>
        <v>0.61902819788572661</v>
      </c>
      <c r="AH202" s="94">
        <f t="shared" si="7"/>
        <v>0.61902819788572661</v>
      </c>
      <c r="AI202" s="95"/>
      <c r="AJ202" s="95"/>
      <c r="AK202" s="95"/>
      <c r="AL202" s="95"/>
      <c r="AM202" s="95"/>
      <c r="AN202" s="95"/>
      <c r="AO202" s="95"/>
      <c r="AP202" s="95"/>
      <c r="AQ202" s="95"/>
      <c r="AR202" s="95"/>
      <c r="AS202" s="95"/>
      <c r="AT202" s="95"/>
    </row>
    <row r="203" spans="1:46" ht="42.75" customHeight="1" x14ac:dyDescent="0.25">
      <c r="A203" s="659"/>
      <c r="B203" s="808"/>
      <c r="C203" s="809"/>
      <c r="D203" s="95"/>
      <c r="E203" s="95"/>
      <c r="F203" s="95"/>
      <c r="G203" s="95"/>
      <c r="H203" s="95"/>
      <c r="I203" s="95"/>
      <c r="J203" s="95"/>
      <c r="K203" s="95"/>
      <c r="L203" s="95"/>
      <c r="M203" s="95"/>
      <c r="N203" s="95"/>
      <c r="O203" s="95"/>
      <c r="P203" s="95"/>
      <c r="Q203" s="95"/>
      <c r="R203" s="95"/>
      <c r="S203" s="134"/>
      <c r="T203" s="95"/>
      <c r="U203" s="95"/>
      <c r="V203" s="95"/>
      <c r="W203" s="95"/>
      <c r="X203" s="95"/>
      <c r="Y203" s="95"/>
      <c r="Z203" s="95"/>
      <c r="AA203" s="95"/>
      <c r="AB203" s="95"/>
      <c r="AC203" s="95"/>
      <c r="AD203" s="95"/>
      <c r="AE203" s="99"/>
      <c r="AF203" s="95"/>
      <c r="AG203" s="117">
        <f>+AG202</f>
        <v>0.61902819788572661</v>
      </c>
      <c r="AH203" s="94">
        <f t="shared" si="7"/>
        <v>0.61902819788572661</v>
      </c>
      <c r="AI203" s="95"/>
      <c r="AJ203" s="95"/>
      <c r="AK203" s="95"/>
      <c r="AL203" s="95"/>
      <c r="AM203" s="95"/>
      <c r="AN203" s="95"/>
      <c r="AO203" s="95"/>
      <c r="AP203" s="95"/>
      <c r="AQ203" s="95"/>
      <c r="AR203" s="95"/>
      <c r="AS203" s="95"/>
      <c r="AT203" s="95"/>
    </row>
    <row r="204" spans="1:46" ht="67.5" customHeight="1" x14ac:dyDescent="0.25">
      <c r="A204" s="659"/>
      <c r="B204" s="808"/>
      <c r="C204" s="118"/>
      <c r="D204" s="95"/>
      <c r="E204" s="95"/>
      <c r="F204" s="95"/>
      <c r="G204" s="95"/>
      <c r="H204" s="95"/>
      <c r="I204" s="95"/>
      <c r="J204" s="95"/>
      <c r="K204" s="95"/>
      <c r="L204" s="95"/>
      <c r="M204" s="95"/>
      <c r="N204" s="95"/>
      <c r="O204" s="95"/>
      <c r="P204" s="95"/>
      <c r="Q204" s="95"/>
      <c r="R204" s="95"/>
      <c r="S204" s="134"/>
      <c r="T204" s="95"/>
      <c r="U204" s="95"/>
      <c r="V204" s="95"/>
      <c r="W204" s="95"/>
      <c r="X204" s="95"/>
      <c r="Y204" s="95"/>
      <c r="Z204" s="95"/>
      <c r="AA204" s="95"/>
      <c r="AB204" s="95"/>
      <c r="AC204" s="95"/>
      <c r="AD204" s="95"/>
      <c r="AE204" s="99"/>
      <c r="AF204" s="95"/>
      <c r="AG204" s="239">
        <f>+(AG140+AG155+AG193+AG203+AG186)/5</f>
        <v>0.71193026831219641</v>
      </c>
      <c r="AH204" s="94">
        <f t="shared" si="7"/>
        <v>0.71193026831219641</v>
      </c>
      <c r="AI204" s="95"/>
      <c r="AJ204" s="95"/>
      <c r="AK204" s="95"/>
      <c r="AL204" s="95"/>
      <c r="AM204" s="95"/>
      <c r="AN204" s="95"/>
      <c r="AO204" s="95"/>
      <c r="AP204" s="95"/>
      <c r="AQ204" s="95"/>
      <c r="AR204" s="95"/>
      <c r="AS204" s="95"/>
      <c r="AT204" s="95"/>
    </row>
    <row r="205" spans="1:46" ht="69.75" customHeight="1" x14ac:dyDescent="0.25">
      <c r="A205" s="659"/>
      <c r="B205" s="95"/>
      <c r="C205" s="95"/>
      <c r="D205" s="95"/>
      <c r="E205" s="95"/>
      <c r="F205" s="95"/>
      <c r="G205" s="95"/>
      <c r="H205" s="95"/>
      <c r="I205" s="95"/>
      <c r="J205" s="95"/>
      <c r="K205" s="95"/>
      <c r="L205" s="95"/>
      <c r="M205" s="95"/>
      <c r="N205" s="95"/>
      <c r="O205" s="95"/>
      <c r="P205" s="95"/>
      <c r="Q205" s="95"/>
      <c r="R205" s="95"/>
      <c r="S205" s="134"/>
      <c r="T205" s="95"/>
      <c r="U205" s="95"/>
      <c r="V205" s="95"/>
      <c r="W205" s="95"/>
      <c r="X205" s="95"/>
      <c r="Y205" s="95"/>
      <c r="Z205" s="95"/>
      <c r="AA205" s="95"/>
      <c r="AB205" s="95"/>
      <c r="AC205" s="95"/>
      <c r="AD205" s="95"/>
      <c r="AE205" s="99"/>
      <c r="AF205" s="95"/>
      <c r="AG205" s="599">
        <f>+(AG102+AG204)/2</f>
        <v>0.71356208255213471</v>
      </c>
      <c r="AH205" s="601">
        <f t="shared" si="7"/>
        <v>0.71356208255213471</v>
      </c>
      <c r="AI205" s="95"/>
      <c r="AJ205" s="95"/>
      <c r="AK205" s="95"/>
      <c r="AL205" s="95"/>
      <c r="AM205" s="95"/>
      <c r="AN205" s="95"/>
      <c r="AO205" s="95"/>
      <c r="AP205" s="95"/>
      <c r="AQ205" s="95"/>
      <c r="AR205" s="95"/>
      <c r="AS205" s="95"/>
      <c r="AT205" s="95"/>
    </row>
    <row r="206" spans="1:46" ht="47.25" customHeight="1" x14ac:dyDescent="0.25"/>
    <row r="207" spans="1:46" ht="47.25" customHeight="1" x14ac:dyDescent="0.25"/>
    <row r="208" spans="1:46" ht="39.75" customHeight="1" x14ac:dyDescent="0.25"/>
  </sheetData>
  <mergeCells count="245">
    <mergeCell ref="AJ156:AJ179"/>
    <mergeCell ref="AS156:AS179"/>
    <mergeCell ref="AT156:AT179"/>
    <mergeCell ref="I169:I173"/>
    <mergeCell ref="I174:I179"/>
    <mergeCell ref="E156:E180"/>
    <mergeCell ref="F156:F180"/>
    <mergeCell ref="G156:G180"/>
    <mergeCell ref="H156:H180"/>
    <mergeCell ref="I165:I167"/>
    <mergeCell ref="G56:G58"/>
    <mergeCell ref="H56:H58"/>
    <mergeCell ref="I137:I138"/>
    <mergeCell ref="G87:G88"/>
    <mergeCell ref="H87:H88"/>
    <mergeCell ref="I93:I99"/>
    <mergeCell ref="H94:H97"/>
    <mergeCell ref="C156:C193"/>
    <mergeCell ref="I131:I132"/>
    <mergeCell ref="I133:I134"/>
    <mergeCell ref="C103:C140"/>
    <mergeCell ref="E108:E139"/>
    <mergeCell ref="I135:I136"/>
    <mergeCell ref="E87:E88"/>
    <mergeCell ref="F87:F88"/>
    <mergeCell ref="I87:I91"/>
    <mergeCell ref="H90:H91"/>
    <mergeCell ref="F90:F91"/>
    <mergeCell ref="E98:E100"/>
    <mergeCell ref="F98:F100"/>
    <mergeCell ref="G98:G100"/>
    <mergeCell ref="D146:D148"/>
    <mergeCell ref="E146:E148"/>
    <mergeCell ref="F146:F148"/>
    <mergeCell ref="G59:G61"/>
    <mergeCell ref="G63:G70"/>
    <mergeCell ref="I59:I61"/>
    <mergeCell ref="H59:H61"/>
    <mergeCell ref="H98:H100"/>
    <mergeCell ref="I116:I130"/>
    <mergeCell ref="E48:E54"/>
    <mergeCell ref="F48:F54"/>
    <mergeCell ref="G48:G54"/>
    <mergeCell ref="E73:E74"/>
    <mergeCell ref="F73:F74"/>
    <mergeCell ref="I66:I67"/>
    <mergeCell ref="I68:I69"/>
    <mergeCell ref="F77:F78"/>
    <mergeCell ref="G77:G78"/>
    <mergeCell ref="I103:I104"/>
    <mergeCell ref="I105:I106"/>
    <mergeCell ref="I108:I109"/>
    <mergeCell ref="I110:I115"/>
    <mergeCell ref="F63:F70"/>
    <mergeCell ref="H84:H85"/>
    <mergeCell ref="I56:I58"/>
    <mergeCell ref="E56:E58"/>
    <mergeCell ref="F56:F58"/>
    <mergeCell ref="I50:I54"/>
    <mergeCell ref="D43:D55"/>
    <mergeCell ref="E40:E41"/>
    <mergeCell ref="F40:F41"/>
    <mergeCell ref="H43:H45"/>
    <mergeCell ref="E37:E38"/>
    <mergeCell ref="F37:F38"/>
    <mergeCell ref="E43:E45"/>
    <mergeCell ref="F43:F45"/>
    <mergeCell ref="AQ1:AQ2"/>
    <mergeCell ref="AR1:AR2"/>
    <mergeCell ref="AS1:AS2"/>
    <mergeCell ref="AT1:AT2"/>
    <mergeCell ref="AI1:AI2"/>
    <mergeCell ref="AJ1:AJ2"/>
    <mergeCell ref="AK1:AK2"/>
    <mergeCell ref="AL1:AL2"/>
    <mergeCell ref="AM1:AM2"/>
    <mergeCell ref="AN1:AN2"/>
    <mergeCell ref="AO1:AO2"/>
    <mergeCell ref="AP1:AP2"/>
    <mergeCell ref="AD1:AD2"/>
    <mergeCell ref="AE1:AE2"/>
    <mergeCell ref="AF1:AF2"/>
    <mergeCell ref="AG1:AG2"/>
    <mergeCell ref="AH1:AH2"/>
    <mergeCell ref="N1:Q1"/>
    <mergeCell ref="M1:M2"/>
    <mergeCell ref="L1:L2"/>
    <mergeCell ref="G1:G2"/>
    <mergeCell ref="H1:H2"/>
    <mergeCell ref="I1:I2"/>
    <mergeCell ref="J1:J2"/>
    <mergeCell ref="K1:K2"/>
    <mergeCell ref="Z1:AC1"/>
    <mergeCell ref="A3:A205"/>
    <mergeCell ref="H6:H7"/>
    <mergeCell ref="E13:E14"/>
    <mergeCell ref="F13:F14"/>
    <mergeCell ref="G13:G14"/>
    <mergeCell ref="H10:H11"/>
    <mergeCell ref="E6:E7"/>
    <mergeCell ref="F6:F7"/>
    <mergeCell ref="G6:G7"/>
    <mergeCell ref="I3:I8"/>
    <mergeCell ref="B3:B102"/>
    <mergeCell ref="C73:C101"/>
    <mergeCell ref="D93:D100"/>
    <mergeCell ref="D3:D12"/>
    <mergeCell ref="E10:E11"/>
    <mergeCell ref="G37:G38"/>
    <mergeCell ref="E94:E97"/>
    <mergeCell ref="F94:F97"/>
    <mergeCell ref="D13:D23"/>
    <mergeCell ref="E90:E91"/>
    <mergeCell ref="I63:I65"/>
    <mergeCell ref="D34:D42"/>
    <mergeCell ref="I43:I49"/>
    <mergeCell ref="H13:H14"/>
    <mergeCell ref="E16:E17"/>
    <mergeCell ref="F16:F17"/>
    <mergeCell ref="G16:G17"/>
    <mergeCell ref="H16:H17"/>
    <mergeCell ref="H21:H22"/>
    <mergeCell ref="K7:K8"/>
    <mergeCell ref="R1:U1"/>
    <mergeCell ref="V1:Y1"/>
    <mergeCell ref="M10:M11"/>
    <mergeCell ref="I13:I15"/>
    <mergeCell ref="I16:I18"/>
    <mergeCell ref="I19:I22"/>
    <mergeCell ref="K10:K11"/>
    <mergeCell ref="I9:I11"/>
    <mergeCell ref="J10:J11"/>
    <mergeCell ref="I34:I39"/>
    <mergeCell ref="I40:I41"/>
    <mergeCell ref="L10:L11"/>
    <mergeCell ref="I24:I26"/>
    <mergeCell ref="I29:I32"/>
    <mergeCell ref="D87:D92"/>
    <mergeCell ref="H63:H70"/>
    <mergeCell ref="G73:G74"/>
    <mergeCell ref="D73:D86"/>
    <mergeCell ref="D29:D33"/>
    <mergeCell ref="E21:E22"/>
    <mergeCell ref="D56:D62"/>
    <mergeCell ref="E77:E78"/>
    <mergeCell ref="D63:D70"/>
    <mergeCell ref="E84:E85"/>
    <mergeCell ref="F84:F85"/>
    <mergeCell ref="G90:G91"/>
    <mergeCell ref="G84:G85"/>
    <mergeCell ref="E29:E32"/>
    <mergeCell ref="F29:F32"/>
    <mergeCell ref="G29:G32"/>
    <mergeCell ref="H29:H32"/>
    <mergeCell ref="E63:E70"/>
    <mergeCell ref="E26:E27"/>
    <mergeCell ref="F26:F27"/>
    <mergeCell ref="G26:G27"/>
    <mergeCell ref="H26:H27"/>
    <mergeCell ref="H48:H54"/>
    <mergeCell ref="F59:F61"/>
    <mergeCell ref="C3:C72"/>
    <mergeCell ref="D24:D28"/>
    <mergeCell ref="F21:F22"/>
    <mergeCell ref="G43:G45"/>
    <mergeCell ref="E59:E61"/>
    <mergeCell ref="G105:G106"/>
    <mergeCell ref="H105:H106"/>
    <mergeCell ref="F105:F106"/>
    <mergeCell ref="I73:I85"/>
    <mergeCell ref="G94:G97"/>
    <mergeCell ref="G103:G104"/>
    <mergeCell ref="H103:H104"/>
    <mergeCell ref="H73:H74"/>
    <mergeCell ref="H77:H78"/>
    <mergeCell ref="D103:D107"/>
    <mergeCell ref="F103:F104"/>
    <mergeCell ref="E103:E104"/>
    <mergeCell ref="E105:E106"/>
    <mergeCell ref="G10:G11"/>
    <mergeCell ref="H40:H41"/>
    <mergeCell ref="F10:F11"/>
    <mergeCell ref="H37:H38"/>
    <mergeCell ref="G40:G41"/>
    <mergeCell ref="G21:G22"/>
    <mergeCell ref="G108:G139"/>
    <mergeCell ref="H146:H148"/>
    <mergeCell ref="D108:D139"/>
    <mergeCell ref="F141:F142"/>
    <mergeCell ref="G141:G142"/>
    <mergeCell ref="H141:H142"/>
    <mergeCell ref="E143:E144"/>
    <mergeCell ref="F143:F144"/>
    <mergeCell ref="G143:G144"/>
    <mergeCell ref="H143:H144"/>
    <mergeCell ref="H108:H139"/>
    <mergeCell ref="G146:G148"/>
    <mergeCell ref="F108:F139"/>
    <mergeCell ref="D156:D180"/>
    <mergeCell ref="C141:C155"/>
    <mergeCell ref="D141:D144"/>
    <mergeCell ref="I149:I150"/>
    <mergeCell ref="I143:I144"/>
    <mergeCell ref="E141:E142"/>
    <mergeCell ref="D149:D151"/>
    <mergeCell ref="D152:D154"/>
    <mergeCell ref="E152:E154"/>
    <mergeCell ref="F152:F154"/>
    <mergeCell ref="G152:G154"/>
    <mergeCell ref="H152:H154"/>
    <mergeCell ref="H187:H192"/>
    <mergeCell ref="E182:E183"/>
    <mergeCell ref="F182:F183"/>
    <mergeCell ref="G182:G183"/>
    <mergeCell ref="H182:H183"/>
    <mergeCell ref="I187:I191"/>
    <mergeCell ref="I181:I183"/>
    <mergeCell ref="I200:I201"/>
    <mergeCell ref="I152:I153"/>
    <mergeCell ref="I156:I158"/>
    <mergeCell ref="I159:I164"/>
    <mergeCell ref="A1:A2"/>
    <mergeCell ref="I194:I198"/>
    <mergeCell ref="F1:F2"/>
    <mergeCell ref="E1:E2"/>
    <mergeCell ref="D1:D2"/>
    <mergeCell ref="C1:C2"/>
    <mergeCell ref="B1:B2"/>
    <mergeCell ref="B103:B204"/>
    <mergeCell ref="D181:D184"/>
    <mergeCell ref="C194:C203"/>
    <mergeCell ref="E194:E202"/>
    <mergeCell ref="F194:F202"/>
    <mergeCell ref="G194:G202"/>
    <mergeCell ref="H194:H202"/>
    <mergeCell ref="I146:I147"/>
    <mergeCell ref="H149:H150"/>
    <mergeCell ref="G149:G150"/>
    <mergeCell ref="F149:F150"/>
    <mergeCell ref="E149:E150"/>
    <mergeCell ref="D194:D202"/>
    <mergeCell ref="D187:D192"/>
    <mergeCell ref="E187:E192"/>
    <mergeCell ref="F187:F192"/>
    <mergeCell ref="G187:G192"/>
  </mergeCells>
  <conditionalFormatting sqref="AH3:AH205">
    <cfRule type="cellIs" dxfId="5" priority="1" stopIfTrue="1" operator="greaterThanOrEqual">
      <formula>0.7875</formula>
    </cfRule>
    <cfRule type="cellIs" dxfId="4" priority="2" stopIfTrue="1" operator="between">
      <formula>0.7874</formula>
      <formula>0.525</formula>
    </cfRule>
    <cfRule type="cellIs" dxfId="3" priority="3" stopIfTrue="1" operator="lessThan">
      <formula>0.524</formula>
    </cfRule>
  </conditionalFormatting>
  <pageMargins left="0.7" right="0.7" top="0.75" bottom="0.75" header="0.3" footer="0.3"/>
  <pageSetup paperSize="9" orientation="portrait" verticalDpi="3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C000"/>
  </sheetPr>
  <dimension ref="A2:DK325"/>
  <sheetViews>
    <sheetView tabSelected="1" topLeftCell="D1" zoomScale="90" zoomScaleNormal="90" workbookViewId="0">
      <pane ySplit="3" topLeftCell="A4" activePane="bottomLeft" state="frozen"/>
      <selection pane="bottomLeft" activeCell="P10" sqref="P10:P11"/>
    </sheetView>
  </sheetViews>
  <sheetFormatPr baseColWidth="10" defaultRowHeight="15" x14ac:dyDescent="0.25"/>
  <cols>
    <col min="1" max="1" width="11.42578125" style="424"/>
    <col min="2" max="2" width="28.42578125" customWidth="1"/>
    <col min="3" max="3" width="17.28515625" customWidth="1"/>
    <col min="4" max="4" width="19.85546875" customWidth="1"/>
    <col min="13" max="13" width="23.140625" customWidth="1"/>
    <col min="14" max="14" width="25" customWidth="1"/>
    <col min="15" max="15" width="24.42578125" customWidth="1"/>
    <col min="16" max="16" width="14.42578125" customWidth="1"/>
    <col min="18" max="18" width="24.85546875" customWidth="1"/>
    <col min="19" max="19" width="21.28515625" customWidth="1"/>
    <col min="20" max="20" width="25.85546875" customWidth="1"/>
  </cols>
  <sheetData>
    <row r="2" spans="1:20" ht="47.25" x14ac:dyDescent="0.25">
      <c r="B2" s="262" t="s">
        <v>1895</v>
      </c>
      <c r="C2" s="262" t="s">
        <v>2195</v>
      </c>
      <c r="D2" s="262" t="s">
        <v>1896</v>
      </c>
      <c r="M2" s="81"/>
      <c r="N2" s="81">
        <v>5</v>
      </c>
    </row>
    <row r="3" spans="1:20" ht="60" customHeight="1" thickBot="1" x14ac:dyDescent="0.3">
      <c r="B3" s="9" t="s">
        <v>2196</v>
      </c>
      <c r="C3" s="42">
        <f>+(C4+C163+C256)/3</f>
        <v>0.71930470789018752</v>
      </c>
      <c r="D3" s="1"/>
    </row>
    <row r="4" spans="1:20" ht="30.75" thickBot="1" x14ac:dyDescent="0.3">
      <c r="B4" s="40" t="s">
        <v>1922</v>
      </c>
      <c r="C4" s="79">
        <f>+(C5+C122)/2</f>
        <v>0.7958352972808892</v>
      </c>
      <c r="D4" s="1"/>
      <c r="M4" s="841" t="s">
        <v>2197</v>
      </c>
      <c r="N4" s="842"/>
      <c r="O4" s="843"/>
      <c r="R4" s="844"/>
      <c r="S4" s="844"/>
      <c r="T4" s="844"/>
    </row>
    <row r="5" spans="1:20" ht="45" customHeight="1" thickBot="1" x14ac:dyDescent="0.3">
      <c r="A5" s="432"/>
      <c r="B5" s="340" t="s">
        <v>1891</v>
      </c>
      <c r="C5" s="80">
        <f>+(C6+C35+C74+C91+C110)/5</f>
        <v>0.84094645384450273</v>
      </c>
      <c r="D5" s="1"/>
      <c r="M5" s="90" t="s">
        <v>2174</v>
      </c>
      <c r="N5" s="51" t="s">
        <v>2124</v>
      </c>
      <c r="O5" s="51" t="s">
        <v>2125</v>
      </c>
      <c r="Q5" s="259"/>
      <c r="R5" s="260"/>
      <c r="S5" s="283"/>
      <c r="T5" s="283"/>
    </row>
    <row r="6" spans="1:20" ht="45.75" thickBot="1" x14ac:dyDescent="0.3">
      <c r="A6" s="432"/>
      <c r="B6" s="341" t="s">
        <v>25</v>
      </c>
      <c r="C6" s="14">
        <f>+(C7+C14+C25+C28+C32)/5</f>
        <v>0.73270551825520214</v>
      </c>
      <c r="D6" s="10" t="s">
        <v>1898</v>
      </c>
      <c r="M6" s="91" t="s">
        <v>2126</v>
      </c>
      <c r="N6" s="92"/>
      <c r="O6" s="93" t="s">
        <v>2198</v>
      </c>
      <c r="P6" s="57"/>
      <c r="R6" s="325"/>
      <c r="S6" s="282">
        <f>25%*2</f>
        <v>0.5</v>
      </c>
      <c r="T6" s="325"/>
    </row>
    <row r="7" spans="1:20" ht="41.25" customHeight="1" thickBot="1" x14ac:dyDescent="0.3">
      <c r="A7" s="432"/>
      <c r="B7" s="342" t="s">
        <v>1897</v>
      </c>
      <c r="C7" s="264">
        <f>+'OBJ. ESTRATEGICO 1. '!AH25</f>
        <v>0.85645537698167473</v>
      </c>
      <c r="D7" s="10" t="s">
        <v>1898</v>
      </c>
      <c r="M7" s="45" t="s">
        <v>2127</v>
      </c>
      <c r="N7" s="46"/>
      <c r="O7" s="45" t="s">
        <v>2199</v>
      </c>
      <c r="P7" s="57"/>
      <c r="Q7" s="592"/>
      <c r="R7" s="48"/>
      <c r="S7" s="56">
        <f>+S6/2</f>
        <v>0.25</v>
      </c>
      <c r="T7" s="48"/>
    </row>
    <row r="8" spans="1:20" ht="36.75" thickBot="1" x14ac:dyDescent="0.3">
      <c r="A8" s="432"/>
      <c r="B8" s="343" t="s">
        <v>1902</v>
      </c>
      <c r="C8" s="12">
        <f>+'OBJ. ESTRATEGICO 1. '!AH7</f>
        <v>0.7401724137931035</v>
      </c>
      <c r="D8" s="10" t="s">
        <v>1898</v>
      </c>
      <c r="M8" s="49" t="s">
        <v>2128</v>
      </c>
      <c r="N8" s="50"/>
      <c r="O8" s="45" t="s">
        <v>2200</v>
      </c>
      <c r="R8" s="48"/>
      <c r="S8" s="48">
        <f>+S7/2</f>
        <v>0.125</v>
      </c>
      <c r="T8" s="48"/>
    </row>
    <row r="9" spans="1:20" x14ac:dyDescent="0.25">
      <c r="A9" s="432"/>
      <c r="B9" s="343" t="s">
        <v>2175</v>
      </c>
      <c r="C9" s="12">
        <f>+'OBJ. ESTRATEGICO 1. '!AH9</f>
        <v>0.93552995391705074</v>
      </c>
      <c r="D9" s="10" t="s">
        <v>1898</v>
      </c>
      <c r="M9" s="47"/>
      <c r="N9" s="48"/>
      <c r="O9" s="47"/>
      <c r="S9" s="609">
        <f>+S6+S8</f>
        <v>0.625</v>
      </c>
    </row>
    <row r="10" spans="1:20" x14ac:dyDescent="0.25">
      <c r="A10" s="432"/>
      <c r="B10" s="343" t="s">
        <v>1903</v>
      </c>
      <c r="C10" s="12">
        <f>+'OBJ. ESTRATEGICO 1. '!AH14</f>
        <v>1.0001</v>
      </c>
      <c r="D10" s="10" t="s">
        <v>1898</v>
      </c>
      <c r="M10" s="430" t="s">
        <v>2129</v>
      </c>
      <c r="N10" s="431" t="s">
        <v>2130</v>
      </c>
      <c r="O10" s="8"/>
      <c r="P10" s="8"/>
    </row>
    <row r="11" spans="1:20" ht="36.75" customHeight="1" x14ac:dyDescent="0.25">
      <c r="A11" s="432"/>
      <c r="B11" s="343" t="s">
        <v>60</v>
      </c>
      <c r="C11" s="12">
        <f>+'OBJ. ESTRATEGICO 1. '!AH19</f>
        <v>0.99255952380952384</v>
      </c>
      <c r="D11" s="10" t="s">
        <v>1898</v>
      </c>
      <c r="M11" s="428" t="s">
        <v>2131</v>
      </c>
      <c r="N11" s="113">
        <f>+C4</f>
        <v>0.7958352972808892</v>
      </c>
      <c r="O11" s="8"/>
      <c r="P11" s="53"/>
    </row>
    <row r="12" spans="1:20" ht="30" x14ac:dyDescent="0.25">
      <c r="A12" s="432"/>
      <c r="B12" s="343" t="s">
        <v>1904</v>
      </c>
      <c r="C12" s="12">
        <f>+'OBJ. ESTRATEGICO 1. '!AH21</f>
        <v>1</v>
      </c>
      <c r="D12" s="10" t="s">
        <v>1898</v>
      </c>
      <c r="M12" s="428" t="s">
        <v>2132</v>
      </c>
      <c r="N12" s="106">
        <f>+C163</f>
        <v>0.64528991237731059</v>
      </c>
      <c r="O12" s="8"/>
      <c r="P12" s="53"/>
    </row>
    <row r="13" spans="1:20" ht="45" x14ac:dyDescent="0.25">
      <c r="A13" s="432"/>
      <c r="B13" s="343" t="s">
        <v>1905</v>
      </c>
      <c r="C13" s="68">
        <f>+'OBJ. ESTRATEGICO 1. '!AH24</f>
        <v>0.47037037037037038</v>
      </c>
      <c r="D13" s="10" t="s">
        <v>1898</v>
      </c>
      <c r="M13" s="428" t="s">
        <v>2133</v>
      </c>
      <c r="N13" s="600">
        <f>+C256</f>
        <v>0.71678891401236278</v>
      </c>
      <c r="O13" s="8"/>
      <c r="P13" s="54"/>
    </row>
    <row r="14" spans="1:20" ht="30" x14ac:dyDescent="0.25">
      <c r="A14" s="432"/>
      <c r="B14" s="342" t="s">
        <v>1899</v>
      </c>
      <c r="C14" s="265">
        <f>+'OBJ. ESTRATEGICO 1. '!AH62</f>
        <v>0.74901177473389635</v>
      </c>
      <c r="D14" s="10" t="s">
        <v>1898</v>
      </c>
      <c r="M14" s="429" t="s">
        <v>2134</v>
      </c>
      <c r="N14" s="106">
        <f>SUM(N11:N13)/3</f>
        <v>0.71930470789018752</v>
      </c>
      <c r="P14" s="52"/>
    </row>
    <row r="15" spans="1:20" ht="24" x14ac:dyDescent="0.25">
      <c r="A15" s="432"/>
      <c r="B15" s="343" t="s">
        <v>1900</v>
      </c>
      <c r="C15" s="13">
        <f>+'OBJ. ESTRATEGICO 1. '!AH32</f>
        <v>0.8232137146327636</v>
      </c>
      <c r="D15" s="10" t="s">
        <v>1898</v>
      </c>
    </row>
    <row r="16" spans="1:20" ht="24" x14ac:dyDescent="0.25">
      <c r="A16" s="432"/>
      <c r="B16" s="343" t="s">
        <v>1901</v>
      </c>
      <c r="C16" s="70">
        <f>+'OBJ. ESTRATEGICO 1. '!AH38</f>
        <v>0.47951087031303741</v>
      </c>
      <c r="D16" s="10" t="s">
        <v>1898</v>
      </c>
    </row>
    <row r="17" spans="1:14" ht="24" x14ac:dyDescent="0.25">
      <c r="A17" s="432"/>
      <c r="B17" s="343" t="s">
        <v>2149</v>
      </c>
      <c r="C17" s="13">
        <f>+'OBJ. ESTRATEGICO 1. '!AH42</f>
        <v>0.61111111111111116</v>
      </c>
      <c r="D17" s="10" t="s">
        <v>1898</v>
      </c>
    </row>
    <row r="18" spans="1:14" x14ac:dyDescent="0.25">
      <c r="A18" s="432"/>
      <c r="B18" s="343" t="s">
        <v>2150</v>
      </c>
      <c r="C18" s="70">
        <f>+'OBJ. ESTRATEGICO 1. '!AH44</f>
        <v>0.9</v>
      </c>
      <c r="D18" s="10" t="s">
        <v>1898</v>
      </c>
      <c r="N18" s="137"/>
    </row>
    <row r="19" spans="1:14" ht="24" x14ac:dyDescent="0.25">
      <c r="A19" s="432"/>
      <c r="B19" s="343" t="s">
        <v>1906</v>
      </c>
      <c r="C19" s="13">
        <f>+'OBJ. ESTRATEGICO 1. '!AH47</f>
        <v>0.65384615384615374</v>
      </c>
      <c r="D19" s="10" t="s">
        <v>1898</v>
      </c>
    </row>
    <row r="20" spans="1:14" ht="36" x14ac:dyDescent="0.25">
      <c r="A20" s="432"/>
      <c r="B20" s="343" t="s">
        <v>1907</v>
      </c>
      <c r="C20" s="13">
        <f>+'OBJ. ESTRATEGICO 1. '!AH52</f>
        <v>0.79166666666666674</v>
      </c>
      <c r="D20" s="10" t="s">
        <v>1898</v>
      </c>
    </row>
    <row r="21" spans="1:14" ht="28.5" customHeight="1" x14ac:dyDescent="0.25">
      <c r="A21" s="432"/>
      <c r="B21" s="343" t="s">
        <v>1908</v>
      </c>
      <c r="C21" s="70">
        <f>+'OBJ. ESTRATEGICO 1. '!AH55</f>
        <v>1</v>
      </c>
      <c r="D21" s="10" t="s">
        <v>1898</v>
      </c>
    </row>
    <row r="22" spans="1:14" ht="36" x14ac:dyDescent="0.25">
      <c r="A22" s="432"/>
      <c r="B22" s="343" t="s">
        <v>1909</v>
      </c>
      <c r="C22" s="13">
        <f>+'OBJ. ESTRATEGICO 1. '!AH57</f>
        <v>0.23076923076923078</v>
      </c>
      <c r="D22" s="10" t="s">
        <v>1898</v>
      </c>
    </row>
    <row r="23" spans="1:14" ht="36" x14ac:dyDescent="0.25">
      <c r="A23" s="432"/>
      <c r="B23" s="343" t="s">
        <v>1910</v>
      </c>
      <c r="C23" s="13">
        <f>+'OBJ. ESTRATEGICO 1. '!AH59</f>
        <v>1</v>
      </c>
      <c r="D23" s="10" t="s">
        <v>1898</v>
      </c>
    </row>
    <row r="24" spans="1:14" ht="24" x14ac:dyDescent="0.25">
      <c r="A24" s="432"/>
      <c r="B24" s="343" t="s">
        <v>1911</v>
      </c>
      <c r="C24" s="13">
        <f>+'OBJ. ESTRATEGICO 1. '!AH61</f>
        <v>1</v>
      </c>
      <c r="D24" s="10" t="s">
        <v>1898</v>
      </c>
    </row>
    <row r="25" spans="1:14" ht="60" x14ac:dyDescent="0.25">
      <c r="A25" s="432"/>
      <c r="B25" s="342" t="s">
        <v>1912</v>
      </c>
      <c r="C25" s="263">
        <f>+'OBJ. ESTRATEGICO 1. '!AH74</f>
        <v>0.86216666666666675</v>
      </c>
      <c r="D25" s="10" t="s">
        <v>1898</v>
      </c>
    </row>
    <row r="26" spans="1:14" ht="36" x14ac:dyDescent="0.25">
      <c r="A26" s="432"/>
      <c r="B26" s="344" t="s">
        <v>1913</v>
      </c>
      <c r="C26" s="13">
        <f>+'OBJ. ESTRATEGICO 1. '!AH69</f>
        <v>0.72433333333333338</v>
      </c>
      <c r="D26" s="10" t="s">
        <v>1898</v>
      </c>
    </row>
    <row r="27" spans="1:14" ht="36" x14ac:dyDescent="0.25">
      <c r="A27" s="432"/>
      <c r="B27" s="344" t="s">
        <v>1914</v>
      </c>
      <c r="C27" s="70">
        <f>+'OBJ. ESTRATEGICO 1. '!AH73</f>
        <v>1</v>
      </c>
      <c r="D27" s="10" t="s">
        <v>1898</v>
      </c>
    </row>
    <row r="28" spans="1:14" ht="30" x14ac:dyDescent="0.25">
      <c r="A28" s="432"/>
      <c r="B28" s="342" t="s">
        <v>1915</v>
      </c>
      <c r="C28" s="263">
        <f>+'OBJ. ESTRATEGICO 1. '!AH85</f>
        <v>0.7544642857142857</v>
      </c>
      <c r="D28" s="10" t="s">
        <v>1898</v>
      </c>
    </row>
    <row r="29" spans="1:14" ht="48" x14ac:dyDescent="0.25">
      <c r="A29" s="432"/>
      <c r="B29" s="344" t="s">
        <v>1916</v>
      </c>
      <c r="C29" s="13">
        <f>+'OBJ. ESTRATEGICO 1. '!AH79</f>
        <v>0.65625</v>
      </c>
      <c r="D29" s="10" t="s">
        <v>1898</v>
      </c>
    </row>
    <row r="30" spans="1:14" ht="24" x14ac:dyDescent="0.25">
      <c r="A30" s="432"/>
      <c r="B30" s="344" t="s">
        <v>1917</v>
      </c>
      <c r="C30" s="70">
        <f>+'OBJ. ESTRATEGICO 1. '!AH81</f>
        <v>0.6071428571428571</v>
      </c>
      <c r="D30" s="10" t="s">
        <v>1898</v>
      </c>
    </row>
    <row r="31" spans="1:14" ht="24.75" x14ac:dyDescent="0.25">
      <c r="A31" s="432"/>
      <c r="B31" s="345" t="s">
        <v>1918</v>
      </c>
      <c r="C31" s="70">
        <f>+'OBJ. ESTRATEGICO 1. '!AH84</f>
        <v>1</v>
      </c>
      <c r="D31" s="10" t="s">
        <v>1898</v>
      </c>
    </row>
    <row r="32" spans="1:14" ht="30" x14ac:dyDescent="0.25">
      <c r="A32" s="432"/>
      <c r="B32" s="342" t="s">
        <v>1919</v>
      </c>
      <c r="C32" s="263">
        <f>+'OBJ. ESTRATEGICO 1. '!AH91</f>
        <v>0.44142948717948721</v>
      </c>
      <c r="D32" s="10" t="s">
        <v>1898</v>
      </c>
    </row>
    <row r="33" spans="1:4" ht="24" x14ac:dyDescent="0.25">
      <c r="A33" s="432"/>
      <c r="B33" s="344" t="s">
        <v>1920</v>
      </c>
      <c r="C33" s="70">
        <f>+'OBJ. ESTRATEGICO 1. '!AH87</f>
        <v>0.1</v>
      </c>
      <c r="D33" s="10" t="s">
        <v>1898</v>
      </c>
    </row>
    <row r="34" spans="1:4" ht="24" x14ac:dyDescent="0.25">
      <c r="A34" s="432"/>
      <c r="B34" s="344" t="s">
        <v>1921</v>
      </c>
      <c r="C34" s="70">
        <f>+'OBJ. ESTRATEGICO 1. '!AH90</f>
        <v>0.78285897435897445</v>
      </c>
      <c r="D34" s="10" t="s">
        <v>1898</v>
      </c>
    </row>
    <row r="35" spans="1:4" ht="45" x14ac:dyDescent="0.25">
      <c r="A35" s="432"/>
      <c r="B35" s="346" t="s">
        <v>209</v>
      </c>
      <c r="C35" s="270">
        <f>+(C36+C45+C48+C52+C55+C57+C60+C63+C69+C71)/10</f>
        <v>0.82103544334200029</v>
      </c>
      <c r="D35" s="10" t="s">
        <v>1961</v>
      </c>
    </row>
    <row r="36" spans="1:4" ht="45" x14ac:dyDescent="0.25">
      <c r="A36" s="432"/>
      <c r="B36" s="347" t="s">
        <v>1923</v>
      </c>
      <c r="C36" s="263">
        <f>+'OBJ. ESTRATEGICO 1. '!AH117</f>
        <v>0.91140625000000008</v>
      </c>
      <c r="D36" s="10" t="s">
        <v>1961</v>
      </c>
    </row>
    <row r="37" spans="1:4" ht="25.5" customHeight="1" x14ac:dyDescent="0.25">
      <c r="A37" s="432"/>
      <c r="B37" s="345" t="s">
        <v>1924</v>
      </c>
      <c r="C37" s="69">
        <f>+'OBJ. ESTRATEGICO 1. '!AH95</f>
        <v>1</v>
      </c>
      <c r="D37" s="10" t="s">
        <v>1961</v>
      </c>
    </row>
    <row r="38" spans="1:4" ht="36.75" x14ac:dyDescent="0.25">
      <c r="A38" s="432"/>
      <c r="B38" s="345" t="s">
        <v>1925</v>
      </c>
      <c r="C38" s="69">
        <f>+'OBJ. ESTRATEGICO 1. '!AH100</f>
        <v>1</v>
      </c>
      <c r="D38" s="10" t="s">
        <v>1961</v>
      </c>
    </row>
    <row r="39" spans="1:4" ht="24.75" x14ac:dyDescent="0.25">
      <c r="A39" s="432"/>
      <c r="B39" s="345" t="s">
        <v>1926</v>
      </c>
      <c r="C39" s="69">
        <f>+'OBJ. ESTRATEGICO 1. '!AH102</f>
        <v>0.75</v>
      </c>
      <c r="D39" s="10" t="s">
        <v>1961</v>
      </c>
    </row>
    <row r="40" spans="1:4" ht="60.75" x14ac:dyDescent="0.25">
      <c r="A40" s="432"/>
      <c r="B40" s="345" t="s">
        <v>1927</v>
      </c>
      <c r="C40" s="69">
        <f>+'OBJ. ESTRATEGICO 1. '!AH107</f>
        <v>0.88375000000000004</v>
      </c>
      <c r="D40" s="10" t="s">
        <v>1961</v>
      </c>
    </row>
    <row r="41" spans="1:4" ht="24.75" x14ac:dyDescent="0.25">
      <c r="A41" s="432"/>
      <c r="B41" s="345" t="s">
        <v>1928</v>
      </c>
      <c r="C41" s="69">
        <f>+'OBJ. ESTRATEGICO 1. '!AH109</f>
        <v>0.88249999999999995</v>
      </c>
      <c r="D41" s="10" t="s">
        <v>1961</v>
      </c>
    </row>
    <row r="42" spans="1:4" ht="24.75" x14ac:dyDescent="0.25">
      <c r="A42" s="432"/>
      <c r="B42" s="345" t="s">
        <v>1929</v>
      </c>
      <c r="C42" s="69">
        <f>+'OBJ. ESTRATEGICO 1. '!AH116</f>
        <v>0.77500000000000002</v>
      </c>
      <c r="D42" s="10" t="s">
        <v>1961</v>
      </c>
    </row>
    <row r="43" spans="1:4" ht="24.75" x14ac:dyDescent="0.25">
      <c r="A43" s="432"/>
      <c r="B43" s="345" t="s">
        <v>1930</v>
      </c>
      <c r="C43" s="69">
        <f>+'OBJ. ESTRATEGICO 1. '!AH113</f>
        <v>1</v>
      </c>
      <c r="D43" s="10" t="s">
        <v>1961</v>
      </c>
    </row>
    <row r="44" spans="1:4" ht="24.75" x14ac:dyDescent="0.25">
      <c r="A44" s="432"/>
      <c r="B44" s="345" t="s">
        <v>1931</v>
      </c>
      <c r="C44" s="69">
        <f>+'OBJ. ESTRATEGICO 1. '!AH116</f>
        <v>0.77500000000000002</v>
      </c>
      <c r="D44" s="10" t="s">
        <v>1961</v>
      </c>
    </row>
    <row r="45" spans="1:4" ht="45" x14ac:dyDescent="0.25">
      <c r="A45" s="432"/>
      <c r="B45" s="342" t="s">
        <v>1932</v>
      </c>
      <c r="C45" s="263">
        <f>+'OBJ. ESTRATEGICO 1. '!AH130</f>
        <v>0.68768534738342302</v>
      </c>
      <c r="D45" s="10" t="s">
        <v>1961</v>
      </c>
    </row>
    <row r="46" spans="1:4" ht="60.75" x14ac:dyDescent="0.25">
      <c r="A46" s="432"/>
      <c r="B46" s="345" t="s">
        <v>1933</v>
      </c>
      <c r="C46" s="69">
        <f>+'OBJ. ESTRATEGICO 1. '!AH123</f>
        <v>0.74875000000000003</v>
      </c>
      <c r="D46" s="10" t="s">
        <v>1961</v>
      </c>
    </row>
    <row r="47" spans="1:4" ht="36.75" x14ac:dyDescent="0.25">
      <c r="A47" s="432"/>
      <c r="B47" s="345" t="s">
        <v>1934</v>
      </c>
      <c r="C47" s="69">
        <f>+'OBJ. ESTRATEGICO 1. '!AH129</f>
        <v>0.62662069476684601</v>
      </c>
      <c r="D47" s="10" t="s">
        <v>1961</v>
      </c>
    </row>
    <row r="48" spans="1:4" x14ac:dyDescent="0.25">
      <c r="A48" s="432"/>
      <c r="B48" s="348" t="s">
        <v>1935</v>
      </c>
      <c r="C48" s="263">
        <f>+'OBJ. ESTRATEGICO 1. '!AH138</f>
        <v>0.73764435776365522</v>
      </c>
      <c r="D48" s="10" t="s">
        <v>1961</v>
      </c>
    </row>
    <row r="49" spans="1:4" ht="24" x14ac:dyDescent="0.25">
      <c r="A49" s="432"/>
      <c r="B49" s="343" t="s">
        <v>1936</v>
      </c>
      <c r="C49" s="69">
        <f>+'OBJ. ESTRATEGICO 1. '!AH133</f>
        <v>0.79618243243243247</v>
      </c>
      <c r="D49" s="10" t="s">
        <v>1961</v>
      </c>
    </row>
    <row r="50" spans="1:4" ht="24" x14ac:dyDescent="0.25">
      <c r="A50" s="432"/>
      <c r="B50" s="343" t="s">
        <v>1937</v>
      </c>
      <c r="C50" s="69">
        <f>+'OBJ. ESTRATEGICO 1. '!AH135</f>
        <v>0.77946875000000004</v>
      </c>
      <c r="D50" s="10" t="s">
        <v>1961</v>
      </c>
    </row>
    <row r="51" spans="1:4" ht="24" x14ac:dyDescent="0.25">
      <c r="A51" s="432"/>
      <c r="B51" s="343" t="s">
        <v>1938</v>
      </c>
      <c r="C51" s="69">
        <f>+'OBJ. ESTRATEGICO 1. '!AH137</f>
        <v>0.63728189085853315</v>
      </c>
      <c r="D51" s="10" t="s">
        <v>1961</v>
      </c>
    </row>
    <row r="52" spans="1:4" ht="30" x14ac:dyDescent="0.25">
      <c r="A52" s="432"/>
      <c r="B52" s="347" t="s">
        <v>1939</v>
      </c>
      <c r="C52" s="263">
        <f>+'OBJ. ESTRATEGICO 1. '!AH153</f>
        <v>0.8016638098350044</v>
      </c>
      <c r="D52" s="10" t="s">
        <v>1961</v>
      </c>
    </row>
    <row r="53" spans="1:4" ht="36.75" x14ac:dyDescent="0.25">
      <c r="A53" s="432"/>
      <c r="B53" s="345" t="s">
        <v>1940</v>
      </c>
      <c r="C53" s="69">
        <f>+'OBJ. ESTRATEGICO 1. '!AH145</f>
        <v>0.90021021641681365</v>
      </c>
      <c r="D53" s="10" t="s">
        <v>1961</v>
      </c>
    </row>
    <row r="54" spans="1:4" ht="36.75" x14ac:dyDescent="0.25">
      <c r="A54" s="432"/>
      <c r="B54" s="345" t="s">
        <v>1941</v>
      </c>
      <c r="C54" s="69">
        <f>+'OBJ. ESTRATEGICO 1. '!AH152</f>
        <v>0.70311740325319505</v>
      </c>
      <c r="D54" s="10" t="s">
        <v>1961</v>
      </c>
    </row>
    <row r="55" spans="1:4" ht="30" x14ac:dyDescent="0.25">
      <c r="A55" s="432"/>
      <c r="B55" s="347" t="s">
        <v>1942</v>
      </c>
      <c r="C55" s="235">
        <f>+'OBJ. ESTRATEGICO 1. '!AH159</f>
        <v>0.88364361702127658</v>
      </c>
      <c r="D55" s="10" t="s">
        <v>1961</v>
      </c>
    </row>
    <row r="56" spans="1:4" x14ac:dyDescent="0.25">
      <c r="A56" s="432"/>
      <c r="B56" s="349" t="s">
        <v>1943</v>
      </c>
      <c r="C56" s="244">
        <f>+'OBJ. ESTRATEGICO 1. '!AH158</f>
        <v>0.88364361702127658</v>
      </c>
      <c r="D56" s="10" t="s">
        <v>1961</v>
      </c>
    </row>
    <row r="57" spans="1:4" ht="30" x14ac:dyDescent="0.25">
      <c r="A57" s="432"/>
      <c r="B57" s="347" t="s">
        <v>1944</v>
      </c>
      <c r="C57" s="263">
        <f>+'OBJ. ESTRATEGICO 1. '!AH167</f>
        <v>0.92114330808080802</v>
      </c>
      <c r="D57" s="10" t="s">
        <v>1961</v>
      </c>
    </row>
    <row r="58" spans="1:4" x14ac:dyDescent="0.25">
      <c r="A58" s="432"/>
      <c r="B58" s="345" t="s">
        <v>1945</v>
      </c>
      <c r="C58" s="69">
        <f>+'OBJ. ESTRATEGICO 1. '!AH164</f>
        <v>0.91751388888888885</v>
      </c>
      <c r="D58" s="10" t="s">
        <v>1961</v>
      </c>
    </row>
    <row r="59" spans="1:4" ht="24.75" x14ac:dyDescent="0.25">
      <c r="A59" s="432"/>
      <c r="B59" s="345" t="s">
        <v>1946</v>
      </c>
      <c r="C59" s="69">
        <f>+'OBJ. ESTRATEGICO 1. '!AH166</f>
        <v>0.9247727272727273</v>
      </c>
      <c r="D59" s="10" t="s">
        <v>1961</v>
      </c>
    </row>
    <row r="60" spans="1:4" ht="45" x14ac:dyDescent="0.25">
      <c r="A60" s="432"/>
      <c r="B60" s="347" t="s">
        <v>1947</v>
      </c>
      <c r="C60" s="263">
        <f>+'OBJ. ESTRATEGICO 1. '!AH178</f>
        <v>0.87942779195011334</v>
      </c>
      <c r="D60" s="10" t="s">
        <v>1961</v>
      </c>
    </row>
    <row r="61" spans="1:4" ht="24.75" x14ac:dyDescent="0.25">
      <c r="A61" s="432"/>
      <c r="B61" s="345" t="s">
        <v>1948</v>
      </c>
      <c r="C61" s="69">
        <f>+'OBJ. ESTRATEGICO 1. '!AH172</f>
        <v>0.89341666666666664</v>
      </c>
      <c r="D61" s="10" t="s">
        <v>1961</v>
      </c>
    </row>
    <row r="62" spans="1:4" ht="24.75" x14ac:dyDescent="0.25">
      <c r="A62" s="432"/>
      <c r="B62" s="345" t="s">
        <v>1949</v>
      </c>
      <c r="C62" s="69">
        <f>+'OBJ. ESTRATEGICO 1. '!AH177</f>
        <v>0.86543891723356003</v>
      </c>
      <c r="D62" s="10" t="s">
        <v>1961</v>
      </c>
    </row>
    <row r="63" spans="1:4" ht="30" x14ac:dyDescent="0.25">
      <c r="A63" s="432"/>
      <c r="B63" s="347" t="s">
        <v>1950</v>
      </c>
      <c r="C63" s="263">
        <f>+'OBJ. ESTRATEGICO 1. '!AH194</f>
        <v>0.94894260290087273</v>
      </c>
      <c r="D63" s="10" t="s">
        <v>1961</v>
      </c>
    </row>
    <row r="64" spans="1:4" ht="24.75" x14ac:dyDescent="0.25">
      <c r="A64" s="432"/>
      <c r="B64" s="345" t="s">
        <v>1951</v>
      </c>
      <c r="C64" s="69">
        <f>+'OBJ. ESTRATEGICO 1. '!AH181</f>
        <v>1</v>
      </c>
      <c r="D64" s="10" t="s">
        <v>1961</v>
      </c>
    </row>
    <row r="65" spans="1:4" ht="24.75" x14ac:dyDescent="0.25">
      <c r="A65" s="432"/>
      <c r="B65" s="345" t="s">
        <v>1952</v>
      </c>
      <c r="C65" s="69">
        <f>+'OBJ. ESTRATEGICO 1. '!AH184</f>
        <v>0.9098360655737705</v>
      </c>
      <c r="D65" s="10" t="s">
        <v>1961</v>
      </c>
    </row>
    <row r="66" spans="1:4" ht="36.75" x14ac:dyDescent="0.25">
      <c r="A66" s="432"/>
      <c r="B66" s="345" t="s">
        <v>1953</v>
      </c>
      <c r="C66" s="69">
        <f>+'OBJ. ESTRATEGICO 1. '!AH187</f>
        <v>0.9154325044861491</v>
      </c>
      <c r="D66" s="10" t="s">
        <v>1961</v>
      </c>
    </row>
    <row r="67" spans="1:4" ht="36.75" x14ac:dyDescent="0.25">
      <c r="A67" s="432"/>
      <c r="B67" s="345" t="s">
        <v>1954</v>
      </c>
      <c r="C67" s="69">
        <f>+'OBJ. ESTRATEGICO 1. '!AH189</f>
        <v>1</v>
      </c>
      <c r="D67" s="10" t="s">
        <v>1961</v>
      </c>
    </row>
    <row r="68" spans="1:4" ht="36.75" x14ac:dyDescent="0.25">
      <c r="A68" s="432"/>
      <c r="B68" s="345" t="s">
        <v>1955</v>
      </c>
      <c r="C68" s="69">
        <f>+'OBJ. ESTRATEGICO 1. '!AH193</f>
        <v>0.9194444444444444</v>
      </c>
      <c r="D68" s="10" t="s">
        <v>1961</v>
      </c>
    </row>
    <row r="69" spans="1:4" ht="30" x14ac:dyDescent="0.25">
      <c r="A69" s="432"/>
      <c r="B69" s="347" t="s">
        <v>1956</v>
      </c>
      <c r="C69" s="263">
        <f>+'OBJ. ESTRATEGICO 1. '!AH200</f>
        <v>0.66098484848484851</v>
      </c>
      <c r="D69" s="10" t="s">
        <v>1961</v>
      </c>
    </row>
    <row r="70" spans="1:4" ht="36.75" x14ac:dyDescent="0.25">
      <c r="A70" s="432"/>
      <c r="B70" s="345" t="s">
        <v>1957</v>
      </c>
      <c r="C70" s="69">
        <f>+'OBJ. ESTRATEGICO 1. '!AH199</f>
        <v>0.66098484848484851</v>
      </c>
      <c r="D70" s="10" t="s">
        <v>1961</v>
      </c>
    </row>
    <row r="71" spans="1:4" ht="30" x14ac:dyDescent="0.25">
      <c r="A71" s="432"/>
      <c r="B71" s="347" t="s">
        <v>1958</v>
      </c>
      <c r="C71" s="263">
        <f>+'OBJ. ESTRATEGICO 1. '!AH207</f>
        <v>0.77781250000000002</v>
      </c>
      <c r="D71" s="10" t="s">
        <v>1961</v>
      </c>
    </row>
    <row r="72" spans="1:4" ht="24.75" x14ac:dyDescent="0.25">
      <c r="A72" s="432"/>
      <c r="B72" s="345" t="s">
        <v>1959</v>
      </c>
      <c r="C72" s="69">
        <f>+'OBJ. ESTRATEGICO 1. '!AH203</f>
        <v>0.66500000000000004</v>
      </c>
      <c r="D72" s="10" t="s">
        <v>1961</v>
      </c>
    </row>
    <row r="73" spans="1:4" ht="24.75" x14ac:dyDescent="0.25">
      <c r="A73" s="432"/>
      <c r="B73" s="345" t="s">
        <v>1960</v>
      </c>
      <c r="C73" s="69">
        <f>+'OBJ. ESTRATEGICO 1. '!AH206</f>
        <v>0.890625</v>
      </c>
      <c r="D73" s="10" t="s">
        <v>1961</v>
      </c>
    </row>
    <row r="74" spans="1:4" ht="60" x14ac:dyDescent="0.25">
      <c r="A74" s="432"/>
      <c r="B74" s="346" t="s">
        <v>2136</v>
      </c>
      <c r="C74" s="19">
        <f>+(C75+C79+C84+C86)/4</f>
        <v>0.96368055555555554</v>
      </c>
      <c r="D74" s="11" t="s">
        <v>1978</v>
      </c>
    </row>
    <row r="75" spans="1:4" ht="30" x14ac:dyDescent="0.25">
      <c r="A75" s="432"/>
      <c r="B75" s="347" t="s">
        <v>1963</v>
      </c>
      <c r="C75" s="4">
        <f>+'OBJ. ESTRATEGICO 1. '!AH215</f>
        <v>0.96666666666666667</v>
      </c>
      <c r="D75" s="11" t="s">
        <v>1978</v>
      </c>
    </row>
    <row r="76" spans="1:4" ht="24.75" x14ac:dyDescent="0.25">
      <c r="A76" s="432"/>
      <c r="B76" s="345" t="s">
        <v>1962</v>
      </c>
      <c r="C76" s="16">
        <f>+'OBJ. ESTRATEGICO 1. '!AH210</f>
        <v>0.9</v>
      </c>
      <c r="D76" s="11" t="s">
        <v>1978</v>
      </c>
    </row>
    <row r="77" spans="1:4" ht="36.75" x14ac:dyDescent="0.25">
      <c r="A77" s="432"/>
      <c r="B77" s="345" t="s">
        <v>1964</v>
      </c>
      <c r="C77" s="16">
        <f>+'OBJ. ESTRATEGICO 1. '!AH212</f>
        <v>1</v>
      </c>
      <c r="D77" s="11" t="s">
        <v>1978</v>
      </c>
    </row>
    <row r="78" spans="1:4" ht="36.75" x14ac:dyDescent="0.25">
      <c r="A78" s="432"/>
      <c r="B78" s="345" t="s">
        <v>1965</v>
      </c>
      <c r="C78" s="16">
        <f>+'OBJ. ESTRATEGICO 1. '!AH214</f>
        <v>1</v>
      </c>
      <c r="D78" s="11" t="s">
        <v>1978</v>
      </c>
    </row>
    <row r="79" spans="1:4" ht="30" x14ac:dyDescent="0.25">
      <c r="A79" s="432"/>
      <c r="B79" s="347" t="s">
        <v>1966</v>
      </c>
      <c r="C79" s="4">
        <f>+'OBJ. ESTRATEGICO 1. '!AH225</f>
        <v>0.8880555555555556</v>
      </c>
      <c r="D79" s="11" t="s">
        <v>1978</v>
      </c>
    </row>
    <row r="80" spans="1:4" x14ac:dyDescent="0.25">
      <c r="A80" s="432"/>
      <c r="B80" s="349" t="s">
        <v>1967</v>
      </c>
      <c r="C80" s="16">
        <f>+'OBJ. ESTRATEGICO 1. '!AH217</f>
        <v>0.85</v>
      </c>
      <c r="D80" s="11" t="s">
        <v>1978</v>
      </c>
    </row>
    <row r="81" spans="1:4" ht="36.75" x14ac:dyDescent="0.25">
      <c r="A81" s="432"/>
      <c r="B81" s="345" t="s">
        <v>1968</v>
      </c>
      <c r="C81" s="16">
        <f>+'OBJ. ESTRATEGICO 1. '!AH219</f>
        <v>0.98</v>
      </c>
      <c r="D81" s="11" t="s">
        <v>1978</v>
      </c>
    </row>
    <row r="82" spans="1:4" ht="24.75" x14ac:dyDescent="0.25">
      <c r="A82" s="432"/>
      <c r="B82" s="345" t="s">
        <v>1969</v>
      </c>
      <c r="C82" s="16">
        <f>+'OBJ. ESTRATEGICO 1. '!AH221</f>
        <v>1</v>
      </c>
      <c r="D82" s="11" t="s">
        <v>1978</v>
      </c>
    </row>
    <row r="83" spans="1:4" ht="24.75" x14ac:dyDescent="0.25">
      <c r="A83" s="432"/>
      <c r="B83" s="345" t="s">
        <v>1970</v>
      </c>
      <c r="C83" s="16">
        <f>+'OBJ. ESTRATEGICO 1. '!AH224</f>
        <v>0.72222222222222221</v>
      </c>
      <c r="D83" s="11" t="s">
        <v>1978</v>
      </c>
    </row>
    <row r="84" spans="1:4" ht="30" x14ac:dyDescent="0.25">
      <c r="A84" s="432"/>
      <c r="B84" s="347" t="s">
        <v>1972</v>
      </c>
      <c r="C84" s="17">
        <f>+'OBJ. ESTRATEGICO 1. '!AH228</f>
        <v>1</v>
      </c>
      <c r="D84" s="11" t="s">
        <v>1978</v>
      </c>
    </row>
    <row r="85" spans="1:4" ht="24.75" x14ac:dyDescent="0.25">
      <c r="A85" s="432"/>
      <c r="B85" s="345" t="s">
        <v>1971</v>
      </c>
      <c r="C85" s="18">
        <f>+'OBJ. ESTRATEGICO 1. '!AH227</f>
        <v>1</v>
      </c>
      <c r="D85" s="11" t="s">
        <v>1978</v>
      </c>
    </row>
    <row r="86" spans="1:4" ht="45" x14ac:dyDescent="0.25">
      <c r="A86" s="432"/>
      <c r="B86" s="347" t="s">
        <v>1973</v>
      </c>
      <c r="C86" s="4">
        <f>+'OBJ. ESTRATEGICO 1. '!AH237</f>
        <v>1</v>
      </c>
      <c r="D86" s="11" t="s">
        <v>1978</v>
      </c>
    </row>
    <row r="87" spans="1:4" ht="24.75" x14ac:dyDescent="0.25">
      <c r="A87" s="432"/>
      <c r="B87" s="345" t="s">
        <v>1974</v>
      </c>
      <c r="C87" s="71">
        <f>+'OBJ. ESTRATEGICO 1. '!AH230</f>
        <v>1</v>
      </c>
      <c r="D87" s="11" t="s">
        <v>1978</v>
      </c>
    </row>
    <row r="88" spans="1:4" ht="24.75" x14ac:dyDescent="0.25">
      <c r="A88" s="432"/>
      <c r="B88" s="345" t="s">
        <v>1975</v>
      </c>
      <c r="C88" s="71">
        <f>+'OBJ. ESTRATEGICO 1. '!AH231</f>
        <v>1</v>
      </c>
      <c r="D88" s="11" t="s">
        <v>1978</v>
      </c>
    </row>
    <row r="89" spans="1:4" ht="24.75" x14ac:dyDescent="0.25">
      <c r="A89" s="432"/>
      <c r="B89" s="345" t="s">
        <v>1976</v>
      </c>
      <c r="C89" s="18">
        <f>+'OBJ. ESTRATEGICO 1. '!AH234</f>
        <v>1</v>
      </c>
      <c r="D89" s="11" t="s">
        <v>1978</v>
      </c>
    </row>
    <row r="90" spans="1:4" ht="24.75" x14ac:dyDescent="0.25">
      <c r="A90" s="432"/>
      <c r="B90" s="345" t="s">
        <v>1977</v>
      </c>
      <c r="C90" s="18">
        <f>+'OBJ. ESTRATEGICO 1. '!AH236</f>
        <v>1</v>
      </c>
      <c r="D90" s="11" t="s">
        <v>1978</v>
      </c>
    </row>
    <row r="91" spans="1:4" ht="30" x14ac:dyDescent="0.25">
      <c r="A91" s="256"/>
      <c r="B91" s="346" t="s">
        <v>554</v>
      </c>
      <c r="C91" s="21">
        <f>+(C92+C94+C96+C99+C101+C104+C108)/7</f>
        <v>0.79152629807348873</v>
      </c>
      <c r="D91" s="11" t="s">
        <v>1997</v>
      </c>
    </row>
    <row r="92" spans="1:4" ht="45" x14ac:dyDescent="0.25">
      <c r="A92" s="256"/>
      <c r="B92" s="347" t="s">
        <v>1979</v>
      </c>
      <c r="C92" s="20">
        <f>+'OBJ. ESTRATEGICO 1. '!AH241</f>
        <v>0.56823266219239377</v>
      </c>
      <c r="D92" s="11" t="s">
        <v>1997</v>
      </c>
    </row>
    <row r="93" spans="1:4" ht="36.75" x14ac:dyDescent="0.25">
      <c r="A93" s="256"/>
      <c r="B93" s="345" t="s">
        <v>1986</v>
      </c>
      <c r="C93" s="16">
        <f>+'OBJ. ESTRATEGICO 1. '!AH240</f>
        <v>0.56823266219239377</v>
      </c>
      <c r="D93" s="11" t="s">
        <v>1997</v>
      </c>
    </row>
    <row r="94" spans="1:4" x14ac:dyDescent="0.25">
      <c r="A94" s="256"/>
      <c r="B94" s="347" t="s">
        <v>1980</v>
      </c>
      <c r="C94" s="20">
        <f>+'OBJ. ESTRATEGICO 1. '!AH245</f>
        <v>0.77301500064657969</v>
      </c>
      <c r="D94" s="11" t="s">
        <v>1997</v>
      </c>
    </row>
    <row r="95" spans="1:4" x14ac:dyDescent="0.25">
      <c r="A95" s="256"/>
      <c r="B95" s="349" t="s">
        <v>1987</v>
      </c>
      <c r="C95" s="16">
        <f>+'OBJ. ESTRATEGICO 1. '!AH244</f>
        <v>0.77301500064657969</v>
      </c>
      <c r="D95" s="11" t="s">
        <v>1997</v>
      </c>
    </row>
    <row r="96" spans="1:4" ht="30" x14ac:dyDescent="0.25">
      <c r="A96" s="256"/>
      <c r="B96" s="347" t="s">
        <v>1981</v>
      </c>
      <c r="C96" s="263">
        <f>+'OBJ. ESTRATEGICO 1. '!AH250</f>
        <v>0.83398971475964578</v>
      </c>
      <c r="D96" s="11" t="s">
        <v>1997</v>
      </c>
    </row>
    <row r="97" spans="1:4" ht="36.75" x14ac:dyDescent="0.25">
      <c r="A97" s="256"/>
      <c r="B97" s="345" t="s">
        <v>1988</v>
      </c>
      <c r="C97" s="16">
        <f>+'OBJ. ESTRATEGICO 1. '!AH247</f>
        <v>0.97289666666666663</v>
      </c>
      <c r="D97" s="11" t="s">
        <v>1997</v>
      </c>
    </row>
    <row r="98" spans="1:4" ht="36.75" x14ac:dyDescent="0.25">
      <c r="A98" s="256"/>
      <c r="B98" s="345" t="s">
        <v>1989</v>
      </c>
      <c r="C98" s="16">
        <f>+'OBJ. ESTRATEGICO 1. '!AH249</f>
        <v>0.69508276285262505</v>
      </c>
      <c r="D98" s="11" t="s">
        <v>1997</v>
      </c>
    </row>
    <row r="99" spans="1:4" ht="30" x14ac:dyDescent="0.25">
      <c r="A99" s="256"/>
      <c r="B99" s="347" t="s">
        <v>1982</v>
      </c>
      <c r="C99" s="20">
        <f>+'OBJ. ESTRATEGICO 1. '!AH254</f>
        <v>0.66249999999999998</v>
      </c>
      <c r="D99" s="11" t="s">
        <v>1997</v>
      </c>
    </row>
    <row r="100" spans="1:4" ht="48.75" x14ac:dyDescent="0.25">
      <c r="A100" s="256"/>
      <c r="B100" s="345" t="s">
        <v>1990</v>
      </c>
      <c r="C100" s="70">
        <f>+'OBJ. ESTRATEGICO 1. '!AH253</f>
        <v>0.66249999999999998</v>
      </c>
      <c r="D100" s="11" t="s">
        <v>1997</v>
      </c>
    </row>
    <row r="101" spans="1:4" ht="30" x14ac:dyDescent="0.25">
      <c r="A101" s="256"/>
      <c r="B101" s="347" t="s">
        <v>1983</v>
      </c>
      <c r="C101" s="20">
        <f>+'OBJ. ESTRATEGICO 1. '!AH260</f>
        <v>0.84685213527239145</v>
      </c>
      <c r="D101" s="11" t="s">
        <v>1997</v>
      </c>
    </row>
    <row r="102" spans="1:4" ht="36.75" x14ac:dyDescent="0.25">
      <c r="A102" s="256"/>
      <c r="B102" s="345" t="s">
        <v>1991</v>
      </c>
      <c r="C102" s="16">
        <f>+'OBJ. ESTRATEGICO 1. '!AH256</f>
        <v>0.97357499999999997</v>
      </c>
      <c r="D102" s="11" t="s">
        <v>1997</v>
      </c>
    </row>
    <row r="103" spans="1:4" ht="36.75" x14ac:dyDescent="0.25">
      <c r="A103" s="256"/>
      <c r="B103" s="345" t="s">
        <v>1992</v>
      </c>
      <c r="C103" s="16">
        <f>+'OBJ. ESTRATEGICO 1. '!AH259</f>
        <v>0.72012927054478304</v>
      </c>
      <c r="D103" s="11" t="s">
        <v>1997</v>
      </c>
    </row>
    <row r="104" spans="1:4" x14ac:dyDescent="0.25">
      <c r="A104" s="256"/>
      <c r="B104" s="347" t="s">
        <v>1984</v>
      </c>
      <c r="C104" s="20">
        <f>+'OBJ. ESTRATEGICO 1. '!AH268</f>
        <v>0.96079457364341092</v>
      </c>
      <c r="D104" s="11" t="s">
        <v>1997</v>
      </c>
    </row>
    <row r="105" spans="1:4" ht="32.25" customHeight="1" x14ac:dyDescent="0.25">
      <c r="A105" s="256"/>
      <c r="B105" s="345" t="s">
        <v>1993</v>
      </c>
      <c r="C105" s="72">
        <f>+'OBJ. ESTRATEGICO 1. '!AH262</f>
        <v>0.99750000000000005</v>
      </c>
      <c r="D105" s="11" t="s">
        <v>1997</v>
      </c>
    </row>
    <row r="106" spans="1:4" ht="34.5" customHeight="1" x14ac:dyDescent="0.25">
      <c r="A106" s="256"/>
      <c r="B106" s="345" t="s">
        <v>1994</v>
      </c>
      <c r="C106" s="69">
        <f>+'OBJ. ESTRATEGICO 1. '!AH264</f>
        <v>1</v>
      </c>
      <c r="D106" s="11" t="s">
        <v>1997</v>
      </c>
    </row>
    <row r="107" spans="1:4" ht="24.75" x14ac:dyDescent="0.25">
      <c r="A107" s="256"/>
      <c r="B107" s="345" t="s">
        <v>1995</v>
      </c>
      <c r="C107" s="69">
        <f>+'OBJ. ESTRATEGICO 1. '!AH267</f>
        <v>0.88488372093023249</v>
      </c>
      <c r="D107" s="11" t="s">
        <v>1997</v>
      </c>
    </row>
    <row r="108" spans="1:4" ht="45" x14ac:dyDescent="0.25">
      <c r="A108" s="256"/>
      <c r="B108" s="347" t="s">
        <v>1985</v>
      </c>
      <c r="C108" s="263">
        <f>+'OBJ. ESTRATEGICO 1. '!AH272</f>
        <v>0.89529999999999998</v>
      </c>
      <c r="D108" s="11" t="s">
        <v>1997</v>
      </c>
    </row>
    <row r="109" spans="1:4" ht="36.75" x14ac:dyDescent="0.25">
      <c r="A109" s="432"/>
      <c r="B109" s="345" t="s">
        <v>1996</v>
      </c>
      <c r="C109" s="69">
        <f>+'OBJ. ESTRATEGICO 1. '!AH271</f>
        <v>0.89529999999999998</v>
      </c>
      <c r="D109" s="11" t="s">
        <v>1997</v>
      </c>
    </row>
    <row r="110" spans="1:4" ht="60" x14ac:dyDescent="0.25">
      <c r="A110" s="432"/>
      <c r="B110" s="346" t="s">
        <v>624</v>
      </c>
      <c r="C110" s="22">
        <f>+'OBJ. ESTRATEGICO 1. '!AH308</f>
        <v>0.89578445399626661</v>
      </c>
      <c r="D110" s="15" t="s">
        <v>2009</v>
      </c>
    </row>
    <row r="111" spans="1:4" ht="45" x14ac:dyDescent="0.25">
      <c r="A111" s="432"/>
      <c r="B111" s="347" t="s">
        <v>1998</v>
      </c>
      <c r="C111" s="5">
        <f>+'OBJ. ESTRATEGICO 1. '!AH307</f>
        <v>0.89578445399626661</v>
      </c>
      <c r="D111" s="15" t="s">
        <v>2009</v>
      </c>
    </row>
    <row r="112" spans="1:4" ht="48.75" x14ac:dyDescent="0.25">
      <c r="A112" s="432"/>
      <c r="B112" s="345" t="s">
        <v>1999</v>
      </c>
      <c r="C112" s="23">
        <f>+'OBJ. ESTRATEGICO 1. '!AH277</f>
        <v>1</v>
      </c>
      <c r="D112" s="15" t="s">
        <v>2009</v>
      </c>
    </row>
    <row r="113" spans="1:4" ht="48.75" x14ac:dyDescent="0.25">
      <c r="A113" s="432"/>
      <c r="B113" s="345" t="s">
        <v>2000</v>
      </c>
      <c r="C113" s="23">
        <f>+'OBJ. ESTRATEGICO 1. '!AH280</f>
        <v>0.82773437500000002</v>
      </c>
      <c r="D113" s="15" t="s">
        <v>2009</v>
      </c>
    </row>
    <row r="114" spans="1:4" ht="36.75" x14ac:dyDescent="0.25">
      <c r="A114" s="432"/>
      <c r="B114" s="345" t="s">
        <v>2001</v>
      </c>
      <c r="C114" s="23">
        <f>+'OBJ. ESTRATEGICO 1. '!AH283</f>
        <v>1</v>
      </c>
      <c r="D114" s="15" t="s">
        <v>2009</v>
      </c>
    </row>
    <row r="115" spans="1:4" ht="48.75" x14ac:dyDescent="0.25">
      <c r="A115" s="432"/>
      <c r="B115" s="345" t="s">
        <v>2002</v>
      </c>
      <c r="C115" s="70">
        <f>+'OBJ. ESTRATEGICO 1. '!AH285</f>
        <v>1</v>
      </c>
      <c r="D115" s="15" t="s">
        <v>2009</v>
      </c>
    </row>
    <row r="116" spans="1:4" ht="48.75" x14ac:dyDescent="0.25">
      <c r="A116" s="432"/>
      <c r="B116" s="345" t="s">
        <v>2003</v>
      </c>
      <c r="C116" s="70">
        <f>+'OBJ. ESTRATEGICO 1. '!AH289</f>
        <v>0.36401170152504725</v>
      </c>
      <c r="D116" s="15" t="s">
        <v>2009</v>
      </c>
    </row>
    <row r="117" spans="1:4" ht="48.75" x14ac:dyDescent="0.25">
      <c r="A117" s="432"/>
      <c r="B117" s="345" t="s">
        <v>2004</v>
      </c>
      <c r="C117" s="70">
        <f>+'OBJ. ESTRATEGICO 1. '!AH292</f>
        <v>0.9900927172125018</v>
      </c>
      <c r="D117" s="15" t="s">
        <v>2009</v>
      </c>
    </row>
    <row r="118" spans="1:4" ht="48.75" x14ac:dyDescent="0.25">
      <c r="A118" s="432"/>
      <c r="B118" s="345" t="s">
        <v>2005</v>
      </c>
      <c r="C118" s="23">
        <f>+'OBJ. ESTRATEGICO 1. '!AH295</f>
        <v>0.97058823529411764</v>
      </c>
      <c r="D118" s="15" t="s">
        <v>2009</v>
      </c>
    </row>
    <row r="119" spans="1:4" ht="48.75" x14ac:dyDescent="0.25">
      <c r="A119" s="432"/>
      <c r="B119" s="345" t="s">
        <v>2006</v>
      </c>
      <c r="C119" s="23">
        <f>+'OBJ. ESTRATEGICO 1. '!AH299</f>
        <v>1</v>
      </c>
      <c r="D119" s="15" t="s">
        <v>2009</v>
      </c>
    </row>
    <row r="120" spans="1:4" ht="48.75" x14ac:dyDescent="0.25">
      <c r="A120" s="432"/>
      <c r="B120" s="345" t="s">
        <v>2007</v>
      </c>
      <c r="C120" s="70">
        <f>+'OBJ. ESTRATEGICO 1. '!AH304</f>
        <v>0.85541751093100138</v>
      </c>
      <c r="D120" s="15" t="s">
        <v>2009</v>
      </c>
    </row>
    <row r="121" spans="1:4" ht="50.25" customHeight="1" x14ac:dyDescent="0.25">
      <c r="A121" s="432"/>
      <c r="B121" s="345" t="s">
        <v>2008</v>
      </c>
      <c r="C121" s="70">
        <f>+'OBJ. ESTRATEGICO 1. '!AH306</f>
        <v>0.95</v>
      </c>
      <c r="D121" s="15" t="s">
        <v>2009</v>
      </c>
    </row>
    <row r="122" spans="1:4" ht="45" x14ac:dyDescent="0.25">
      <c r="A122" s="432"/>
      <c r="B122" s="340" t="s">
        <v>684</v>
      </c>
      <c r="C122" s="36">
        <f>+(C123+C131+C140+C147+C157+C129)/6</f>
        <v>0.75072414071727567</v>
      </c>
      <c r="D122" s="67" t="s">
        <v>2151</v>
      </c>
    </row>
    <row r="123" spans="1:4" ht="60" x14ac:dyDescent="0.25">
      <c r="A123" s="432"/>
      <c r="B123" s="346" t="s">
        <v>685</v>
      </c>
      <c r="C123" s="78">
        <f>+(C124+C126)/2</f>
        <v>0.60817373386136064</v>
      </c>
      <c r="D123" s="85" t="s">
        <v>2152</v>
      </c>
    </row>
    <row r="124" spans="1:4" ht="30" x14ac:dyDescent="0.25">
      <c r="A124" s="432"/>
      <c r="B124" s="347" t="s">
        <v>2010</v>
      </c>
      <c r="C124" s="89">
        <f>+'OBJ. ESTRATEGICO 1. '!AH313</f>
        <v>0.5714285714285714</v>
      </c>
      <c r="D124" s="15" t="s">
        <v>2152</v>
      </c>
    </row>
    <row r="125" spans="1:4" ht="24.75" x14ac:dyDescent="0.25">
      <c r="A125" s="432"/>
      <c r="B125" s="345" t="s">
        <v>2011</v>
      </c>
      <c r="C125" s="71">
        <f>+'OBJ. ESTRATEGICO 1. '!AH312</f>
        <v>0.5714285714285714</v>
      </c>
      <c r="D125" s="15" t="s">
        <v>2152</v>
      </c>
    </row>
    <row r="126" spans="1:4" ht="30" x14ac:dyDescent="0.25">
      <c r="A126" s="432"/>
      <c r="B126" s="347" t="s">
        <v>2013</v>
      </c>
      <c r="C126" s="235">
        <f>+'OBJ. ESTRATEGICO 1. '!AH326</f>
        <v>0.64491889629414978</v>
      </c>
      <c r="D126" s="15" t="s">
        <v>2152</v>
      </c>
    </row>
    <row r="127" spans="1:4" ht="48.75" x14ac:dyDescent="0.25">
      <c r="A127" s="432"/>
      <c r="B127" s="345" t="s">
        <v>2023</v>
      </c>
      <c r="C127" s="24">
        <f>+'OBJ. ESTRATEGICO 1. '!AH321</f>
        <v>0.52920168067226891</v>
      </c>
      <c r="D127" s="15" t="s">
        <v>2152</v>
      </c>
    </row>
    <row r="128" spans="1:4" ht="60.75" x14ac:dyDescent="0.25">
      <c r="A128" s="432"/>
      <c r="B128" s="345" t="s">
        <v>2024</v>
      </c>
      <c r="C128" s="71">
        <f>+'OBJ. ESTRATEGICO 1. '!AH325</f>
        <v>0.83412643678160914</v>
      </c>
      <c r="D128" s="15" t="s">
        <v>2152</v>
      </c>
    </row>
    <row r="129" spans="1:4" ht="34.5" customHeight="1" x14ac:dyDescent="0.25">
      <c r="A129" s="432"/>
      <c r="B129" s="347" t="s">
        <v>2043</v>
      </c>
      <c r="C129" s="25">
        <f>+'OBJ. ESTRATEGICO 1. '!AH337</f>
        <v>0.98557098765432094</v>
      </c>
      <c r="D129" s="15" t="s">
        <v>2152</v>
      </c>
    </row>
    <row r="130" spans="1:4" ht="24.75" x14ac:dyDescent="0.25">
      <c r="A130" s="432"/>
      <c r="B130" s="345" t="s">
        <v>2025</v>
      </c>
      <c r="C130" s="24">
        <f>+'OBJ. ESTRATEGICO 1. '!AH336</f>
        <v>0.98557098765432094</v>
      </c>
      <c r="D130" s="15" t="s">
        <v>2152</v>
      </c>
    </row>
    <row r="131" spans="1:4" ht="30" x14ac:dyDescent="0.25">
      <c r="A131" s="432"/>
      <c r="B131" s="346" t="s">
        <v>741</v>
      </c>
      <c r="C131" s="19">
        <f>+(C132+C136)/2</f>
        <v>0.84834470580636512</v>
      </c>
      <c r="D131" s="15"/>
    </row>
    <row r="132" spans="1:4" ht="45" x14ac:dyDescent="0.25">
      <c r="A132" s="432"/>
      <c r="B132" s="350" t="s">
        <v>2204</v>
      </c>
      <c r="C132" s="25">
        <f>+'OBJ. ESTRATEGICO 1. '!AH351</f>
        <v>0.81111111111111123</v>
      </c>
      <c r="D132" s="15" t="s">
        <v>2152</v>
      </c>
    </row>
    <row r="133" spans="1:4" ht="90" x14ac:dyDescent="0.25">
      <c r="A133" s="432"/>
      <c r="B133" s="351" t="s">
        <v>2026</v>
      </c>
      <c r="C133" s="24">
        <f>+'OBJ. ESTRATEGICO 1. '!AH342</f>
        <v>1</v>
      </c>
      <c r="D133" s="15" t="s">
        <v>2152</v>
      </c>
    </row>
    <row r="134" spans="1:4" ht="105" x14ac:dyDescent="0.25">
      <c r="A134" s="432"/>
      <c r="B134" s="351" t="s">
        <v>2027</v>
      </c>
      <c r="C134" s="24">
        <f>+'OBJ. ESTRATEGICO 1. '!AH346</f>
        <v>0.83333333333333337</v>
      </c>
      <c r="D134" s="15" t="s">
        <v>2152</v>
      </c>
    </row>
    <row r="135" spans="1:4" ht="45" x14ac:dyDescent="0.25">
      <c r="A135" s="432"/>
      <c r="B135" s="351" t="s">
        <v>2028</v>
      </c>
      <c r="C135" s="71">
        <f>+'OBJ. ESTRATEGICO 1. '!AH350</f>
        <v>0.6</v>
      </c>
      <c r="D135" s="15" t="s">
        <v>2152</v>
      </c>
    </row>
    <row r="136" spans="1:4" ht="30" x14ac:dyDescent="0.25">
      <c r="A136" s="432"/>
      <c r="B136" s="347" t="s">
        <v>2014</v>
      </c>
      <c r="C136" s="235">
        <f>+'OBJ. ESTRATEGICO 1. '!AH364</f>
        <v>0.88557830050161901</v>
      </c>
      <c r="D136" s="15" t="s">
        <v>2152</v>
      </c>
    </row>
    <row r="137" spans="1:4" ht="36.75" x14ac:dyDescent="0.25">
      <c r="A137" s="432"/>
      <c r="B137" s="352" t="s">
        <v>2029</v>
      </c>
      <c r="C137" s="71">
        <f>+'OBJ. ESTRATEGICO 1. '!AH355</f>
        <v>0.78247999741902186</v>
      </c>
      <c r="D137" s="15" t="s">
        <v>2152</v>
      </c>
    </row>
    <row r="138" spans="1:4" ht="24.75" x14ac:dyDescent="0.25">
      <c r="A138" s="432"/>
      <c r="B138" s="345" t="s">
        <v>2030</v>
      </c>
      <c r="C138" s="76">
        <f>+'OBJ. ESTRATEGICO 1. '!AH360</f>
        <v>1</v>
      </c>
      <c r="D138" s="15" t="s">
        <v>2152</v>
      </c>
    </row>
    <row r="139" spans="1:4" x14ac:dyDescent="0.25">
      <c r="A139" s="432"/>
      <c r="B139" s="352" t="s">
        <v>2031</v>
      </c>
      <c r="C139" s="24">
        <f>+'OBJ. ESTRATEGICO 1. '!AH363</f>
        <v>0.87425490408583506</v>
      </c>
      <c r="D139" s="15" t="s">
        <v>2152</v>
      </c>
    </row>
    <row r="140" spans="1:4" ht="60" x14ac:dyDescent="0.25">
      <c r="A140" s="432"/>
      <c r="B140" s="346" t="s">
        <v>789</v>
      </c>
      <c r="C140" s="78">
        <f>+(C141+C143+C145)/3</f>
        <v>0.67925850340136051</v>
      </c>
      <c r="D140" s="15" t="s">
        <v>2152</v>
      </c>
    </row>
    <row r="141" spans="1:4" ht="30" x14ac:dyDescent="0.25">
      <c r="A141" s="432"/>
      <c r="B141" s="347" t="s">
        <v>2015</v>
      </c>
      <c r="C141" s="235">
        <f>+'OBJ. ESTRATEGICO 1. '!AH374</f>
        <v>0.67710884353741485</v>
      </c>
      <c r="D141" s="15" t="s">
        <v>2152</v>
      </c>
    </row>
    <row r="142" spans="1:4" ht="36.75" x14ac:dyDescent="0.25">
      <c r="A142" s="432"/>
      <c r="B142" s="345" t="s">
        <v>2032</v>
      </c>
      <c r="C142" s="71">
        <f>+'OBJ. ESTRATEGICO 1. '!AH373</f>
        <v>0.67710884353741485</v>
      </c>
      <c r="D142" s="15" t="s">
        <v>2152</v>
      </c>
    </row>
    <row r="143" spans="1:4" ht="30" x14ac:dyDescent="0.25">
      <c r="A143" s="432"/>
      <c r="B143" s="347" t="s">
        <v>2016</v>
      </c>
      <c r="C143" s="25">
        <f>+'OBJ. ESTRATEGICO 1. '!AH379</f>
        <v>0.5</v>
      </c>
      <c r="D143" s="15" t="s">
        <v>2152</v>
      </c>
    </row>
    <row r="144" spans="1:4" ht="36.75" x14ac:dyDescent="0.25">
      <c r="A144" s="432"/>
      <c r="B144" s="345" t="s">
        <v>2033</v>
      </c>
      <c r="C144" s="71">
        <f>+'OBJ. ESTRATEGICO 1. '!AH378</f>
        <v>0.5</v>
      </c>
      <c r="D144" s="15" t="s">
        <v>2152</v>
      </c>
    </row>
    <row r="145" spans="1:4" x14ac:dyDescent="0.25">
      <c r="A145" s="432"/>
      <c r="B145" s="347" t="s">
        <v>2017</v>
      </c>
      <c r="C145" s="25">
        <f>+'OBJ. ESTRATEGICO 1. '!AH386</f>
        <v>0.86066666666666669</v>
      </c>
      <c r="D145" s="15" t="s">
        <v>2152</v>
      </c>
    </row>
    <row r="146" spans="1:4" ht="24.75" x14ac:dyDescent="0.25">
      <c r="A146" s="432"/>
      <c r="B146" s="352" t="s">
        <v>2034</v>
      </c>
      <c r="C146" s="71">
        <f>+'OBJ. ESTRATEGICO 1. '!AH385</f>
        <v>0.86066666666666669</v>
      </c>
      <c r="D146" s="15" t="s">
        <v>2152</v>
      </c>
    </row>
    <row r="147" spans="1:4" ht="45" x14ac:dyDescent="0.25">
      <c r="A147" s="432"/>
      <c r="B147" s="346" t="s">
        <v>2012</v>
      </c>
      <c r="C147" s="19">
        <f>+(C148+C150+C155)/3</f>
        <v>0.9404969135802469</v>
      </c>
      <c r="D147" s="15" t="s">
        <v>2152</v>
      </c>
    </row>
    <row r="148" spans="1:4" ht="60" x14ac:dyDescent="0.25">
      <c r="A148" s="432"/>
      <c r="B148" s="347" t="s">
        <v>2018</v>
      </c>
      <c r="C148" s="25">
        <f>+'OBJ. ESTRATEGICO 1. '!AH392</f>
        <v>0.87866666666666671</v>
      </c>
      <c r="D148" s="15" t="s">
        <v>2152</v>
      </c>
    </row>
    <row r="149" spans="1:4" x14ac:dyDescent="0.25">
      <c r="A149" s="432"/>
      <c r="B149" s="345" t="s">
        <v>2035</v>
      </c>
      <c r="C149" s="71">
        <f>+'OBJ. ESTRATEGICO 1. '!AH391</f>
        <v>0.87866666666666671</v>
      </c>
      <c r="D149" s="15" t="s">
        <v>2152</v>
      </c>
    </row>
    <row r="150" spans="1:4" ht="60" x14ac:dyDescent="0.25">
      <c r="A150" s="432"/>
      <c r="B150" s="347" t="s">
        <v>2019</v>
      </c>
      <c r="C150" s="77">
        <f>+'OBJ. ESTRATEGICO 1. '!AH402</f>
        <v>0.94282407407407409</v>
      </c>
      <c r="D150" s="15" t="s">
        <v>2152</v>
      </c>
    </row>
    <row r="151" spans="1:4" ht="36.75" x14ac:dyDescent="0.25">
      <c r="A151" s="432"/>
      <c r="B151" s="345" t="s">
        <v>2036</v>
      </c>
      <c r="C151" s="24">
        <f>+'OBJ. ESTRATEGICO 1. '!AH394</f>
        <v>1</v>
      </c>
      <c r="D151" s="15" t="s">
        <v>2152</v>
      </c>
    </row>
    <row r="152" spans="1:4" ht="48.75" x14ac:dyDescent="0.25">
      <c r="A152" s="432"/>
      <c r="B152" s="345" t="s">
        <v>2037</v>
      </c>
      <c r="C152" s="71">
        <f>+'OBJ. ESTRATEGICO 1. '!AH397</f>
        <v>0.77129629629629637</v>
      </c>
      <c r="D152" s="15" t="s">
        <v>2152</v>
      </c>
    </row>
    <row r="153" spans="1:4" ht="36.75" x14ac:dyDescent="0.25">
      <c r="A153" s="432"/>
      <c r="B153" s="345" t="s">
        <v>2038</v>
      </c>
      <c r="C153" s="71">
        <f>+'OBJ. ESTRATEGICO 1. '!AH399</f>
        <v>1</v>
      </c>
      <c r="D153" s="15" t="s">
        <v>2152</v>
      </c>
    </row>
    <row r="154" spans="1:4" ht="48.75" x14ac:dyDescent="0.25">
      <c r="A154" s="432"/>
      <c r="B154" s="345" t="s">
        <v>2039</v>
      </c>
      <c r="C154" s="24">
        <f>+'OBJ. ESTRATEGICO 1. '!AH401</f>
        <v>1</v>
      </c>
      <c r="D154" s="15" t="s">
        <v>2152</v>
      </c>
    </row>
    <row r="155" spans="1:4" ht="30" x14ac:dyDescent="0.25">
      <c r="A155" s="432"/>
      <c r="B155" s="347" t="s">
        <v>2020</v>
      </c>
      <c r="C155" s="263">
        <f>+'OBJ. ESTRATEGICO 1. '!AH404</f>
        <v>1</v>
      </c>
      <c r="D155" s="15" t="s">
        <v>2152</v>
      </c>
    </row>
    <row r="156" spans="1:4" ht="36.75" x14ac:dyDescent="0.25">
      <c r="A156" s="432"/>
      <c r="B156" s="352" t="s">
        <v>2040</v>
      </c>
      <c r="C156" s="23">
        <f>+'OBJ. ESTRATEGICO 1. '!AH404</f>
        <v>1</v>
      </c>
      <c r="D156" s="15" t="s">
        <v>2152</v>
      </c>
    </row>
    <row r="157" spans="1:4" ht="30" x14ac:dyDescent="0.25">
      <c r="A157" s="256"/>
      <c r="B157" s="346" t="s">
        <v>864</v>
      </c>
      <c r="C157" s="19">
        <f>+(C158+C160)/2</f>
        <v>0.4425</v>
      </c>
      <c r="D157" s="15" t="s">
        <v>2153</v>
      </c>
    </row>
    <row r="158" spans="1:4" ht="45" x14ac:dyDescent="0.25">
      <c r="A158" s="256"/>
      <c r="B158" s="347" t="s">
        <v>2021</v>
      </c>
      <c r="C158" s="25">
        <f>+'OBJ. ESTRATEGICO 1. '!AH414</f>
        <v>0.55166666666666664</v>
      </c>
      <c r="D158" s="15" t="s">
        <v>2153</v>
      </c>
    </row>
    <row r="159" spans="1:4" ht="45" x14ac:dyDescent="0.25">
      <c r="A159" s="256"/>
      <c r="B159" s="353" t="s">
        <v>2041</v>
      </c>
      <c r="C159" s="24">
        <f>+'OBJ. ESTRATEGICO 1. '!AH413</f>
        <v>0.55166666666666664</v>
      </c>
      <c r="D159" s="15" t="s">
        <v>2153</v>
      </c>
    </row>
    <row r="160" spans="1:4" ht="30" x14ac:dyDescent="0.25">
      <c r="A160" s="256"/>
      <c r="B160" s="347" t="s">
        <v>2022</v>
      </c>
      <c r="C160" s="25">
        <f>+'OBJ. ESTRATEGICO 1. '!AH420</f>
        <v>0.33333333333333331</v>
      </c>
      <c r="D160" s="15" t="s">
        <v>2153</v>
      </c>
    </row>
    <row r="161" spans="1:4" ht="30" x14ac:dyDescent="0.25">
      <c r="A161" s="256"/>
      <c r="B161" s="353" t="s">
        <v>2042</v>
      </c>
      <c r="C161" s="71">
        <f>+'OBJ. ESTRATEGICO 1. '!AH419</f>
        <v>0.33333333333333331</v>
      </c>
      <c r="D161" s="15" t="s">
        <v>2153</v>
      </c>
    </row>
    <row r="162" spans="1:4" x14ac:dyDescent="0.25">
      <c r="A162" s="432"/>
    </row>
    <row r="163" spans="1:4" ht="30" x14ac:dyDescent="0.25">
      <c r="A163" s="432"/>
      <c r="B163" s="354" t="s">
        <v>2045</v>
      </c>
      <c r="C163" s="41">
        <f>+(C164+C191+C211)/3</f>
        <v>0.64528991237731059</v>
      </c>
      <c r="D163" s="1"/>
    </row>
    <row r="164" spans="1:4" ht="30" x14ac:dyDescent="0.25">
      <c r="A164" s="432"/>
      <c r="B164" s="340" t="s">
        <v>1892</v>
      </c>
      <c r="C164" s="36">
        <f>+C165</f>
        <v>0.65131824988874054</v>
      </c>
      <c r="D164" s="1"/>
    </row>
    <row r="165" spans="1:4" ht="45" x14ac:dyDescent="0.25">
      <c r="A165" s="432"/>
      <c r="B165" s="346" t="s">
        <v>2044</v>
      </c>
      <c r="C165" s="34">
        <f>+(C166+C169+C174+C180+C183+C186)/6</f>
        <v>0.65131824988874054</v>
      </c>
      <c r="D165" s="29" t="s">
        <v>2058</v>
      </c>
    </row>
    <row r="166" spans="1:4" ht="30" x14ac:dyDescent="0.25">
      <c r="A166" s="432"/>
      <c r="B166" s="347" t="s">
        <v>2046</v>
      </c>
      <c r="C166" s="31">
        <f>+'OBJ. ESTRATEGICO 2'!AG28</f>
        <v>0.53749999999999998</v>
      </c>
      <c r="D166" s="29" t="s">
        <v>2058</v>
      </c>
    </row>
    <row r="167" spans="1:4" ht="48.75" x14ac:dyDescent="0.25">
      <c r="A167" s="432"/>
      <c r="B167" s="345" t="s">
        <v>2047</v>
      </c>
      <c r="C167" s="30">
        <f>+'OBJ. ESTRATEGICO 2'!AG11</f>
        <v>0.78500000000000003</v>
      </c>
      <c r="D167" s="29" t="s">
        <v>2058</v>
      </c>
    </row>
    <row r="168" spans="1:4" ht="36.75" x14ac:dyDescent="0.25">
      <c r="A168" s="432"/>
      <c r="B168" s="345" t="s">
        <v>2048</v>
      </c>
      <c r="C168" s="73">
        <f>+'OBJ. ESTRATEGICO 2'!AG27</f>
        <v>0.28999999999999998</v>
      </c>
      <c r="D168" s="85" t="s">
        <v>2058</v>
      </c>
    </row>
    <row r="169" spans="1:4" ht="30" x14ac:dyDescent="0.25">
      <c r="A169" s="432"/>
      <c r="B169" s="347" t="s">
        <v>945</v>
      </c>
      <c r="C169" s="31">
        <f>+'OBJ. ESTRATEGICO 2'!AG49</f>
        <v>0.62557666666666667</v>
      </c>
      <c r="D169" s="1"/>
    </row>
    <row r="170" spans="1:4" ht="36.75" x14ac:dyDescent="0.25">
      <c r="A170" s="432"/>
      <c r="B170" s="345" t="s">
        <v>2049</v>
      </c>
      <c r="C170" s="30">
        <f>+'OBJ. ESTRATEGICO 2'!AG34</f>
        <v>0.51963999999999999</v>
      </c>
      <c r="D170" s="26" t="s">
        <v>2060</v>
      </c>
    </row>
    <row r="171" spans="1:4" ht="24.75" x14ac:dyDescent="0.25">
      <c r="A171" s="432"/>
      <c r="B171" s="352" t="s">
        <v>2050</v>
      </c>
      <c r="C171" s="73">
        <f>+'OBJ. ESTRATEGICO 2'!AG39</f>
        <v>0.66725000000000001</v>
      </c>
      <c r="D171" s="28" t="s">
        <v>2152</v>
      </c>
    </row>
    <row r="172" spans="1:4" ht="24.75" x14ac:dyDescent="0.25">
      <c r="A172" s="432"/>
      <c r="B172" s="352" t="s">
        <v>2051</v>
      </c>
      <c r="C172" s="73">
        <f>+'OBJ. ESTRATEGICO 2'!AG44</f>
        <v>0.75975000000000004</v>
      </c>
      <c r="D172" s="28" t="s">
        <v>2152</v>
      </c>
    </row>
    <row r="173" spans="1:4" ht="24.75" x14ac:dyDescent="0.25">
      <c r="A173" s="432"/>
      <c r="B173" s="345" t="s">
        <v>2052</v>
      </c>
      <c r="C173" s="73">
        <f>+'OBJ. ESTRATEGICO 2'!AG48</f>
        <v>0.55566666666666664</v>
      </c>
      <c r="D173" s="28" t="s">
        <v>2061</v>
      </c>
    </row>
    <row r="174" spans="1:4" ht="60" x14ac:dyDescent="0.25">
      <c r="A174" s="432"/>
      <c r="B174" s="347" t="s">
        <v>990</v>
      </c>
      <c r="C174" s="31">
        <f>+'OBJ. ESTRATEGICO 2'!AG62</f>
        <v>1</v>
      </c>
      <c r="D174" s="28" t="s">
        <v>2059</v>
      </c>
    </row>
    <row r="175" spans="1:4" ht="24.75" x14ac:dyDescent="0.25">
      <c r="A175" s="432"/>
      <c r="B175" s="352" t="s">
        <v>2053</v>
      </c>
      <c r="C175" s="73">
        <f>+'OBJ. ESTRATEGICO 2'!AG51</f>
        <v>1</v>
      </c>
      <c r="D175" s="28" t="s">
        <v>2059</v>
      </c>
    </row>
    <row r="176" spans="1:4" ht="36.75" x14ac:dyDescent="0.25">
      <c r="A176" s="432"/>
      <c r="B176" s="352" t="s">
        <v>2054</v>
      </c>
      <c r="C176" s="30">
        <f>+'OBJ. ESTRATEGICO 2'!AG53</f>
        <v>1</v>
      </c>
      <c r="D176" s="28" t="s">
        <v>2059</v>
      </c>
    </row>
    <row r="177" spans="1:4" ht="48.75" x14ac:dyDescent="0.25">
      <c r="A177" s="432"/>
      <c r="B177" s="352" t="s">
        <v>2055</v>
      </c>
      <c r="C177" s="30">
        <f>+'OBJ. ESTRATEGICO 2'!AG57</f>
        <v>1</v>
      </c>
      <c r="D177" s="28" t="s">
        <v>2059</v>
      </c>
    </row>
    <row r="178" spans="1:4" ht="36.75" x14ac:dyDescent="0.25">
      <c r="A178" s="432"/>
      <c r="B178" s="345" t="s">
        <v>2056</v>
      </c>
      <c r="C178" s="30">
        <f>+'OBJ. ESTRATEGICO 2'!AG59</f>
        <v>1</v>
      </c>
      <c r="D178" s="28" t="s">
        <v>2059</v>
      </c>
    </row>
    <row r="179" spans="1:4" ht="24.75" x14ac:dyDescent="0.25">
      <c r="A179" s="432"/>
      <c r="B179" s="345" t="s">
        <v>2057</v>
      </c>
      <c r="C179" s="73">
        <f>+'OBJ. ESTRATEGICO 2'!AG61</f>
        <v>1</v>
      </c>
      <c r="D179" s="28" t="s">
        <v>2059</v>
      </c>
    </row>
    <row r="180" spans="1:4" ht="30" x14ac:dyDescent="0.25">
      <c r="A180" s="432"/>
      <c r="B180" s="347" t="s">
        <v>1012</v>
      </c>
      <c r="C180" s="31">
        <f>+'OBJ. ESTRATEGICO 2'!AG71</f>
        <v>0.28333333333333333</v>
      </c>
      <c r="D180" s="39" t="s">
        <v>2154</v>
      </c>
    </row>
    <row r="181" spans="1:4" ht="24.75" x14ac:dyDescent="0.25">
      <c r="A181" s="432"/>
      <c r="B181" s="345" t="s">
        <v>2063</v>
      </c>
      <c r="C181" s="30">
        <f>+'OBJ. ESTRATEGICO 2'!AG66</f>
        <v>0.43333333333333335</v>
      </c>
      <c r="D181" s="39" t="s">
        <v>2154</v>
      </c>
    </row>
    <row r="182" spans="1:4" ht="24.75" x14ac:dyDescent="0.25">
      <c r="A182" s="432"/>
      <c r="B182" s="352" t="s">
        <v>2064</v>
      </c>
      <c r="C182" s="30">
        <f>+'OBJ. ESTRATEGICO 2'!AG70</f>
        <v>0.13333333333333333</v>
      </c>
      <c r="D182" s="39" t="s">
        <v>2154</v>
      </c>
    </row>
    <row r="183" spans="1:4" ht="30" x14ac:dyDescent="0.25">
      <c r="A183" s="432"/>
      <c r="B183" s="347" t="s">
        <v>1027</v>
      </c>
      <c r="C183" s="31">
        <f>+'OBJ. ESTRATEGICO 2'!AG78</f>
        <v>0.72687499999999994</v>
      </c>
      <c r="D183" s="1"/>
    </row>
    <row r="184" spans="1:4" ht="60.75" x14ac:dyDescent="0.25">
      <c r="A184" s="432"/>
      <c r="B184" s="345" t="s">
        <v>2065</v>
      </c>
      <c r="C184" s="73">
        <f>+'OBJ. ESTRATEGICO 2'!AG74</f>
        <v>0.7</v>
      </c>
      <c r="D184" s="1" t="s">
        <v>2155</v>
      </c>
    </row>
    <row r="185" spans="1:4" ht="36.75" x14ac:dyDescent="0.25">
      <c r="A185" s="432"/>
      <c r="B185" s="345" t="s">
        <v>2066</v>
      </c>
      <c r="C185" s="73">
        <f>+'OBJ. ESTRATEGICO 2'!AG77</f>
        <v>0.75374999999999992</v>
      </c>
      <c r="D185" s="1" t="s">
        <v>2155</v>
      </c>
    </row>
    <row r="186" spans="1:4" ht="45" x14ac:dyDescent="0.25">
      <c r="A186" s="432"/>
      <c r="B186" s="347" t="s">
        <v>1038</v>
      </c>
      <c r="C186" s="31">
        <f>+'OBJ. ESTRATEGICO 2'!AG95</f>
        <v>0.73462449933244323</v>
      </c>
      <c r="D186" s="39" t="s">
        <v>2118</v>
      </c>
    </row>
    <row r="187" spans="1:4" ht="24.75" x14ac:dyDescent="0.25">
      <c r="A187" s="432"/>
      <c r="B187" s="352" t="s">
        <v>2067</v>
      </c>
      <c r="C187" s="30">
        <f>+'OBJ. ESTRATEGICO 2'!AG83</f>
        <v>0.75</v>
      </c>
      <c r="D187" s="39" t="s">
        <v>2118</v>
      </c>
    </row>
    <row r="188" spans="1:4" ht="36.75" x14ac:dyDescent="0.25">
      <c r="A188" s="432"/>
      <c r="B188" s="352" t="s">
        <v>2068</v>
      </c>
      <c r="C188" s="30">
        <f>+'OBJ. ESTRATEGICO 2'!AG86</f>
        <v>0.64135514018691586</v>
      </c>
      <c r="D188" s="39" t="s">
        <v>2118</v>
      </c>
    </row>
    <row r="189" spans="1:4" ht="36.75" x14ac:dyDescent="0.25">
      <c r="A189" s="432"/>
      <c r="B189" s="352" t="s">
        <v>2069</v>
      </c>
      <c r="C189" s="30">
        <f>+'OBJ. ESTRATEGICO 2'!AG90</f>
        <v>0.79047619047619044</v>
      </c>
      <c r="D189" s="39" t="s">
        <v>2118</v>
      </c>
    </row>
    <row r="190" spans="1:4" ht="48.75" x14ac:dyDescent="0.25">
      <c r="A190" s="432"/>
      <c r="B190" s="352" t="s">
        <v>2070</v>
      </c>
      <c r="C190" s="30">
        <f>+'OBJ. ESTRATEGICO 2'!AG94</f>
        <v>0.75666666666666671</v>
      </c>
      <c r="D190" s="39" t="s">
        <v>2118</v>
      </c>
    </row>
    <row r="191" spans="1:4" ht="45" x14ac:dyDescent="0.25">
      <c r="A191" s="432"/>
      <c r="B191" s="340" t="s">
        <v>1893</v>
      </c>
      <c r="C191" s="37">
        <f>+(C192+C196+C201+C209)/4</f>
        <v>0.64922782715595428</v>
      </c>
      <c r="D191" s="1"/>
    </row>
    <row r="192" spans="1:4" ht="45" x14ac:dyDescent="0.25">
      <c r="A192" s="432"/>
      <c r="B192" s="346" t="s">
        <v>1068</v>
      </c>
      <c r="C192" s="33">
        <f>+(C193+C194+C195)/3</f>
        <v>0.86592592592592588</v>
      </c>
      <c r="D192" s="28" t="s">
        <v>2114</v>
      </c>
    </row>
    <row r="193" spans="1:4" ht="24.75" x14ac:dyDescent="0.25">
      <c r="A193" s="432"/>
      <c r="B193" s="355" t="s">
        <v>1069</v>
      </c>
      <c r="C193" s="5">
        <f>+'OBJ. ESTRATEGICO 2'!AG102</f>
        <v>0.68125000000000002</v>
      </c>
      <c r="D193" s="28" t="s">
        <v>2114</v>
      </c>
    </row>
    <row r="194" spans="1:4" ht="24.75" x14ac:dyDescent="0.25">
      <c r="A194" s="432"/>
      <c r="B194" s="355" t="s">
        <v>1080</v>
      </c>
      <c r="C194" s="5">
        <f>+'OBJ. ESTRATEGICO 2'!AG105</f>
        <v>1</v>
      </c>
      <c r="D194" s="28" t="s">
        <v>2114</v>
      </c>
    </row>
    <row r="195" spans="1:4" ht="24.75" x14ac:dyDescent="0.25">
      <c r="A195" s="432"/>
      <c r="B195" s="355" t="s">
        <v>2071</v>
      </c>
      <c r="C195" s="5">
        <f>+'OBJ. ESTRATEGICO 2'!AG112</f>
        <v>0.91652777777777772</v>
      </c>
      <c r="D195" s="28" t="s">
        <v>2114</v>
      </c>
    </row>
    <row r="196" spans="1:4" ht="45" x14ac:dyDescent="0.25">
      <c r="A196" s="432"/>
      <c r="B196" s="346" t="s">
        <v>1098</v>
      </c>
      <c r="C196" s="32">
        <f>+(C197+C198+C199+C200)/4</f>
        <v>0.890625</v>
      </c>
      <c r="D196" s="28" t="s">
        <v>2114</v>
      </c>
    </row>
    <row r="197" spans="1:4" ht="66.75" customHeight="1" x14ac:dyDescent="0.25">
      <c r="A197" s="432"/>
      <c r="B197" s="356" t="s">
        <v>1099</v>
      </c>
      <c r="C197" s="31">
        <f>+'OBJ. ESTRATEGICO 2'!AG116</f>
        <v>0.91249999999999998</v>
      </c>
      <c r="D197" s="28" t="s">
        <v>2114</v>
      </c>
    </row>
    <row r="198" spans="1:4" ht="36" x14ac:dyDescent="0.25">
      <c r="A198" s="432"/>
      <c r="B198" s="356" t="s">
        <v>1104</v>
      </c>
      <c r="C198" s="31">
        <f>+'OBJ. ESTRATEGICO 2'!AG119</f>
        <v>1</v>
      </c>
      <c r="D198" s="28" t="s">
        <v>2114</v>
      </c>
    </row>
    <row r="199" spans="1:4" ht="36" x14ac:dyDescent="0.25">
      <c r="A199" s="432"/>
      <c r="B199" s="356" t="s">
        <v>1109</v>
      </c>
      <c r="C199" s="74">
        <f>+'OBJ. ESTRATEGICO 2'!AG121</f>
        <v>1</v>
      </c>
      <c r="D199" s="28" t="s">
        <v>2114</v>
      </c>
    </row>
    <row r="200" spans="1:4" ht="48" x14ac:dyDescent="0.25">
      <c r="A200" s="432"/>
      <c r="B200" s="356" t="s">
        <v>1112</v>
      </c>
      <c r="C200" s="31">
        <f>+'OBJ. ESTRATEGICO 2'!AG124</f>
        <v>0.64999999999999991</v>
      </c>
      <c r="D200" s="28" t="s">
        <v>2114</v>
      </c>
    </row>
    <row r="201" spans="1:4" ht="30" x14ac:dyDescent="0.25">
      <c r="A201" s="432"/>
      <c r="B201" s="346" t="s">
        <v>1117</v>
      </c>
      <c r="C201" s="33">
        <f>+(C202+C206)/2</f>
        <v>0.61737996765249537</v>
      </c>
      <c r="D201" s="38" t="s">
        <v>2156</v>
      </c>
    </row>
    <row r="202" spans="1:4" ht="30" x14ac:dyDescent="0.25">
      <c r="A202" s="432"/>
      <c r="B202" s="347" t="s">
        <v>1118</v>
      </c>
      <c r="C202" s="31">
        <f>+'OBJ. ESTRATEGICO 2'!AG147</f>
        <v>0.68762500000000004</v>
      </c>
      <c r="D202" s="97" t="s">
        <v>2156</v>
      </c>
    </row>
    <row r="203" spans="1:4" ht="48" x14ac:dyDescent="0.25">
      <c r="A203" s="432"/>
      <c r="B203" s="344" t="s">
        <v>2078</v>
      </c>
      <c r="C203" s="73">
        <f>+'OBJ. ESTRATEGICO 2'!AG134</f>
        <v>0.31187500000000001</v>
      </c>
      <c r="D203" s="97" t="s">
        <v>2156</v>
      </c>
    </row>
    <row r="204" spans="1:4" ht="36" x14ac:dyDescent="0.25">
      <c r="A204" s="432"/>
      <c r="B204" s="344" t="s">
        <v>2079</v>
      </c>
      <c r="C204" s="73">
        <f>+'OBJ. ESTRATEGICO 2'!AG139</f>
        <v>0.97099999999999997</v>
      </c>
      <c r="D204" s="97" t="s">
        <v>2156</v>
      </c>
    </row>
    <row r="205" spans="1:4" ht="24" x14ac:dyDescent="0.25">
      <c r="A205" s="432"/>
      <c r="B205" s="344" t="s">
        <v>2080</v>
      </c>
      <c r="C205" s="30">
        <f>+'OBJ. ESTRATEGICO 2'!AG146</f>
        <v>0.77999999999999992</v>
      </c>
      <c r="D205" s="97" t="s">
        <v>2156</v>
      </c>
    </row>
    <row r="206" spans="1:4" ht="30" x14ac:dyDescent="0.25">
      <c r="A206" s="432"/>
      <c r="B206" s="347" t="s">
        <v>1158</v>
      </c>
      <c r="C206" s="31">
        <f>+'OBJ. ESTRATEGICO 2'!AG152</f>
        <v>0.54713493530499069</v>
      </c>
      <c r="D206" s="39" t="s">
        <v>2157</v>
      </c>
    </row>
    <row r="207" spans="1:4" ht="60.75" x14ac:dyDescent="0.25">
      <c r="A207" s="432"/>
      <c r="B207" s="345" t="s">
        <v>2081</v>
      </c>
      <c r="C207" s="30">
        <f>+'OBJ. ESTRATEGICO 2'!AG149</f>
        <v>1</v>
      </c>
      <c r="D207" s="84" t="s">
        <v>2157</v>
      </c>
    </row>
    <row r="208" spans="1:4" ht="39" customHeight="1" x14ac:dyDescent="0.25">
      <c r="A208" s="432"/>
      <c r="B208" s="345" t="s">
        <v>2082</v>
      </c>
      <c r="C208" s="30">
        <f>+'OBJ. ESTRATEGICO 2'!AG151</f>
        <v>0.64140480591497229</v>
      </c>
      <c r="D208" s="84" t="s">
        <v>2157</v>
      </c>
    </row>
    <row r="209" spans="1:115" ht="45" x14ac:dyDescent="0.25">
      <c r="A209" s="432"/>
      <c r="B209" s="346" t="s">
        <v>1168</v>
      </c>
      <c r="C209" s="33">
        <f>+C210</f>
        <v>0.22298041504539556</v>
      </c>
      <c r="D209" s="58" t="s">
        <v>2118</v>
      </c>
    </row>
    <row r="210" spans="1:115" ht="36.75" x14ac:dyDescent="0.25">
      <c r="A210" s="432"/>
      <c r="B210" s="355" t="s">
        <v>1169</v>
      </c>
      <c r="C210" s="235">
        <f>+'OBJ. ESTRATEGICO 2'!AG162</f>
        <v>0.22298041504539556</v>
      </c>
      <c r="D210" s="58" t="s">
        <v>2118</v>
      </c>
    </row>
    <row r="211" spans="1:115" s="261" customFormat="1" ht="45" x14ac:dyDescent="0.25">
      <c r="A211" s="432"/>
      <c r="B211" s="340" t="s">
        <v>2112</v>
      </c>
      <c r="C211" s="268">
        <f>+(C212+C219+C230+C237+C243)/5</f>
        <v>0.63532366008723695</v>
      </c>
      <c r="D211" s="269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/>
      <c r="DC211"/>
      <c r="DD211"/>
      <c r="DE211"/>
      <c r="DF211"/>
      <c r="DG211"/>
      <c r="DH211"/>
      <c r="DI211"/>
      <c r="DJ211"/>
      <c r="DK211"/>
    </row>
    <row r="212" spans="1:115" ht="45" x14ac:dyDescent="0.25">
      <c r="A212" s="432"/>
      <c r="B212" s="346" t="s">
        <v>2113</v>
      </c>
      <c r="C212" s="33">
        <f>+C213</f>
        <v>0.78666666666666674</v>
      </c>
      <c r="D212" s="59" t="s">
        <v>2154</v>
      </c>
    </row>
    <row r="213" spans="1:115" ht="60" customHeight="1" x14ac:dyDescent="0.25">
      <c r="A213" s="432"/>
      <c r="B213" s="347" t="s">
        <v>2072</v>
      </c>
      <c r="C213" s="31">
        <f>+'OBJ. ESTRATEGICO 2'!AG178</f>
        <v>0.78666666666666674</v>
      </c>
      <c r="D213" s="28" t="s">
        <v>2154</v>
      </c>
    </row>
    <row r="214" spans="1:115" ht="41.25" customHeight="1" x14ac:dyDescent="0.25">
      <c r="A214" s="432"/>
      <c r="B214" s="345" t="s">
        <v>2083</v>
      </c>
      <c r="C214" s="73">
        <f>+'OBJ. ESTRATEGICO 2'!AG168</f>
        <v>0.43333333333333335</v>
      </c>
      <c r="D214" s="28" t="s">
        <v>2154</v>
      </c>
    </row>
    <row r="215" spans="1:115" ht="48.75" x14ac:dyDescent="0.25">
      <c r="A215" s="432"/>
      <c r="B215" s="345" t="s">
        <v>2084</v>
      </c>
      <c r="C215" s="73">
        <f>+'OBJ. ESTRATEGICO 2'!AG170</f>
        <v>0.9</v>
      </c>
      <c r="D215" s="28" t="s">
        <v>2154</v>
      </c>
    </row>
    <row r="216" spans="1:115" ht="36.75" x14ac:dyDescent="0.25">
      <c r="A216" s="432"/>
      <c r="B216" s="345" t="s">
        <v>2085</v>
      </c>
      <c r="C216" s="30">
        <f>+'OBJ. ESTRATEGICO 2'!AG172</f>
        <v>0.9</v>
      </c>
      <c r="D216" s="28" t="s">
        <v>2154</v>
      </c>
    </row>
    <row r="217" spans="1:115" ht="60.75" x14ac:dyDescent="0.25">
      <c r="A217" s="432"/>
      <c r="B217" s="345" t="s">
        <v>2086</v>
      </c>
      <c r="C217" s="30">
        <f>+'OBJ. ESTRATEGICO 2'!AG175</f>
        <v>0.7</v>
      </c>
      <c r="D217" s="28" t="s">
        <v>2154</v>
      </c>
    </row>
    <row r="218" spans="1:115" ht="48.75" x14ac:dyDescent="0.25">
      <c r="A218" s="432"/>
      <c r="B218" s="345" t="s">
        <v>2087</v>
      </c>
      <c r="C218" s="35">
        <f>+'OBJ. ESTRATEGICO 2'!AG177</f>
        <v>1</v>
      </c>
      <c r="D218" s="28" t="s">
        <v>2154</v>
      </c>
    </row>
    <row r="219" spans="1:115" ht="45" x14ac:dyDescent="0.25">
      <c r="A219" s="432"/>
      <c r="B219" s="346" t="s">
        <v>1211</v>
      </c>
      <c r="C219" s="33">
        <f>+(C220+C225+C227)/3</f>
        <v>0.59981521818358752</v>
      </c>
      <c r="D219" s="1" t="s">
        <v>2157</v>
      </c>
    </row>
    <row r="220" spans="1:115" ht="67.5" customHeight="1" x14ac:dyDescent="0.25">
      <c r="A220" s="432"/>
      <c r="B220" s="347" t="s">
        <v>1212</v>
      </c>
      <c r="C220" s="31">
        <f>+'OBJ. ESTRATEGICO 2'!AG192</f>
        <v>0.66777898788409606</v>
      </c>
      <c r="D220" s="1" t="s">
        <v>2157</v>
      </c>
    </row>
    <row r="221" spans="1:115" ht="24.75" x14ac:dyDescent="0.25">
      <c r="A221" s="432"/>
      <c r="B221" s="352" t="s">
        <v>2088</v>
      </c>
      <c r="C221" s="73">
        <f>+'OBJ. ESTRATEGICO 2'!AG185</f>
        <v>0.40822488287350345</v>
      </c>
      <c r="D221" s="1" t="s">
        <v>2157</v>
      </c>
    </row>
    <row r="222" spans="1:115" ht="24.75" x14ac:dyDescent="0.25">
      <c r="A222" s="432"/>
      <c r="B222" s="352" t="s">
        <v>2089</v>
      </c>
      <c r="C222" s="73">
        <f>+'OBJ. ESTRATEGICO 2'!AG187</f>
        <v>0.8</v>
      </c>
      <c r="D222" s="1" t="s">
        <v>2157</v>
      </c>
    </row>
    <row r="223" spans="1:115" ht="24.75" x14ac:dyDescent="0.25">
      <c r="A223" s="432"/>
      <c r="B223" s="352" t="s">
        <v>2090</v>
      </c>
      <c r="C223" s="73">
        <f>+'OBJ. ESTRATEGICO 2'!AG189</f>
        <v>0.66442953020134232</v>
      </c>
      <c r="D223" s="1" t="s">
        <v>2157</v>
      </c>
    </row>
    <row r="224" spans="1:115" ht="24.75" x14ac:dyDescent="0.25">
      <c r="A224" s="432"/>
      <c r="B224" s="352" t="s">
        <v>2091</v>
      </c>
      <c r="C224" s="75">
        <f>+'OBJ. ESTRATEGICO 2'!AG191</f>
        <v>0.79846153846153844</v>
      </c>
      <c r="D224" s="1" t="s">
        <v>2157</v>
      </c>
    </row>
    <row r="225" spans="1:4" ht="45" x14ac:dyDescent="0.25">
      <c r="A225" s="432"/>
      <c r="B225" s="347" t="s">
        <v>2075</v>
      </c>
      <c r="C225" s="5">
        <f>+'OBJ. ESTRATEGICO 2'!AG199</f>
        <v>0.61499999999999999</v>
      </c>
      <c r="D225" s="1"/>
    </row>
    <row r="226" spans="1:4" ht="30" x14ac:dyDescent="0.25">
      <c r="A226" s="432"/>
      <c r="B226" s="352" t="s">
        <v>2092</v>
      </c>
      <c r="C226" s="27">
        <f>+'OBJ. ESTRATEGICO 2'!AG198</f>
        <v>0.61499999999999999</v>
      </c>
      <c r="D226" s="2" t="s">
        <v>2158</v>
      </c>
    </row>
    <row r="227" spans="1:4" ht="67.5" customHeight="1" x14ac:dyDescent="0.25">
      <c r="A227" s="432"/>
      <c r="B227" s="347" t="s">
        <v>1257</v>
      </c>
      <c r="C227" s="31">
        <f>+'OBJ. ESTRATEGICO 2'!AG209</f>
        <v>0.51666666666666661</v>
      </c>
      <c r="D227" s="39" t="s">
        <v>2154</v>
      </c>
    </row>
    <row r="228" spans="1:4" ht="36.75" x14ac:dyDescent="0.25">
      <c r="A228" s="432"/>
      <c r="B228" s="352" t="s">
        <v>2093</v>
      </c>
      <c r="C228" s="30">
        <f>+'OBJ. ESTRATEGICO 2'!AG203</f>
        <v>0.33333333333333331</v>
      </c>
      <c r="D228" s="84" t="s">
        <v>2154</v>
      </c>
    </row>
    <row r="229" spans="1:4" ht="45" x14ac:dyDescent="0.25">
      <c r="A229" s="432"/>
      <c r="B229" s="352" t="s">
        <v>2159</v>
      </c>
      <c r="C229" s="35">
        <f>+'OBJ. ESTRATEGICO 2'!AG208</f>
        <v>0.7</v>
      </c>
      <c r="D229" s="83" t="s">
        <v>2160</v>
      </c>
    </row>
    <row r="230" spans="1:4" ht="45" x14ac:dyDescent="0.25">
      <c r="A230" s="432"/>
      <c r="B230" s="346" t="s">
        <v>2076</v>
      </c>
      <c r="C230" s="33">
        <f>+C231</f>
        <v>0.70501793855883421</v>
      </c>
      <c r="D230" s="38" t="s">
        <v>2060</v>
      </c>
    </row>
    <row r="231" spans="1:4" ht="30" x14ac:dyDescent="0.25">
      <c r="A231" s="432"/>
      <c r="B231" s="347" t="s">
        <v>1277</v>
      </c>
      <c r="C231" s="31">
        <f>+'OBJ. ESTRATEGICO 2'!AG231</f>
        <v>0.70501793855883421</v>
      </c>
      <c r="D231" s="38" t="s">
        <v>2060</v>
      </c>
    </row>
    <row r="232" spans="1:4" ht="36.75" x14ac:dyDescent="0.25">
      <c r="A232" s="432"/>
      <c r="B232" s="352" t="s">
        <v>2094</v>
      </c>
      <c r="C232" s="73">
        <f>+'OBJ. ESTRATEGICO 2'!AG215</f>
        <v>0.60190787461235318</v>
      </c>
      <c r="D232" s="38" t="s">
        <v>2060</v>
      </c>
    </row>
    <row r="233" spans="1:4" ht="30" x14ac:dyDescent="0.25">
      <c r="A233" s="432"/>
      <c r="B233" s="352" t="s">
        <v>2095</v>
      </c>
      <c r="C233" s="73">
        <f>+'OBJ. ESTRATEGICO 2'!AG217</f>
        <v>0.66</v>
      </c>
      <c r="D233" s="38" t="s">
        <v>2060</v>
      </c>
    </row>
    <row r="234" spans="1:4" ht="30" x14ac:dyDescent="0.25">
      <c r="A234" s="432"/>
      <c r="B234" s="352" t="s">
        <v>2096</v>
      </c>
      <c r="C234" s="73">
        <f>+'OBJ. ESTRATEGICO 2'!AG221</f>
        <v>0.66666666666666663</v>
      </c>
      <c r="D234" s="38" t="s">
        <v>2060</v>
      </c>
    </row>
    <row r="235" spans="1:4" ht="48.75" x14ac:dyDescent="0.25">
      <c r="A235" s="432"/>
      <c r="B235" s="345" t="s">
        <v>2097</v>
      </c>
      <c r="C235" s="30">
        <f>+'OBJ. ESTRATEGICO 2'!AG226</f>
        <v>0.84499999999999997</v>
      </c>
      <c r="D235" s="38" t="s">
        <v>2060</v>
      </c>
    </row>
    <row r="236" spans="1:4" ht="30" x14ac:dyDescent="0.25">
      <c r="A236" s="432"/>
      <c r="B236" s="352" t="s">
        <v>2098</v>
      </c>
      <c r="C236" s="35">
        <f>+'OBJ. ESTRATEGICO 2'!AG230</f>
        <v>0.75151515151515147</v>
      </c>
      <c r="D236" s="38" t="s">
        <v>2060</v>
      </c>
    </row>
    <row r="237" spans="1:4" ht="75" x14ac:dyDescent="0.25">
      <c r="A237" s="432"/>
      <c r="B237" s="346" t="s">
        <v>1316</v>
      </c>
      <c r="C237" s="33">
        <f>+C238</f>
        <v>0.542069374894661</v>
      </c>
      <c r="D237" s="1"/>
    </row>
    <row r="238" spans="1:4" ht="30" x14ac:dyDescent="0.25">
      <c r="A238" s="432"/>
      <c r="B238" s="347" t="s">
        <v>1317</v>
      </c>
      <c r="C238" s="31">
        <f>+'OBJ. ESTRATEGICO 2'!AG256</f>
        <v>0.542069374894661</v>
      </c>
      <c r="D238" s="1" t="s">
        <v>2143</v>
      </c>
    </row>
    <row r="239" spans="1:4" ht="24.75" x14ac:dyDescent="0.25">
      <c r="A239" s="432"/>
      <c r="B239" s="352" t="s">
        <v>2099</v>
      </c>
      <c r="C239" s="30">
        <f>+'OBJ. ESTRATEGICO 2'!AG243</f>
        <v>0.54406779661016957</v>
      </c>
      <c r="D239" s="1" t="s">
        <v>2143</v>
      </c>
    </row>
    <row r="240" spans="1:4" ht="24.75" x14ac:dyDescent="0.25">
      <c r="A240" s="432"/>
      <c r="B240" s="352" t="s">
        <v>2100</v>
      </c>
      <c r="C240" s="30">
        <f>+'OBJ. ESTRATEGICO 2'!AG248</f>
        <v>0.79075074149443758</v>
      </c>
      <c r="D240" s="1" t="s">
        <v>2143</v>
      </c>
    </row>
    <row r="241" spans="1:4" ht="30" x14ac:dyDescent="0.25">
      <c r="A241" s="432"/>
      <c r="B241" s="352" t="s">
        <v>2101</v>
      </c>
      <c r="C241" s="73">
        <f>+'OBJ. ESTRATEGICO 2'!AG251</f>
        <v>0.35</v>
      </c>
      <c r="D241" s="2" t="s">
        <v>2161</v>
      </c>
    </row>
    <row r="242" spans="1:4" ht="36.75" x14ac:dyDescent="0.25">
      <c r="A242" s="432"/>
      <c r="B242" s="352" t="s">
        <v>2102</v>
      </c>
      <c r="C242" s="35">
        <f>+'OBJ. ESTRATEGICO 2'!AG255</f>
        <v>0.48345896147403683</v>
      </c>
      <c r="D242" s="1" t="s">
        <v>2144</v>
      </c>
    </row>
    <row r="243" spans="1:4" ht="30" x14ac:dyDescent="0.25">
      <c r="A243" s="432"/>
      <c r="B243" s="346" t="s">
        <v>1366</v>
      </c>
      <c r="C243" s="33">
        <f>+(C244+C248)/2</f>
        <v>0.54304910213243551</v>
      </c>
      <c r="D243" s="39" t="s">
        <v>2117</v>
      </c>
    </row>
    <row r="244" spans="1:4" x14ac:dyDescent="0.25">
      <c r="A244" s="432"/>
      <c r="B244" s="347" t="s">
        <v>1367</v>
      </c>
      <c r="C244" s="31">
        <f>+'OBJ. ESTRATEGICO 2'!AG267</f>
        <v>0.63237345679012347</v>
      </c>
      <c r="D244" s="39" t="s">
        <v>2117</v>
      </c>
    </row>
    <row r="245" spans="1:4" ht="24.75" x14ac:dyDescent="0.25">
      <c r="A245" s="432"/>
      <c r="B245" s="352" t="s">
        <v>2103</v>
      </c>
      <c r="C245" s="73">
        <f>+'OBJ. ESTRATEGICO 2'!AG260</f>
        <v>0.48177777777777775</v>
      </c>
      <c r="D245" s="39" t="s">
        <v>2117</v>
      </c>
    </row>
    <row r="246" spans="1:4" ht="24.75" x14ac:dyDescent="0.25">
      <c r="A246" s="432"/>
      <c r="B246" s="352" t="s">
        <v>2104</v>
      </c>
      <c r="C246" s="73">
        <f>+'OBJ. ESTRATEGICO 2'!AG264</f>
        <v>0.53259259259259262</v>
      </c>
      <c r="D246" s="39" t="s">
        <v>2117</v>
      </c>
    </row>
    <row r="247" spans="1:4" ht="36.75" x14ac:dyDescent="0.25">
      <c r="A247" s="432"/>
      <c r="B247" s="352" t="s">
        <v>2105</v>
      </c>
      <c r="C247" s="35">
        <f>+'OBJ. ESTRATEGICO 2'!AG266</f>
        <v>0.88275000000000003</v>
      </c>
      <c r="D247" s="39" t="s">
        <v>2117</v>
      </c>
    </row>
    <row r="248" spans="1:4" ht="30" x14ac:dyDescent="0.25">
      <c r="A248" s="432"/>
      <c r="B248" s="347" t="s">
        <v>1385</v>
      </c>
      <c r="C248" s="31">
        <f>+'OBJ. ESTRATEGICO 2'!AG314</f>
        <v>0.4537247474747475</v>
      </c>
      <c r="D248" s="1"/>
    </row>
    <row r="249" spans="1:4" x14ac:dyDescent="0.25">
      <c r="A249" s="432"/>
      <c r="B249" s="352" t="s">
        <v>2106</v>
      </c>
      <c r="C249" s="73">
        <f>+'OBJ. ESTRATEGICO 2'!AG288</f>
        <v>0.33750000000000002</v>
      </c>
      <c r="D249" s="38" t="s">
        <v>2155</v>
      </c>
    </row>
    <row r="250" spans="1:4" x14ac:dyDescent="0.25">
      <c r="A250" s="432"/>
      <c r="B250" s="267" t="s">
        <v>2107</v>
      </c>
      <c r="C250" s="73">
        <f>+'OBJ. ESTRATEGICO 2'!AG292</f>
        <v>0.40151515151515155</v>
      </c>
      <c r="D250" s="83" t="s">
        <v>2155</v>
      </c>
    </row>
    <row r="251" spans="1:4" x14ac:dyDescent="0.25">
      <c r="A251" s="432"/>
      <c r="B251" s="352" t="s">
        <v>2108</v>
      </c>
      <c r="C251" s="73">
        <f>+'OBJ. ESTRATEGICO 2'!AG295</f>
        <v>0.75</v>
      </c>
      <c r="D251" s="83" t="s">
        <v>2155</v>
      </c>
    </row>
    <row r="252" spans="1:4" x14ac:dyDescent="0.25">
      <c r="A252" s="432"/>
      <c r="B252" s="352" t="s">
        <v>2109</v>
      </c>
      <c r="C252" s="73">
        <f>+'OBJ. ESTRATEGICO 2'!AG299</f>
        <v>0.19047619047619047</v>
      </c>
      <c r="D252" s="83" t="s">
        <v>2155</v>
      </c>
    </row>
    <row r="253" spans="1:4" ht="45" x14ac:dyDescent="0.25">
      <c r="A253" s="432"/>
      <c r="B253" s="352" t="s">
        <v>2110</v>
      </c>
      <c r="C253" s="73">
        <f>+'OBJ. ESTRATEGICO 2'!AG307</f>
        <v>4.2857142857142858E-2</v>
      </c>
      <c r="D253" s="38" t="s">
        <v>2162</v>
      </c>
    </row>
    <row r="254" spans="1:4" ht="45" x14ac:dyDescent="0.25">
      <c r="A254" s="432"/>
      <c r="B254" s="352" t="s">
        <v>2111</v>
      </c>
      <c r="C254" s="73">
        <f>+'OBJ. ESTRATEGICO 2'!AG313</f>
        <v>1</v>
      </c>
      <c r="D254" s="83" t="s">
        <v>2162</v>
      </c>
    </row>
    <row r="255" spans="1:4" x14ac:dyDescent="0.25">
      <c r="A255" s="432"/>
    </row>
    <row r="256" spans="1:4" ht="60" x14ac:dyDescent="0.25">
      <c r="A256" s="432"/>
      <c r="B256" s="354" t="s">
        <v>2119</v>
      </c>
      <c r="C256" s="123">
        <f>+(C257+C289)/2</f>
        <v>0.71678891401236278</v>
      </c>
      <c r="D256" s="1"/>
    </row>
    <row r="257" spans="1:4" ht="30" x14ac:dyDescent="0.25">
      <c r="A257" s="432"/>
      <c r="B257" s="340" t="s">
        <v>1468</v>
      </c>
      <c r="C257" s="36">
        <f>+(C258+C282)/2</f>
        <v>0.7360272301254065</v>
      </c>
      <c r="D257" s="64" t="s">
        <v>2061</v>
      </c>
    </row>
    <row r="258" spans="1:4" ht="30" x14ac:dyDescent="0.25">
      <c r="A258" s="432"/>
      <c r="B258" s="346" t="s">
        <v>1469</v>
      </c>
      <c r="C258" s="61">
        <f>+(C259+C262+C266+C267+C268+C271+C274+C277+C281)/9</f>
        <v>0.76000505401234564</v>
      </c>
      <c r="D258" s="64" t="s">
        <v>2061</v>
      </c>
    </row>
    <row r="259" spans="1:4" ht="45" x14ac:dyDescent="0.25">
      <c r="A259" s="432"/>
      <c r="B259" s="347" t="s">
        <v>1470</v>
      </c>
      <c r="C259" s="66">
        <f>+'OBJ. ESTRATEGICO 3.'!AG12</f>
        <v>0.93166666666666675</v>
      </c>
      <c r="D259" s="64" t="s">
        <v>2061</v>
      </c>
    </row>
    <row r="260" spans="1:4" ht="24.75" x14ac:dyDescent="0.25">
      <c r="A260" s="432"/>
      <c r="B260" s="345" t="s">
        <v>1471</v>
      </c>
      <c r="C260" s="86">
        <f>+'OBJ. ESTRATEGICO 3.'!AG8</f>
        <v>0.88000000000000012</v>
      </c>
      <c r="D260" s="64" t="s">
        <v>2061</v>
      </c>
    </row>
    <row r="261" spans="1:4" ht="36.75" x14ac:dyDescent="0.25">
      <c r="A261" s="432"/>
      <c r="B261" s="345" t="s">
        <v>1496</v>
      </c>
      <c r="C261" s="86">
        <f>+'OBJ. ESTRATEGICO 3.'!AG11</f>
        <v>0.98333333333333339</v>
      </c>
      <c r="D261" s="64" t="s">
        <v>2061</v>
      </c>
    </row>
    <row r="262" spans="1:4" ht="74.25" customHeight="1" x14ac:dyDescent="0.25">
      <c r="A262" s="432"/>
      <c r="B262" s="347" t="s">
        <v>1499</v>
      </c>
      <c r="C262" s="66">
        <f>+'OBJ. ESTRATEGICO 3.'!AG23</f>
        <v>0.68444444444444441</v>
      </c>
      <c r="D262" s="64" t="s">
        <v>2061</v>
      </c>
    </row>
    <row r="263" spans="1:4" ht="36.75" x14ac:dyDescent="0.25">
      <c r="A263" s="432"/>
      <c r="B263" s="345" t="s">
        <v>1505</v>
      </c>
      <c r="C263" s="60">
        <f>+'OBJ. ESTRATEGICO 3.'!AG15</f>
        <v>1</v>
      </c>
      <c r="D263" s="64" t="s">
        <v>2061</v>
      </c>
    </row>
    <row r="264" spans="1:4" ht="24.75" x14ac:dyDescent="0.25">
      <c r="A264" s="432"/>
      <c r="B264" s="345" t="s">
        <v>1508</v>
      </c>
      <c r="C264" s="73">
        <f>+'OBJ. ESTRATEGICO 3.'!AG18</f>
        <v>0.5</v>
      </c>
      <c r="D264" s="64" t="s">
        <v>2061</v>
      </c>
    </row>
    <row r="265" spans="1:4" ht="24.75" x14ac:dyDescent="0.25">
      <c r="A265" s="432"/>
      <c r="B265" s="345" t="s">
        <v>1527</v>
      </c>
      <c r="C265" s="60">
        <f>+'OBJ. ESTRATEGICO 3.'!AG22</f>
        <v>0.55333333333333334</v>
      </c>
      <c r="D265" s="64" t="s">
        <v>2061</v>
      </c>
    </row>
    <row r="266" spans="1:4" ht="30" x14ac:dyDescent="0.25">
      <c r="A266" s="432"/>
      <c r="B266" s="347" t="s">
        <v>1528</v>
      </c>
      <c r="C266" s="66">
        <f>+'OBJ. ESTRATEGICO 3.'!AG28</f>
        <v>1</v>
      </c>
      <c r="D266" s="64" t="s">
        <v>2061</v>
      </c>
    </row>
    <row r="267" spans="1:4" ht="30" x14ac:dyDescent="0.25">
      <c r="A267" s="432"/>
      <c r="B267" s="347" t="s">
        <v>1539</v>
      </c>
      <c r="C267" s="66">
        <f>+'OBJ. ESTRATEGICO 3.'!AG33</f>
        <v>0.93536666666666657</v>
      </c>
      <c r="D267" s="64" t="s">
        <v>2061</v>
      </c>
    </row>
    <row r="268" spans="1:4" ht="30" x14ac:dyDescent="0.25">
      <c r="A268" s="432"/>
      <c r="B268" s="347" t="s">
        <v>1548</v>
      </c>
      <c r="C268" s="66">
        <f>+'OBJ. ESTRATEGICO 3.'!AG42</f>
        <v>1</v>
      </c>
      <c r="D268" s="64" t="s">
        <v>2061</v>
      </c>
    </row>
    <row r="269" spans="1:4" ht="60.75" x14ac:dyDescent="0.25">
      <c r="A269" s="432"/>
      <c r="B269" s="352" t="s">
        <v>1568</v>
      </c>
      <c r="C269" s="60">
        <f>+'OBJ. ESTRATEGICO 3.'!AG39</f>
        <v>1</v>
      </c>
      <c r="D269" s="64" t="s">
        <v>2061</v>
      </c>
    </row>
    <row r="270" spans="1:4" ht="36.75" x14ac:dyDescent="0.25">
      <c r="A270" s="432"/>
      <c r="B270" s="352" t="s">
        <v>1569</v>
      </c>
      <c r="C270" s="60">
        <f>+'OBJ. ESTRATEGICO 3.'!AG41</f>
        <v>1</v>
      </c>
      <c r="D270" s="64" t="s">
        <v>2061</v>
      </c>
    </row>
    <row r="271" spans="1:4" ht="60" x14ac:dyDescent="0.25">
      <c r="A271" s="432"/>
      <c r="B271" s="347" t="s">
        <v>1570</v>
      </c>
      <c r="C271" s="66">
        <f>+'OBJ. ESTRATEGICO 3.'!AG55</f>
        <v>0.55000000000000004</v>
      </c>
      <c r="D271" s="1" t="s">
        <v>2137</v>
      </c>
    </row>
    <row r="272" spans="1:4" ht="24.75" x14ac:dyDescent="0.25">
      <c r="A272" s="432"/>
      <c r="B272" s="352" t="s">
        <v>1593</v>
      </c>
      <c r="C272" s="60">
        <f>+'OBJ. ESTRATEGICO 3.'!AG49</f>
        <v>0.6</v>
      </c>
      <c r="D272" s="1" t="s">
        <v>2137</v>
      </c>
    </row>
    <row r="273" spans="1:4" x14ac:dyDescent="0.25">
      <c r="A273" s="432"/>
      <c r="B273" s="357"/>
      <c r="C273" s="60"/>
      <c r="D273" s="1"/>
    </row>
    <row r="274" spans="1:4" ht="90" x14ac:dyDescent="0.25">
      <c r="A274" s="432"/>
      <c r="B274" s="347" t="s">
        <v>1598</v>
      </c>
      <c r="C274" s="66">
        <f>+'OBJ. ESTRATEGICO 3.'!AG62</f>
        <v>0.36356770833333329</v>
      </c>
      <c r="D274" s="1" t="s">
        <v>2137</v>
      </c>
    </row>
    <row r="275" spans="1:4" ht="24.75" x14ac:dyDescent="0.25">
      <c r="A275" s="432"/>
      <c r="B275" s="352" t="s">
        <v>1599</v>
      </c>
      <c r="C275" s="73">
        <f>+'OBJ. ESTRATEGICO 3.'!AG58</f>
        <v>0.56046874999999996</v>
      </c>
      <c r="D275" s="1" t="s">
        <v>2137</v>
      </c>
    </row>
    <row r="276" spans="1:4" ht="60.75" x14ac:dyDescent="0.25">
      <c r="A276" s="432"/>
      <c r="B276" s="352" t="s">
        <v>1608</v>
      </c>
      <c r="C276" s="60">
        <f>+'OBJ. ESTRATEGICO 3.'!AG61</f>
        <v>0.16666666666666666</v>
      </c>
      <c r="D276" s="1" t="s">
        <v>2137</v>
      </c>
    </row>
    <row r="277" spans="1:4" ht="60" x14ac:dyDescent="0.25">
      <c r="A277" s="432"/>
      <c r="B277" s="347" t="s">
        <v>1609</v>
      </c>
      <c r="C277" s="66">
        <f>+'OBJ. ESTRATEGICO 3.'!AG70</f>
        <v>1</v>
      </c>
      <c r="D277" s="1" t="s">
        <v>2137</v>
      </c>
    </row>
    <row r="278" spans="1:4" ht="48.75" x14ac:dyDescent="0.25">
      <c r="A278" s="432"/>
      <c r="B278" s="352" t="s">
        <v>1622</v>
      </c>
      <c r="C278" s="60">
        <f>+'OBJ. ESTRATEGICO 3.'!AG65</f>
        <v>1</v>
      </c>
      <c r="D278" s="1" t="s">
        <v>2137</v>
      </c>
    </row>
    <row r="279" spans="1:4" x14ac:dyDescent="0.25">
      <c r="A279" s="432"/>
      <c r="B279" s="352" t="s">
        <v>1623</v>
      </c>
      <c r="C279" s="60">
        <f>+'OBJ. ESTRATEGICO 3.'!AG67</f>
        <v>1</v>
      </c>
      <c r="D279" s="1" t="s">
        <v>2137</v>
      </c>
    </row>
    <row r="280" spans="1:4" ht="24.75" x14ac:dyDescent="0.25">
      <c r="A280" s="432"/>
      <c r="B280" s="352" t="s">
        <v>1624</v>
      </c>
      <c r="C280" s="60">
        <f>+'OBJ. ESTRATEGICO 3.'!AG69</f>
        <v>1</v>
      </c>
      <c r="D280" s="1" t="s">
        <v>2137</v>
      </c>
    </row>
    <row r="281" spans="1:4" ht="61.5" customHeight="1" x14ac:dyDescent="0.25">
      <c r="A281" s="432"/>
      <c r="B281" s="347" t="s">
        <v>1625</v>
      </c>
      <c r="C281" s="74">
        <f>+'OBJ. ESTRATEGICO 3.'!AG71</f>
        <v>0.375</v>
      </c>
      <c r="D281" s="1" t="s">
        <v>2137</v>
      </c>
    </row>
    <row r="282" spans="1:4" ht="45" x14ac:dyDescent="0.25">
      <c r="A282" s="432"/>
      <c r="B282" s="346" t="s">
        <v>1628</v>
      </c>
      <c r="C282" s="61">
        <f>+(C283+C285+C287)/3</f>
        <v>0.71204940623846735</v>
      </c>
      <c r="D282" s="64" t="s">
        <v>2061</v>
      </c>
    </row>
    <row r="283" spans="1:4" ht="45" x14ac:dyDescent="0.25">
      <c r="A283" s="432"/>
      <c r="B283" s="347" t="s">
        <v>1629</v>
      </c>
      <c r="C283" s="66">
        <f>+'OBJ. ESTRATEGICO 3.'!AG86</f>
        <v>0.74013051960035769</v>
      </c>
      <c r="D283" s="64" t="s">
        <v>2061</v>
      </c>
    </row>
    <row r="284" spans="1:4" ht="24.75" x14ac:dyDescent="0.25">
      <c r="A284" s="432"/>
      <c r="B284" s="345" t="s">
        <v>1667</v>
      </c>
      <c r="C284" s="73">
        <f>+'OBJ. ESTRATEGICO 3.'!AG85</f>
        <v>0.74013051960035769</v>
      </c>
      <c r="D284" s="64" t="s">
        <v>2061</v>
      </c>
    </row>
    <row r="285" spans="1:4" ht="75" x14ac:dyDescent="0.25">
      <c r="A285" s="432"/>
      <c r="B285" s="347" t="s">
        <v>1683</v>
      </c>
      <c r="C285" s="66">
        <f>+'OBJ. ESTRATEGICO 3.'!AG92</f>
        <v>0.56268436578171088</v>
      </c>
      <c r="D285" s="64" t="s">
        <v>2061</v>
      </c>
    </row>
    <row r="286" spans="1:4" ht="48.75" x14ac:dyDescent="0.25">
      <c r="A286" s="432"/>
      <c r="B286" s="352" t="s">
        <v>1682</v>
      </c>
      <c r="C286" s="73">
        <f>+'OBJ. ESTRATEGICO 3.'!AG91</f>
        <v>0.56268436578171088</v>
      </c>
      <c r="D286" s="64" t="s">
        <v>2061</v>
      </c>
    </row>
    <row r="287" spans="1:4" ht="30" x14ac:dyDescent="0.25">
      <c r="A287" s="432"/>
      <c r="B287" s="347" t="s">
        <v>1690</v>
      </c>
      <c r="C287" s="66">
        <f>+'OBJ. ESTRATEGICO 3.'!AG100</f>
        <v>0.83333333333333337</v>
      </c>
      <c r="D287" s="64" t="s">
        <v>2061</v>
      </c>
    </row>
    <row r="288" spans="1:4" x14ac:dyDescent="0.25">
      <c r="A288" s="432"/>
      <c r="B288" s="352" t="s">
        <v>1710</v>
      </c>
      <c r="C288" s="60">
        <f>+'OBJ. ESTRATEGICO 3.'!AG99</f>
        <v>0.83333333333333337</v>
      </c>
      <c r="D288" s="1"/>
    </row>
    <row r="289" spans="1:4" ht="45" x14ac:dyDescent="0.25">
      <c r="A289" s="432"/>
      <c r="B289" s="340" t="s">
        <v>2120</v>
      </c>
      <c r="C289" s="62">
        <f>+(C290+C302+C312+C322)/4</f>
        <v>0.69755059789931906</v>
      </c>
      <c r="D289" s="1"/>
    </row>
    <row r="290" spans="1:4" ht="45" x14ac:dyDescent="0.25">
      <c r="A290" s="432"/>
      <c r="B290" s="346" t="s">
        <v>1711</v>
      </c>
      <c r="C290" s="61">
        <f>+(C291+C294)/2</f>
        <v>0.64721921608006849</v>
      </c>
      <c r="D290" s="63" t="s">
        <v>2138</v>
      </c>
    </row>
    <row r="291" spans="1:4" ht="59.25" customHeight="1" x14ac:dyDescent="0.25">
      <c r="A291" s="432"/>
      <c r="B291" s="347" t="s">
        <v>2121</v>
      </c>
      <c r="C291" s="66">
        <f>+'OBJ. ESTRATEGICO 3.'!AG107</f>
        <v>1</v>
      </c>
      <c r="D291" s="83" t="s">
        <v>2163</v>
      </c>
    </row>
    <row r="292" spans="1:4" ht="45" x14ac:dyDescent="0.25">
      <c r="A292" s="432"/>
      <c r="B292" s="345" t="s">
        <v>1718</v>
      </c>
      <c r="C292" s="60">
        <f>+'OBJ. ESTRATEGICO 3.'!AG104</f>
        <v>1</v>
      </c>
      <c r="D292" s="83" t="s">
        <v>2163</v>
      </c>
    </row>
    <row r="293" spans="1:4" ht="45" x14ac:dyDescent="0.25">
      <c r="A293" s="432"/>
      <c r="B293" s="345" t="s">
        <v>1719</v>
      </c>
      <c r="C293" s="60">
        <f>+'OBJ. ESTRATEGICO 3.'!AG106</f>
        <v>1</v>
      </c>
      <c r="D293" s="83" t="s">
        <v>2163</v>
      </c>
    </row>
    <row r="294" spans="1:4" ht="30" x14ac:dyDescent="0.25">
      <c r="A294" s="432"/>
      <c r="B294" s="347" t="s">
        <v>1717</v>
      </c>
      <c r="C294" s="89">
        <f>+'OBJ. ESTRATEGICO 3.'!AG139</f>
        <v>0.29443843216013693</v>
      </c>
      <c r="D294" s="65" t="s">
        <v>2135</v>
      </c>
    </row>
    <row r="295" spans="1:4" x14ac:dyDescent="0.25">
      <c r="A295" s="432"/>
      <c r="B295" s="345" t="s">
        <v>1768</v>
      </c>
      <c r="C295" s="88">
        <f>+'OBJ. ESTRATEGICO 3.'!AG109</f>
        <v>0.21428571428571427</v>
      </c>
      <c r="D295" s="65" t="s">
        <v>2135</v>
      </c>
    </row>
    <row r="296" spans="1:4" x14ac:dyDescent="0.25">
      <c r="A296" s="432"/>
      <c r="B296" s="345" t="s">
        <v>1769</v>
      </c>
      <c r="C296" s="88">
        <f>+'OBJ. ESTRATEGICO 3.'!AG115</f>
        <v>0.25750000000000001</v>
      </c>
      <c r="D296" s="65" t="s">
        <v>2135</v>
      </c>
    </row>
    <row r="297" spans="1:4" ht="24.75" x14ac:dyDescent="0.25">
      <c r="A297" s="432"/>
      <c r="B297" s="345" t="s">
        <v>1770</v>
      </c>
      <c r="C297" s="73">
        <f>+'OBJ. ESTRATEGICO 3.'!AG130</f>
        <v>0.55298328896776106</v>
      </c>
      <c r="D297" s="65" t="s">
        <v>2135</v>
      </c>
    </row>
    <row r="298" spans="1:4" ht="24.75" x14ac:dyDescent="0.25">
      <c r="A298" s="432"/>
      <c r="B298" s="345" t="s">
        <v>1771</v>
      </c>
      <c r="C298" s="73">
        <f>+'OBJ. ESTRATEGICO 3.'!AG132</f>
        <v>0</v>
      </c>
      <c r="D298" s="65" t="s">
        <v>2135</v>
      </c>
    </row>
    <row r="299" spans="1:4" ht="36.75" x14ac:dyDescent="0.25">
      <c r="A299" s="432"/>
      <c r="B299" s="345" t="s">
        <v>1772</v>
      </c>
      <c r="C299" s="73">
        <f>+'OBJ. ESTRATEGICO 3.'!AG134</f>
        <v>0</v>
      </c>
      <c r="D299" s="65" t="s">
        <v>2135</v>
      </c>
    </row>
    <row r="300" spans="1:4" ht="24.75" x14ac:dyDescent="0.25">
      <c r="A300" s="432"/>
      <c r="B300" s="345" t="s">
        <v>1773</v>
      </c>
      <c r="C300" s="73">
        <f>+'OBJ. ESTRATEGICO 3.'!AG136</f>
        <v>3.6300021867483052E-2</v>
      </c>
      <c r="D300" s="65" t="s">
        <v>2135</v>
      </c>
    </row>
    <row r="301" spans="1:4" x14ac:dyDescent="0.25">
      <c r="A301" s="432"/>
      <c r="B301" s="345" t="s">
        <v>1774</v>
      </c>
      <c r="C301" s="60">
        <f>+'OBJ. ESTRATEGICO 3.'!AG138</f>
        <v>1</v>
      </c>
      <c r="D301" s="65" t="s">
        <v>2135</v>
      </c>
    </row>
    <row r="302" spans="1:4" ht="30" x14ac:dyDescent="0.25">
      <c r="A302" s="432"/>
      <c r="B302" s="346" t="s">
        <v>1775</v>
      </c>
      <c r="C302" s="61">
        <f>+(C303+C306+C308+C310)/4</f>
        <v>1</v>
      </c>
      <c r="D302" s="65"/>
    </row>
    <row r="303" spans="1:4" ht="60" x14ac:dyDescent="0.25">
      <c r="A303" s="432"/>
      <c r="B303" s="347" t="s">
        <v>1776</v>
      </c>
      <c r="C303" s="89">
        <f>+'OBJ. ESTRATEGICO 3.'!AG145</f>
        <v>1</v>
      </c>
      <c r="D303" s="63" t="s">
        <v>2164</v>
      </c>
    </row>
    <row r="304" spans="1:4" ht="60" x14ac:dyDescent="0.25">
      <c r="A304" s="432"/>
      <c r="B304" s="345" t="s">
        <v>1781</v>
      </c>
      <c r="C304" s="60">
        <f>+'OBJ. ESTRATEGICO 3.'!AG142</f>
        <v>1</v>
      </c>
      <c r="D304" s="83" t="s">
        <v>2164</v>
      </c>
    </row>
    <row r="305" spans="1:8" ht="60" x14ac:dyDescent="0.25">
      <c r="A305" s="432"/>
      <c r="B305" s="345" t="s">
        <v>1782</v>
      </c>
      <c r="C305" s="60">
        <f>+'OBJ. ESTRATEGICO 3.'!AG144</f>
        <v>1</v>
      </c>
      <c r="D305" s="83" t="s">
        <v>2164</v>
      </c>
    </row>
    <row r="306" spans="1:8" ht="60" x14ac:dyDescent="0.25">
      <c r="A306" s="432"/>
      <c r="B306" s="347" t="s">
        <v>1787</v>
      </c>
      <c r="C306" s="66">
        <f>+'OBJ. ESTRATEGICO 3.'!AG148</f>
        <v>1</v>
      </c>
      <c r="D306" s="83" t="s">
        <v>2164</v>
      </c>
    </row>
    <row r="307" spans="1:8" ht="60" x14ac:dyDescent="0.25">
      <c r="A307" s="432"/>
      <c r="B307" s="349" t="s">
        <v>1794</v>
      </c>
      <c r="C307" s="60">
        <f>+'OBJ. ESTRATEGICO 3.'!AG147</f>
        <v>1</v>
      </c>
      <c r="D307" s="83" t="s">
        <v>2164</v>
      </c>
    </row>
    <row r="308" spans="1:8" ht="60" x14ac:dyDescent="0.25">
      <c r="A308" s="432"/>
      <c r="B308" s="347" t="s">
        <v>1797</v>
      </c>
      <c r="C308" s="66">
        <f>+'OBJ. ESTRATEGICO 3.'!AG151</f>
        <v>1</v>
      </c>
      <c r="D308" s="83" t="s">
        <v>2164</v>
      </c>
    </row>
    <row r="309" spans="1:8" ht="60" x14ac:dyDescent="0.25">
      <c r="A309" s="432"/>
      <c r="B309" s="349" t="s">
        <v>1800</v>
      </c>
      <c r="C309" s="60">
        <f>+'OBJ. ESTRATEGICO 3.'!AG150</f>
        <v>1</v>
      </c>
      <c r="D309" s="83" t="s">
        <v>2164</v>
      </c>
    </row>
    <row r="310" spans="1:8" ht="60" x14ac:dyDescent="0.25">
      <c r="A310" s="432"/>
      <c r="B310" s="347" t="s">
        <v>1802</v>
      </c>
      <c r="C310" s="66">
        <f>+'OBJ. ESTRATEGICO 3.'!AG154</f>
        <v>1</v>
      </c>
      <c r="D310" s="83" t="s">
        <v>2164</v>
      </c>
    </row>
    <row r="311" spans="1:8" ht="60" x14ac:dyDescent="0.25">
      <c r="A311" s="432"/>
      <c r="B311" s="349" t="s">
        <v>1801</v>
      </c>
      <c r="C311" s="60">
        <f>+'OBJ. ESTRATEGICO 3.'!AG153</f>
        <v>1</v>
      </c>
      <c r="D311" s="83" t="s">
        <v>2164</v>
      </c>
    </row>
    <row r="312" spans="1:8" ht="60" x14ac:dyDescent="0.25">
      <c r="A312" s="432"/>
      <c r="B312" s="346" t="s">
        <v>1805</v>
      </c>
      <c r="C312" s="61">
        <f>+(C313+C319+C321)/3</f>
        <v>0.52395497763148136</v>
      </c>
      <c r="D312" s="1"/>
    </row>
    <row r="313" spans="1:8" ht="47.25" customHeight="1" x14ac:dyDescent="0.25">
      <c r="A313" s="432"/>
      <c r="B313" s="347" t="s">
        <v>1806</v>
      </c>
      <c r="C313" s="66">
        <f>+'OBJ. ESTRATEGICO 3.'!AG180</f>
        <v>0.53889789992741099</v>
      </c>
      <c r="D313" s="65" t="s">
        <v>2115</v>
      </c>
    </row>
    <row r="314" spans="1:8" ht="24.75" x14ac:dyDescent="0.25">
      <c r="A314" s="432"/>
      <c r="B314" s="345" t="s">
        <v>2122</v>
      </c>
      <c r="C314" s="60">
        <f>+'OBJ. ESTRATEGICO 3.'!AG158</f>
        <v>0.6166666666666667</v>
      </c>
      <c r="D314" s="65" t="s">
        <v>2154</v>
      </c>
    </row>
    <row r="315" spans="1:8" ht="36.75" x14ac:dyDescent="0.25">
      <c r="A315" s="432"/>
      <c r="B315" s="345" t="s">
        <v>1823</v>
      </c>
      <c r="C315" s="60">
        <f>+'OBJ. ESTRATEGICO 3.'!AG164</f>
        <v>0.30004505519261093</v>
      </c>
      <c r="D315" s="65" t="s">
        <v>2154</v>
      </c>
      <c r="H315" s="266" t="s">
        <v>2189</v>
      </c>
    </row>
    <row r="316" spans="1:8" ht="24.75" x14ac:dyDescent="0.25">
      <c r="A316" s="432"/>
      <c r="B316" s="345" t="s">
        <v>1824</v>
      </c>
      <c r="C316" s="60">
        <f>+'OBJ. ESTRATEGICO 3.'!AG168</f>
        <v>0.77777777777777768</v>
      </c>
      <c r="D316" s="65" t="s">
        <v>2154</v>
      </c>
    </row>
    <row r="317" spans="1:8" x14ac:dyDescent="0.25">
      <c r="A317" s="432"/>
      <c r="B317" s="349" t="s">
        <v>1839</v>
      </c>
      <c r="C317" s="60">
        <f>+'OBJ. ESTRATEGICO 3.'!AG173</f>
        <v>0.3</v>
      </c>
      <c r="D317" s="65" t="s">
        <v>2154</v>
      </c>
    </row>
    <row r="318" spans="1:8" ht="24.75" x14ac:dyDescent="0.25">
      <c r="A318" s="432"/>
      <c r="B318" s="345" t="s">
        <v>1850</v>
      </c>
      <c r="C318" s="60">
        <f>+'OBJ. ESTRATEGICO 3.'!AG179</f>
        <v>0.7</v>
      </c>
      <c r="D318" s="65" t="s">
        <v>2154</v>
      </c>
    </row>
    <row r="319" spans="1:8" ht="62.25" customHeight="1" x14ac:dyDescent="0.25">
      <c r="A319" s="432"/>
      <c r="B319" s="347" t="s">
        <v>2123</v>
      </c>
      <c r="C319" s="89">
        <f>+'OBJ. ESTRATEGICO 3.'!AG184</f>
        <v>1</v>
      </c>
      <c r="D319" s="63" t="s">
        <v>2152</v>
      </c>
    </row>
    <row r="320" spans="1:8" ht="48.75" x14ac:dyDescent="0.25">
      <c r="A320" s="432"/>
      <c r="B320" s="345" t="s">
        <v>1860</v>
      </c>
      <c r="C320" s="60">
        <f>+'OBJ. ESTRATEGICO 3.'!AG183</f>
        <v>1</v>
      </c>
      <c r="D320" s="83" t="s">
        <v>2152</v>
      </c>
    </row>
    <row r="321" spans="1:4" ht="30" x14ac:dyDescent="0.25">
      <c r="A321" s="432"/>
      <c r="B321" s="347" t="s">
        <v>1861</v>
      </c>
      <c r="C321" s="66">
        <f>+'OBJ. ESTRATEGICO 3.'!AG191</f>
        <v>3.2967032967032968E-2</v>
      </c>
      <c r="D321" s="1"/>
    </row>
    <row r="322" spans="1:4" ht="30" x14ac:dyDescent="0.25">
      <c r="A322" s="432"/>
      <c r="B322" s="346" t="s">
        <v>1872</v>
      </c>
      <c r="C322" s="44">
        <f>+C323</f>
        <v>0.61902819788572661</v>
      </c>
      <c r="D322" s="65" t="s">
        <v>2058</v>
      </c>
    </row>
    <row r="323" spans="1:4" ht="30" x14ac:dyDescent="0.25">
      <c r="A323" s="432"/>
      <c r="B323" s="347" t="s">
        <v>1873</v>
      </c>
      <c r="C323" s="66">
        <f>+'OBJ. ESTRATEGICO 3.'!AG202</f>
        <v>0.61902819788572661</v>
      </c>
      <c r="D323" s="65" t="s">
        <v>2058</v>
      </c>
    </row>
    <row r="324" spans="1:4" ht="28.5" customHeight="1" x14ac:dyDescent="0.25">
      <c r="A324" s="432"/>
      <c r="B324" s="345" t="s">
        <v>1876</v>
      </c>
      <c r="C324" s="60">
        <f>+'OBJ. ESTRATEGICO 3.'!AG199</f>
        <v>0.85656223717145319</v>
      </c>
      <c r="D324" s="65" t="s">
        <v>2058</v>
      </c>
    </row>
    <row r="325" spans="1:4" ht="36.75" x14ac:dyDescent="0.25">
      <c r="A325" s="432"/>
      <c r="B325" s="345" t="s">
        <v>1889</v>
      </c>
      <c r="C325" s="73">
        <f>+'OBJ. ESTRATEGICO 3.'!AG201</f>
        <v>0.38149415860000002</v>
      </c>
      <c r="D325" s="65" t="s">
        <v>2135</v>
      </c>
    </row>
  </sheetData>
  <autoFilter ref="A2:DK161" xr:uid="{00000000-0009-0000-0000-000003000000}"/>
  <mergeCells count="2">
    <mergeCell ref="M4:O4"/>
    <mergeCell ref="R4:T4"/>
  </mergeCells>
  <conditionalFormatting sqref="C3">
    <cfRule type="cellIs" dxfId="2" priority="1" stopIfTrue="1" operator="between">
      <formula>0.394</formula>
      <formula>1</formula>
    </cfRule>
    <cfRule type="cellIs" dxfId="1" priority="2" stopIfTrue="1" operator="between">
      <formula>0.2625</formula>
      <formula>0.3939</formula>
    </cfRule>
    <cfRule type="cellIs" dxfId="0" priority="3" stopIfTrue="1" operator="between">
      <formula>0</formula>
      <formula>0.2624</formula>
    </cfRule>
  </conditionalFormatting>
  <hyperlinks>
    <hyperlink ref="B8" location="'OBJ. ESTRATEGICO 1. '!J3" display="'OBJ. ESTRATEGICO 1. '!J3" xr:uid="{00000000-0004-0000-0300-000000000000}"/>
    <hyperlink ref="B9" location="'OBJ. ESTRATEGICO 1. '!J8" display="Sub  programa Primero la escuela" xr:uid="{00000000-0004-0000-0300-000001000000}"/>
    <hyperlink ref="B10" location="'OBJ. ESTRATEGICO 1. '!J10" display="Sub  programa Nadie se va" xr:uid="{00000000-0004-0000-0300-000002000000}"/>
    <hyperlink ref="B11" location="'OBJ. ESTRATEGICO 1. '!J15" display="Inclusión educativa" xr:uid="{00000000-0004-0000-0300-000003000000}"/>
    <hyperlink ref="B12" location="'OBJ. ESTRATEGICO 1. '!J20" display="Sub  programa Educación para jóvenes y adultos" xr:uid="{00000000-0004-0000-0300-000004000000}"/>
    <hyperlink ref="B13" location="'OBJ. ESTRATEGICO 1. '!J22" display="Sub  programa Plan de Infraestructura" xr:uid="{00000000-0004-0000-0300-000005000000}"/>
    <hyperlink ref="B15" location="'OBJ. ESTRATEGICO 1. '!J26" display="Sub  programa Saber más, Saber mejor" xr:uid="{00000000-0004-0000-0300-000006000000}"/>
    <hyperlink ref="B16" location="'OBJ. ESTRATEGICO 1. '!J33" display="'OBJ. ESTRATEGICO 1. '!J33" xr:uid="{00000000-0004-0000-0300-000007000000}"/>
    <hyperlink ref="B17" location="'OBJ. ESTRATEGICO 1. '!J39" display="'OBJ. ESTRATEGICO 1. '!J39" xr:uid="{00000000-0004-0000-0300-000008000000}"/>
    <hyperlink ref="B18" location="'OBJ. ESTRATEGICO 1. '!J43" display="Sub  programa Escuelas Bilingües" xr:uid="{00000000-0004-0000-0300-000009000000}"/>
    <hyperlink ref="B19" location="'OBJ. ESTRATEGICO 1. '!J45" display="Sub  programa Fortalecimiento de la etnoeducación" xr:uid="{00000000-0004-0000-0300-00000A000000}"/>
    <hyperlink ref="B20" location="'OBJ. ESTRATEGICO 1. '!J48" display="Sub  programa Incorporación de la tecnología en el proceso de enseñanza aprendizajes" xr:uid="{00000000-0004-0000-0300-00000B000000}"/>
    <hyperlink ref="B21" location="'OBJ. ESTRATEGICO 1. '!J53" display="Sub  programa La escuela como eje integrador de los procesos formativos" xr:uid="{00000000-0004-0000-0300-00000C000000}"/>
    <hyperlink ref="B22" location="'OBJ. ESTRATEGICO 1. '!J56" display="Sub  programa Educar para la competitividad y la confianza social" xr:uid="{00000000-0004-0000-0300-00000D000000}"/>
    <hyperlink ref="B23" location="'OBJ. ESTRATEGICO 1. '!J58" display="Sub  programa Escuelas verdes: La conciencia ecológica desde las escuelas" xr:uid="{00000000-0004-0000-0300-00000E000000}"/>
    <hyperlink ref="B24" location="'OBJ. ESTRATEGICO 1. '!J60" display="Sub  programa Ciudad- escuela: Compromiso de todos" xr:uid="{00000000-0004-0000-0300-00000F000000}"/>
    <hyperlink ref="B26" location="'AVANCES SEP 30 - 2017'!J63" display="Sub  programa Fortalecimiento de la gestión y construcción de sinergias por la educación" xr:uid="{00000000-0004-0000-0300-000010000000}"/>
    <hyperlink ref="B27" location="'OBJ. ESTRATEGICO 1. '!J70" display="Sub  programa Estandarización de procesos en instituciones educativas oficiales" xr:uid="{00000000-0004-0000-0300-000011000000}"/>
    <hyperlink ref="B29" location="'OBJ. ESTRATEGICO 1. '!J75" display="Sub  programa Fortalecimiento de la educación  media técnica y su articulación con la educación superior" xr:uid="{00000000-0004-0000-0300-000012000000}"/>
    <hyperlink ref="B30" location="'AVANCES SEP 30 - 2017'!J80" display="Sub  programa Fortalecimiento del colegio mayor de bolívar" xr:uid="{00000000-0004-0000-0300-000013000000}"/>
    <hyperlink ref="B31" location="'OBJ. ESTRATEGICO 1. '!J82" display="Sub  programa Becas a la excelencia" xr:uid="{00000000-0004-0000-0300-000014000000}"/>
    <hyperlink ref="B33" location="'OBJ. ESTRATEGICO 1. '!J86" display="Sub  programa De jóvenes en riesgo a jóvenes con futuro" xr:uid="{00000000-0004-0000-0300-000015000000}"/>
    <hyperlink ref="B34" location="'OBJ. ESTRATEGICO 1. '!J88" display="Sub  programa Implementación de la catedra Cartagena en paz" xr:uid="{00000000-0004-0000-0300-000016000000}"/>
    <hyperlink ref="B37" location="'OBJ. ESTRATEGICO 1. '!J93" display="Sub  programa Aseguramiento" xr:uid="{00000000-0004-0000-0300-000017000000}"/>
    <hyperlink ref="B38" location="'OBJ. ESTRATEGICO 1. '!J96" display="Sub  programa Prestación y desarrollo de los servicios de salud" xr:uid="{00000000-0004-0000-0300-000018000000}"/>
    <hyperlink ref="B39" location="'OBJ. ESTRATEGICO 1. '!J101" display="Sub  programa Desarrollo institucional" xr:uid="{00000000-0004-0000-0300-000019000000}"/>
    <hyperlink ref="B40" location="'OBJ. ESTRATEGICO 1. '!J103" display="Sub  programa Promoción vigilancia y control del sistema obligatorio de garantía de la calidad de la atención en salud- SOGC " xr:uid="{00000000-0004-0000-0300-00001A000000}"/>
    <hyperlink ref="B41" location="'OBJ. ESTRATEGICO 1. '!J108" display="Sub  programa Vigilancia y control de medicamentos" xr:uid="{00000000-0004-0000-0300-00001B000000}"/>
    <hyperlink ref="B42" location="'OBJ. ESTRATEGICO 1. '!J110" display="Sub  programa Sistema de información y aplicaciones" xr:uid="{00000000-0004-0000-0300-00001C000000}"/>
    <hyperlink ref="B43" location="'AVANCES SEP 30 - 2017'!J112" display="Sub  programa Vigilancia en salud publica" xr:uid="{00000000-0004-0000-0300-00001D000000}"/>
    <hyperlink ref="B44" location="'AVANCES SEP 30 - 2017'!J114" display="Sub  programa Gestión del plan de salud publica" xr:uid="{00000000-0004-0000-0300-00001E000000}"/>
    <hyperlink ref="B46" location="'OBJ. ESTRATEGICO 1. '!J118" display="Sub  programa Garantía de los deberes y derechos de los grupos poblacionales vulnerables y fortalecimiento de la participación social" xr:uid="{00000000-0004-0000-0300-00001F000000}"/>
    <hyperlink ref="B47" location="'OBJ. ESTRATEGICO 1. '!J124" display="Sub  programa Promoción y prevención de la salud en la infancia" xr:uid="{00000000-0004-0000-0300-000020000000}"/>
    <hyperlink ref="B49" location="'OBJ. ESTRATEGICO 1. '!J131" display="Sub  programa Vigilancia y control del agua para consumo humano" xr:uid="{00000000-0004-0000-0300-000021000000}"/>
    <hyperlink ref="B50" location="'OBJ. ESTRATEGICO 1. '!J134" display="Sub  programa Seguridad sanitaria del ambiente" xr:uid="{00000000-0004-0000-0300-000022000000}"/>
    <hyperlink ref="B51" location="'AVANCES SEP 30 - 2017'!J136" display="Sub  programa Vigilancia y control de zoonosis" xr:uid="{00000000-0004-0000-0300-000023000000}"/>
    <hyperlink ref="B53" location="'OBJ. ESTRATEGICO 1. '!J139" display="Sub  programa Prevención y control de enfermedades crónicas no trasmisibles" xr:uid="{00000000-0004-0000-0300-000024000000}"/>
    <hyperlink ref="B54" location="'OBJ. ESTRATEGICO 1. '!J146" display="Sub  programa Prevención y control de las alteraciones de la salud oral, visual y auditiva" xr:uid="{00000000-0004-0000-0300-000025000000}"/>
    <hyperlink ref="B56" location="'OBJ. ESTRATEGICO 1. '!J154" display="Sub  programa Salud metal" xr:uid="{00000000-0004-0000-0300-000026000000}"/>
    <hyperlink ref="B58" location="'OBJ. ESTRATEGICO 1. '!J160" display="Sub  programa Nutrición" xr:uid="{00000000-0004-0000-0300-000027000000}"/>
    <hyperlink ref="B59" location="'OBJ. ESTRATEGICO 1. '!J165" display="Sub  programa Vigilancia y control de alimentos" xr:uid="{00000000-0004-0000-0300-000028000000}"/>
    <hyperlink ref="B61" location="'OBJ. ESTRATEGICO 1. '!J168" display="Sub  programa  Salud sexual y reproductiva" xr:uid="{00000000-0004-0000-0300-000029000000}"/>
    <hyperlink ref="B62" location="'OBJ. ESTRATEGICO 1. '!J173" display="Sub  programa  Prevención de la mortalidad materna y perinatal" xr:uid="{00000000-0004-0000-0300-00002A000000}"/>
    <hyperlink ref="B64" location="'OBJ. ESTRATEGICO 1. '!J179" display="Sub  programa Prevención y control de lepra" xr:uid="{00000000-0004-0000-0300-00002B000000}"/>
    <hyperlink ref="B65" location="'OBJ. ESTRATEGICO 1. '!J182" display="Sub  programa Prevención y control de tuberculosis" xr:uid="{00000000-0004-0000-0300-00002C000000}"/>
    <hyperlink ref="B66" location="'OBJ. ESTRATEGICO 1. '!J185" display="Sub  programa Prevención y control de enfermedades inmunoprevenibles" xr:uid="{00000000-0004-0000-0300-00002D000000}"/>
    <hyperlink ref="B67" location="'OBJ. ESTRATEGICO 1. '!J188" display="Sub  programa Vigilancia y control de enfermedades trasmitidas por vectores" xr:uid="{00000000-0004-0000-0300-00002E000000}"/>
    <hyperlink ref="B68" location="'OBJ. ESTRATEGICO 1. '!J190" display="Sub  programa Prevención, manejo y control de la infección respiratoria aguda" xr:uid="{00000000-0004-0000-0300-00002F000000}"/>
    <hyperlink ref="B70" location="'OBJ. ESTRATEGICO 1. '!J195" display="Sub  programa  Gestión integral y respuesta en salud ante emergencias y desastres" xr:uid="{00000000-0004-0000-0300-000030000000}"/>
    <hyperlink ref="B72" location="'OBJ. ESTRATEGICO 1. '!J201" display="Sub  programa Seguridad y salud en el trabajo" xr:uid="{00000000-0004-0000-0300-000031000000}"/>
    <hyperlink ref="B73" location="'OBJ. ESTRATEGICO 1. '!J204" display="Sub  programa Situaciones prevalentes de origen laboral" xr:uid="{00000000-0004-0000-0300-000032000000}"/>
    <hyperlink ref="B76" location="'OBJ. ESTRATEGICO 1. '!J209" display="Sub  programa Patrimonio, identidad y memoria" xr:uid="{00000000-0004-0000-0300-000033000000}"/>
    <hyperlink ref="B77" location="'OBJ. ESTRATEGICO 1. '!J211" display="Sub  programa  Contextos poblacionales: Diversidad e interculturalidad" xr:uid="{00000000-0004-0000-0300-000034000000}"/>
    <hyperlink ref="B78" location="'OBJ. ESTRATEGICO 1. '!J213" display="Sub  programa  Cartagena investiga y divulga su patrimonio cultural" xr:uid="{00000000-0004-0000-0300-000035000000}"/>
    <hyperlink ref="B80" location="'OBJ. ESTRATEGICO 1. '!J216" display="Sub  programa Leer para crecer" xr:uid="{00000000-0004-0000-0300-000036000000}"/>
    <hyperlink ref="B81" location="'OBJ. ESTRATEGICO 1. '!J218" display="Sub  programa Creación, Artística Formación y fortalecimiento a artistas" xr:uid="{00000000-0004-0000-0300-000037000000}"/>
    <hyperlink ref="B82" location="'OBJ. ESTRATEGICO 1. '!J220" display="Sub  programa Cartagena, escenario de arte" xr:uid="{00000000-0004-0000-0300-000038000000}"/>
    <hyperlink ref="B83" location="'OBJ. ESTRATEGICO 1. '!J222" display="Sub  programa Escenarios para las artes" xr:uid="{00000000-0004-0000-0300-000039000000}"/>
    <hyperlink ref="B85" location="'OBJ. ESTRATEGICO 1. '!J226" display="Sub  programa Economía cultural y creativa" xr:uid="{00000000-0004-0000-0300-00003A000000}"/>
    <hyperlink ref="B87" location="'OBJ. ESTRATEGICO 1. '!J229" display="Sub  programa Hagámoslo bien, institucionalidad cultural publica" xr:uid="{00000000-0004-0000-0300-00003B000000}"/>
    <hyperlink ref="B88" location="'AVANCES SEP 30 - 2017'!J231" display="Sub  programa Sistema distrital de cultura" xr:uid="{00000000-0004-0000-0300-00003C000000}"/>
    <hyperlink ref="B89" location="'OBJ. ESTRATEGICO 1. '!J233" display="Sub  programa Formación en gestión cultural" xr:uid="{00000000-0004-0000-0300-00003D000000}"/>
    <hyperlink ref="B90" location="'OBJ. ESTRATEGICO 1. '!J235" display="Sub  programa Sistema de información cultural" xr:uid="{00000000-0004-0000-0300-00003E000000}"/>
    <hyperlink ref="B93" location="'OBJ. ESTRATEGICO 1. '!J239" display="Sub  programa Escuela de iniciación y formación deportiva “escuela deporte”" xr:uid="{00000000-0004-0000-0300-00003F000000}"/>
    <hyperlink ref="B95" location="'OBJ. ESTRATEGICO 1. '!J242" display="Sub  programa Deporte juvenil" xr:uid="{00000000-0004-0000-0300-000040000000}"/>
    <hyperlink ref="B97" location="'OBJ. ESTRATEGICO 1. '!J246" display="Sub  programa Promoción masiva de una vida activa “actívate por tu salud”" xr:uid="{00000000-0004-0000-0300-000041000000}"/>
    <hyperlink ref="B98" location="'OBJ. ESTRATEGICO 1. '!J248" display="Sub  programa Eventos recreativos y comunitarios “recreando la gente”" xr:uid="{00000000-0004-0000-0300-000042000000}"/>
    <hyperlink ref="B100" location="'OBJ. ESTRATEGICO 1. '!J251" display="Sub  programa Construcción , adecuación, mejoramiento y mantenimiento de los escenarios deportivos “más gente integrada”" xr:uid="{00000000-0004-0000-0300-000043000000}"/>
    <hyperlink ref="B102" location="'OBJ. ESTRATEGICO 1. '!J255" display="Sub  programa Deporte y Recreación con Inclusión Social &quot;Gente Diversa&quot;" xr:uid="{00000000-0004-0000-0300-000044000000}"/>
    <hyperlink ref="B103" location="'OBJ. ESTRATEGICO 1. '!J257" display="Sub  programa Deporte Social y Comunitario &quot; Primero la Gente, Primero el Deporte&quot;" xr:uid="{00000000-0004-0000-0300-000045000000}"/>
    <hyperlink ref="B105" location="'OBJ. ESTRATEGICO 1. '!J261" display="Sub  programa Juegos deportivos nacionales" xr:uid="{00000000-0004-0000-0300-000046000000}"/>
    <hyperlink ref="B106" location="'OBJ. ESTRATEGICO 1. '!J63" display="Sub  programa Cartagena de Indias, Sin fronteras al deporte" xr:uid="{00000000-0004-0000-0300-000047000000}"/>
    <hyperlink ref="B107" location="'OBJ. ESTRATEGICO 1. '!J265" display="Sub  programa Deporte Asociado &quot;Primero el Talento Deportivo&quot;" xr:uid="{00000000-0004-0000-0300-000048000000}"/>
    <hyperlink ref="B109" location="'OBJ. ESTRATEGICO 1. '!J269" display="Sub  programa Observatorio de ciencias aplicadas al deporte de Cartagena de indias" xr:uid="{00000000-0004-0000-0300-000049000000}"/>
    <hyperlink ref="B125" location="'OBJ. ESTRATEGICO 1. '!J310" display="Sub  programa Mi primera infancia feliz y acogida por mi familia" xr:uid="{00000000-0004-0000-0300-00004A000000}"/>
    <hyperlink ref="B127" location="'OBJ. ESTRATEGICO 1. '!J314" display="Sub  programa Niñez y adolescencia feliz con espacios para la formación, protección y garantía de sus derechos" xr:uid="{00000000-0004-0000-0300-00004B000000}"/>
    <hyperlink ref="B128" location="'OBJ. ESTRATEGICO 1. '!J322" display="Sub  programa Niñez y Adolescencia Activa con Espacios para lo Lúdica, la Participación y la Incidencia en su Propio Desarrollo" xr:uid="{00000000-0004-0000-0300-00004C000000}"/>
    <hyperlink ref="B130" location="'OBJ. ESTRATEGICO 1. '!J328" display="Sub  programa Gente joven participando y a salvo" xr:uid="{00000000-0004-0000-0300-00004D000000}"/>
    <hyperlink ref="B137" location="'OBJ. ESTRATEGICO 1. '!J352" display="Sub  programa Promoción del autocuidado y hábitos de vida saludable" xr:uid="{00000000-0004-0000-0300-00004E000000}"/>
    <hyperlink ref="B138" location="'OBJ. ESTRATEGICO 1. '!J356" display="'OBJ. ESTRATEGICO 1. '!J356" xr:uid="{00000000-0004-0000-0300-00004F000000}"/>
    <hyperlink ref="B139" location="'OBJ. ESTRATEGICO 1. '!J361" display="Sub  programa Atención integral" xr:uid="{00000000-0004-0000-0300-000050000000}"/>
    <hyperlink ref="B142" location="'OBJ. ESTRATEGICO 1. '!J366" display="'OBJ. ESTRATEGICO 1. '!J366" xr:uid="{00000000-0004-0000-0300-000051000000}"/>
    <hyperlink ref="B144" location="'OBJ. ESTRATEGICO 1. '!J375" display="'OBJ. ESTRATEGICO 1. '!J375" xr:uid="{00000000-0004-0000-0300-000052000000}"/>
    <hyperlink ref="B146" location="'OBJ. ESTRATEGICO 1. '!J380" display="Sub  programa Primero tú mujer, constructora de paz" xr:uid="{00000000-0004-0000-0300-000053000000}"/>
    <hyperlink ref="B149" location="'OBJ. ESTRATEGICO 1. '!J388" display="Sub  programa Diversidad sexual" xr:uid="{00000000-0004-0000-0300-000054000000}"/>
    <hyperlink ref="B151" location="'OBJ. ESTRATEGICO 1. '!J393" display="Sub  programa Políticas integradora Focalizado de Inclusión Social a las PcD." xr:uid="{00000000-0004-0000-0300-000055000000}"/>
    <hyperlink ref="B152" location="'OBJ. ESTRATEGICO 1. '!J395" display="Sub  programa Atención intersectorial para el desarrollo local de la población con discapacidad" xr:uid="{00000000-0004-0000-0300-000056000000}"/>
    <hyperlink ref="B153" location="'OBJ. ESTRATEGICO 1. '!J398" display="Sub  programa Gerencia social transectorial para transformar imaginarios de la discapacidad" xr:uid="{00000000-0004-0000-0300-000057000000}"/>
    <hyperlink ref="B154" location="'OBJ. ESTRATEGICO 1. '!J400" display="Sub  programa Fortalecimiento Institucional del Sistema Distrital de Discapacidad e Inclusión Social " xr:uid="{00000000-0004-0000-0300-000058000000}"/>
    <hyperlink ref="B156" location="'OBJ. ESTRATEGICO 1. '!J403" display="Sub  programa Atención humanitaria a los habitantes de la calle" xr:uid="{00000000-0004-0000-0300-000059000000}"/>
    <hyperlink ref="B112" location="'OBJ. ESTRATEGICO 1. '!J274" display="'OBJ. ESTRATEGICO 1. '!J274" xr:uid="{00000000-0004-0000-0300-00005A000000}"/>
    <hyperlink ref="B113" location="'OBJ. ESTRATEGICO 1. '!J278" display="'OBJ. ESTRATEGICO 1. '!J278" xr:uid="{00000000-0004-0000-0300-00005B000000}"/>
    <hyperlink ref="B114" location="'OBJ. ESTRATEGICO 1. '!J281" display="'OBJ. ESTRATEGICO 1. '!J281" xr:uid="{00000000-0004-0000-0300-00005C000000}"/>
    <hyperlink ref="B115" location="'OBJ. ESTRATEGICO 1. '!J284" display="'OBJ. ESTRATEGICO 1. '!J284" xr:uid="{00000000-0004-0000-0300-00005D000000}"/>
    <hyperlink ref="B116" location="'OBJ. ESTRATEGICO 1. '!J286" display="'OBJ. ESTRATEGICO 1. '!J286" xr:uid="{00000000-0004-0000-0300-00005E000000}"/>
    <hyperlink ref="B117" location="'OBJ. ESTRATEGICO 1. '!J296" display="'OBJ. ESTRATEGICO 1. '!J296" xr:uid="{00000000-0004-0000-0300-00005F000000}"/>
    <hyperlink ref="B118" location="'OBJ. ESTRATEGICO 1. '!J293" display="'OBJ. ESTRATEGICO 1. '!J293" xr:uid="{00000000-0004-0000-0300-000060000000}"/>
    <hyperlink ref="B119" location="'OBJ. ESTRATEGICO 1. '!J296" display="'OBJ. ESTRATEGICO 1. '!J296" xr:uid="{00000000-0004-0000-0300-000061000000}"/>
    <hyperlink ref="B120" location="'OBJ. ESTRATEGICO 1. '!J300" display="Sub  programa Nutrición y seguridad alimentaria para la superación de la pobreza y desigualdad" xr:uid="{00000000-0004-0000-0300-000062000000}"/>
    <hyperlink ref="B121" location="'OBJ. ESTRATEGICO 1. '!J305" display="Sub  programa Fortalecimiento institucional para la superación de pobreza y desigualdad" xr:uid="{00000000-0004-0000-0300-000063000000}"/>
    <hyperlink ref="B167" location="'OBJ. ESTRATEGICO 2'!I3" display="Sub  programa Fortalecimiento institucional para la competitividad y crecimiento económico" xr:uid="{00000000-0004-0000-0300-000064000000}"/>
    <hyperlink ref="B168" location="'OBJ. ESTRATEGICO 2'!I12" display="Sub  programa Con ciencia, tecnología e innovación Cartagena va" xr:uid="{00000000-0004-0000-0300-000065000000}"/>
    <hyperlink ref="B170" location="'OBJ. ESTRATEGICO 2'!I29" display="Sub  programa Inclusión Para la Transfornnación de la Informalidad" xr:uid="{00000000-0004-0000-0300-000066000000}"/>
    <hyperlink ref="B171" location="'OBJ. ESTRATEGICO 2'!I35" display="Sub  programa Primero tú mujer con autonomía económica" xr:uid="{00000000-0004-0000-0300-000067000000}"/>
    <hyperlink ref="B172" location="'OBJ. ESTRATEGICO 2'!I40" display="Sub  programa Gente joven y emprendedora" xr:uid="{00000000-0004-0000-0300-000068000000}"/>
    <hyperlink ref="B173" location="'OBJ. ESTRATEGICO 2'!I45" display="Sub  programa Emprendimiento étnico" xr:uid="{00000000-0004-0000-0300-000069000000}"/>
    <hyperlink ref="B175" location="'OBJ. ESTRATEGICO 2'!I50" display="Sub  programa Nueva y variada oferta" xr:uid="{00000000-0004-0000-0300-00006A000000}"/>
    <hyperlink ref="B176" location="'OBJ. ESTRATEGICO 2'!I52" display="'OBJ. ESTRATEGICO 2'!I52" xr:uid="{00000000-0004-0000-0300-00006B000000}"/>
    <hyperlink ref="B177" location="'OBJ. ESTRATEGICO 2'!I54" display="Sub  programa Apertura y consolidación de mercados emisores estratégicos a nivel nacional e internacional" xr:uid="{00000000-0004-0000-0300-00006C000000}"/>
    <hyperlink ref="B178" location="'OBJ. ESTRATEGICO 2'!I58" display="'OBJ. ESTRATEGICO 2'!I58" xr:uid="{00000000-0004-0000-0300-00006D000000}"/>
    <hyperlink ref="B179" location="'OBJ. ESTRATEGICO 2'!I60" display="'OBJ. ESTRATEGICO 2'!I60" xr:uid="{00000000-0004-0000-0300-00006E000000}"/>
    <hyperlink ref="B181" location="'OBJ. ESTRATEGICO 2'!I63" display="'OBJ. ESTRATEGICO 2'!I63" xr:uid="{00000000-0004-0000-0300-00006F000000}"/>
    <hyperlink ref="B182" location="'OBJ. ESTRATEGICO 2'!I67" display="Sub  programa Competitividad social" xr:uid="{00000000-0004-0000-0300-000070000000}"/>
    <hyperlink ref="B184" location="'OBJ. ESTRATEGICO 2'!I72" display="'OBJ. ESTRATEGICO 2'!I72" xr:uid="{00000000-0004-0000-0300-000071000000}"/>
    <hyperlink ref="B185" location="'OBJ. ESTRATEGICO 2'!I75" display="'OBJ. ESTRATEGICO 2'!I75" xr:uid="{00000000-0004-0000-0300-000072000000}"/>
    <hyperlink ref="B187" location="'OBJ. ESTRATEGICO 2'!I79" display="Sub  programa Reactivación del campo para la gente" xr:uid="{00000000-0004-0000-0300-000073000000}"/>
    <hyperlink ref="B188" location="'OBJ. ESTRATEGICO 2'!I84" display="Sub  programa Reactivación sostenible, del sector pecuario para la gente" xr:uid="{00000000-0004-0000-0300-000074000000}"/>
    <hyperlink ref="B189" location="'OBJ. ESTRATEGICO 2'!I87" display="Sub  programa Sostenibilidad de la pesca y acuicultura para la gente" xr:uid="{00000000-0004-0000-0300-000075000000}"/>
    <hyperlink ref="B190" location="'OBJ. ESTRATEGICO 2'!I91" display="Sub  programa Asociaciones rurales organizadas y fortalecidas para la producción agropecuaria diversificada y competitiva" xr:uid="{00000000-0004-0000-0300-000076000000}"/>
    <hyperlink ref="B193" location="'OBJ. ESTRATEGICO 2'!D98" display="PROGRAMA MONITOREO AMBIENTAL" xr:uid="{00000000-0004-0000-0300-000077000000}"/>
    <hyperlink ref="B194" location="'OBJ. ESTRATEGICO 2'!D103" display="PROGRAMA CONTROL, VIGILANCIA YSEGUIMIENTO AMBIENTAL" xr:uid="{00000000-0004-0000-0300-000078000000}"/>
    <hyperlink ref="B195" location="'OBJ. ESTRATEGICO 2'!D106" display="PROGRAMA EDUCACIÓN Y CULTURA AMBIENTAL" xr:uid="{00000000-0004-0000-0300-000079000000}"/>
    <hyperlink ref="B197" location="'OBJ. ESTRATEGICO 2'!D114" display="PROGRAMA GESTIÓN INTEGRAL DEL RECURSO HÍDRICO" xr:uid="{00000000-0004-0000-0300-00007A000000}"/>
    <hyperlink ref="B198" location="'OBJ. ESTRATEGICO 2'!D117" display="PROGRAMA VEGETACIÓN BIODIVERSIDAD YSERVICIOS ECOSISTÉMICOS" xr:uid="{00000000-0004-0000-0300-00007B000000}"/>
    <hyperlink ref="B199" location="'OBJ. ESTRATEGICO 2'!D120" display="PROGRAMA NEGOCIOS VERDES PRODUCCIÓN YCONSUMO SOSTENIBLE" xr:uid="{00000000-0004-0000-0300-00007C000000}"/>
    <hyperlink ref="B200" location="'OBJ. ESTRATEGICO 2'!D122" display="'OBJ. ESTRATEGICO 2'!D122" xr:uid="{00000000-0004-0000-0300-00007D000000}"/>
    <hyperlink ref="B203" location="'OBJ. ESTRATEGICO 2'!I126" display="Sub  programa Todas y todos conocedores de la situación de nuestro territorio (conocimiento del riesgo)" xr:uid="{00000000-0004-0000-0300-00007E000000}"/>
    <hyperlink ref="B204" location="'OBJ. ESTRATEGICO 2'!I135" display="Sub  programa Comunidades menos vulnerables (reducción del riesgo)" xr:uid="{00000000-0004-0000-0300-00007F000000}"/>
    <hyperlink ref="B205" location="'OBJ. ESTRATEGICO 3.'!I140" display="Sub  programa Barrios más resilientes (manejo de desastre)" xr:uid="{00000000-0004-0000-0300-000080000000}"/>
    <hyperlink ref="B207" location="'OBJ. ESTRATEGICO 2'!I148" display="'OBJ. ESTRATEGICO 2'!I148" xr:uid="{00000000-0004-0000-0300-000081000000}"/>
    <hyperlink ref="B208" location="'OBJ. ESTRATEGICO 2'!I150" display="'OBJ. ESTRATEGICO 2'!I150" xr:uid="{00000000-0004-0000-0300-000082000000}"/>
    <hyperlink ref="B210" location="'OBJ. ESTRATEGICO 2'!I154" display="'OBJ. ESTRATEGICO 2'!I154" xr:uid="{00000000-0004-0000-0300-000083000000}"/>
    <hyperlink ref="B214" location="'OBJ. ESTRATEGICO 2'!I165" display="'OBJ. ESTRATEGICO 2'!I165" xr:uid="{00000000-0004-0000-0300-000084000000}"/>
    <hyperlink ref="B215" location="'OBJ. ESTRATEGICO 2'!I169" display="'OBJ. ESTRATEGICO 2'!I169" xr:uid="{00000000-0004-0000-0300-000085000000}"/>
    <hyperlink ref="B216" location="'OBJ. ESTRATEGICO 2'!I171" display="'OBJ. ESTRATEGICO 2'!I171" xr:uid="{00000000-0004-0000-0300-000086000000}"/>
    <hyperlink ref="B217" location="'OBJ. ESTRATEGICO 2'!I173" display="'OBJ. ESTRATEGICO 2'!I173" xr:uid="{00000000-0004-0000-0300-000087000000}"/>
    <hyperlink ref="B218" location="'OBJ. ESTRATEGICO 2'!I176" display="'OBJ. ESTRATEGICO 2'!I176" xr:uid="{00000000-0004-0000-0300-000088000000}"/>
    <hyperlink ref="B221" location="'OBJ. ESTRATEGICO 2'!I180" display="Sub  programa Construcción y rehabilitación de vías" xr:uid="{00000000-0004-0000-0300-000089000000}"/>
    <hyperlink ref="B222" location="'OBJ. ESTRATEGICO 2'!I186" display="Sub  programa Construcción vías regionales" xr:uid="{00000000-0004-0000-0300-00008A000000}"/>
    <hyperlink ref="B223" location="'OBJ. ESTRATEGICO 2'!I188" display="Sub  programa Construcción de vías urbanas" xr:uid="{00000000-0004-0000-0300-00008B000000}"/>
    <hyperlink ref="B224" location="'OBJ. ESTRATEGICO 2'!I190" display="Sub  programa Construcción zonas de espacio público" xr:uid="{00000000-0004-0000-0300-00008C000000}"/>
    <hyperlink ref="B226" location="'OBJ. ESTRATEGICO 2'!I193" display="Sub  programa Recuperación  de los cuerpos de agua internos" xr:uid="{00000000-0004-0000-0300-00008D000000}"/>
    <hyperlink ref="B228" location="'OBJ. ESTRATEGICO 2'!I200" display="Sub  programa Cartagena competitiva y compatible con el clima  4C" xr:uid="{00000000-0004-0000-0300-00008E000000}"/>
    <hyperlink ref="B229" location="'OBJ. ESTRATEGICO 2'!I204" display="Sub  programa Protección Costera" xr:uid="{00000000-0004-0000-0300-00008F000000}"/>
    <hyperlink ref="B232" location="'OBJ. ESTRATEGICO 2'!I211" display="Sub  programa Plan estratégico de recuperación y protección del espacio " xr:uid="{00000000-0004-0000-0300-000090000000}"/>
    <hyperlink ref="B233" location="'OBJ. ESTRATEGICO 2'!I216" display="Sub  programa Más espacio público para la gente" xr:uid="{00000000-0004-0000-0300-000091000000}"/>
    <hyperlink ref="B234" location="'OBJ. ESTRATEGICO 2'!I218" display="Sub  programa Sistema de información y de gestión" xr:uid="{00000000-0004-0000-0300-000092000000}"/>
    <hyperlink ref="B235" location="'OBJ. ESTRATEGICO 2'!I222" display="'OBJ. ESTRATEGICO 2'!I222" xr:uid="{00000000-0004-0000-0300-000093000000}"/>
    <hyperlink ref="B236" location="'OBJ. ESTRATEGICO 2'!I227" display="Sub  programa Plan integral de gestión de ares publicas verdes" xr:uid="{00000000-0004-0000-0300-000094000000}"/>
    <hyperlink ref="B239" location="'OBJ. ESTRATEGICO 2'!I233" display="Sub  programa Mejor cultura ciudadana más seguridad vial" xr:uid="{00000000-0004-0000-0300-000095000000}"/>
    <hyperlink ref="B240" location="'OBJ. ESTRATEGICO 2'!I244" display="Sub  programa Desplazamiento ordenado en menor tiempo" xr:uid="{00000000-0004-0000-0300-000096000000}"/>
    <hyperlink ref="B241" location="'AVANCES SEP 30 - 2017'!I249" display="Sub  programa Movilidad para la gente" xr:uid="{00000000-0004-0000-0300-000097000000}"/>
    <hyperlink ref="B242" location="'OBJ. ESTRATEGICO 2'!I252" display="Sub  programa Sistema integrado de transporte masivo y multimodal" xr:uid="{00000000-0004-0000-0300-000098000000}"/>
    <hyperlink ref="B245" location="'OBJ. ESTRATEGICO 2'!I258" display="Sub  programa Construcción de vivienda nueva" xr:uid="{00000000-0004-0000-0300-000099000000}"/>
    <hyperlink ref="B246" location="'OBJ. ESTRATEGICO 2'!I261" display="Sub  programa Mi casa mejorada (mejoramiento de vivienda)" xr:uid="{00000000-0004-0000-0300-00009A000000}"/>
    <hyperlink ref="B247" location="'OBJ. ESTRATEGICO 2'!I261" display="Sub  programa Mi casa, mi titulo (legalización y titulación de predios)" xr:uid="{00000000-0004-0000-0300-00009B000000}"/>
    <hyperlink ref="B249" location="'OBJ. ESTRATEGICO 2'!I268" display="Sub  programa Aseo" xr:uid="{00000000-0004-0000-0300-00009C000000}"/>
    <hyperlink ref="B251" location="'AVANCES SEP 30 - 2017'!I293" display="Sub  programa Energia" xr:uid="{00000000-0004-0000-0300-00009D000000}"/>
    <hyperlink ref="B252" location="'OBJ. ESTRATEGICO 2'!I296" display="Sub  programa Cementerios" xr:uid="{00000000-0004-0000-0300-00009E000000}"/>
    <hyperlink ref="B253" location="'OBJ. ESTRATEGICO 2'!I300" display="Sub  programa Acueducto y alcantarillado" xr:uid="{00000000-0004-0000-0300-00009F000000}"/>
    <hyperlink ref="B254" location="'OBJ. ESTRATEGICO 2'!I308" display="Sub  programa Cartagena certificada en servicios publicos" xr:uid="{00000000-0004-0000-0300-0000A0000000}"/>
    <hyperlink ref="B250" location="'OBJ. ESTRATEGICO 2'!I289" display="Sub  programa Alumbrado" xr:uid="{00000000-0004-0000-0300-0000A1000000}"/>
    <hyperlink ref="B260" location="'OBJ. ESTRATEGICO 3.'!I3" display="Plan integral de seguridad ciudadana" xr:uid="{00000000-0004-0000-0300-0000A2000000}"/>
    <hyperlink ref="B261" location="'OBJ. ESTRATEGICO 3.'!I9" display="Fortalecimiento de los mecanismos comunitarios de prevención del delito" xr:uid="{00000000-0004-0000-0300-0000A3000000}"/>
    <hyperlink ref="B263" location="'AVANCES SEP 30 - 2017'!I13" display="Fortalecimiento  de la secretaría del interior y convivencia ciudadana" xr:uid="{00000000-0004-0000-0300-0000A4000000}"/>
    <hyperlink ref="B264" location="'OBJ. ESTRATEGICO 3.'!I16" display="Fortalecimiento carcelario y penitenciario" xr:uid="{00000000-0004-0000-0300-0000A5000000}"/>
    <hyperlink ref="B265" location="'OBJ. ESTRATEGICO 3.'!I19" display="Fortalecimiento cuerpo de bomberos" xr:uid="{00000000-0004-0000-0300-0000A6000000}"/>
    <hyperlink ref="B269" location="'AVANCES SEP 30 - 2017'!I34" display="Atención integral a los y las adolescentes y jóvenes en riesgo de vincularse a actividades delictivas y en conflicto con la ley penal" xr:uid="{00000000-0004-0000-0300-0000A7000000}"/>
    <hyperlink ref="B270" location="'OBJ. ESTRATEGICO 3.'!I40" display="Fortalecimiento del sistema de responsabilidad   penal adolescente" xr:uid="{00000000-0004-0000-0300-0000A8000000}"/>
    <hyperlink ref="B272" location="'OBJ. ESTRATEGICO 3.'!I43" display="Optimización tecnológica a las herramientas de seguridad" xr:uid="{00000000-0004-0000-0300-0000A9000000}"/>
    <hyperlink ref="B275" location="'OBJ. ESTRATEGICO 3.'!I56" display="Fortalecimiento logístico para la seguridad y convivencia" xr:uid="{00000000-0004-0000-0300-0000AA000000}"/>
    <hyperlink ref="B276" location="'OBJ. ESTRATEGICO 3.'!I59" display="Fortalecimiento logístico de la infraestructura para la seguridad, justicia, socorro y convivencia ciudadana en el distrito de cartagena" xr:uid="{00000000-0004-0000-0300-0000AB000000}"/>
    <hyperlink ref="B278" location="'OBJ. ESTRATEGICO 3.'!I63" display="Implementación y mantenimiento para el equipamiento y señalización de seguridad en las playas de cartagena" xr:uid="{00000000-0004-0000-0300-0000AC000000}"/>
    <hyperlink ref="B279" location="'OBJ. ESTRATEGICO 3.'!I66" display="Cuerpo de salvavidas" xr:uid="{00000000-0004-0000-0300-0000AD000000}"/>
    <hyperlink ref="B280" location="'OBJ. ESTRATEGICO 3.'!I68" display="Atención prehospitalaria en las playas del distrito de cartagena" xr:uid="{00000000-0004-0000-0300-0000AE000000}"/>
    <hyperlink ref="B284" location="'OBJ. ESTRATEGICO 3.'!I73" display="Asistencia y reparación  integral a víctimas del conflicto armado" xr:uid="{00000000-0004-0000-0300-0000AF000000}"/>
    <hyperlink ref="B286" location="'OBJ. ESTRATEGICO 3.'!I87" display="Acompañamiento a la población en proceso de reintegración social para garantizar su acceso a la oferta de servicios del estado" xr:uid="{00000000-0004-0000-0300-0000B0000000}"/>
    <hyperlink ref="B288" location="'OBJ. ESTRATEGICO 3.'!I93" display="Derechos humanos" xr:uid="{00000000-0004-0000-0300-0000B1000000}"/>
    <hyperlink ref="B292" location="'OBJ. ESTRATEGICO 3.'!I103" display="Fortalecimiento de competencias del servidor público" xr:uid="{00000000-0004-0000-0300-0000B2000000}"/>
    <hyperlink ref="B293" location="'OBJ. ESTRATEGICO 3.'!I105" display="Sistema integrado de atención “de una”" xr:uid="{00000000-0004-0000-0300-0000B3000000}"/>
    <hyperlink ref="B295" location="'OBJ. ESTRATEGICO 3.'!I108" display="Gestión de calidad" xr:uid="{00000000-0004-0000-0300-0000B4000000}"/>
    <hyperlink ref="B296" location="'OBJ. ESTRATEGICO 3.'!I110" display="Acceso a la información pública" xr:uid="{00000000-0004-0000-0300-0000B5000000}"/>
    <hyperlink ref="B297" location="'OBJ. ESTRATEGICO 3.'!I116" display="Modernización de la información y comunicaciones" xr:uid="{00000000-0004-0000-0300-0000B6000000}"/>
    <hyperlink ref="B298" location="'OBJ. ESTRATEGICO 3.'!I131" display="Fortalecimiento institucional  del archivo del distrito de cartagena" xr:uid="{00000000-0004-0000-0300-0000B7000000}"/>
    <hyperlink ref="B299" location="'OBJ. ESTRATEGICO 3.'!I133" display="Fortalecimiento de la estructura administrativa de la alcaldía de cartagena" xr:uid="{00000000-0004-0000-0300-0000B8000000}"/>
    <hyperlink ref="B300" location="'OBJ. ESTRATEGICO 3.'!I135" display="Identificación de bienes inmuebles del distrito" xr:uid="{00000000-0004-0000-0300-0000B9000000}"/>
    <hyperlink ref="B301" location="'OBJ. ESTRATEGICO 3.'!I137" display="Encuentros con mi gente" xr:uid="{00000000-0004-0000-0300-0000BA000000}"/>
    <hyperlink ref="B304" location="'OBJ. ESTRATEGICO 3.'!I141" display="'OBJ. ESTRATEGICO 3.'!I141" xr:uid="{00000000-0004-0000-0300-0000BB000000}"/>
    <hyperlink ref="B305" location="'OBJ. ESTRATEGICO 3.'!I143" display="'OBJ. ESTRATEGICO 3.'!I143" xr:uid="{00000000-0004-0000-0300-0000BC000000}"/>
    <hyperlink ref="B307" location="'OBJ. ESTRATEGICO 3.'!I146" display="Liderazgo y democracia" xr:uid="{00000000-0004-0000-0300-0000BD000000}"/>
    <hyperlink ref="B309" location="'OBJ. ESTRATEGICO 3.'!I149" display="Cultura ciudadana" xr:uid="{00000000-0004-0000-0300-0000BE000000}"/>
    <hyperlink ref="B311" location="'OBJ. ESTRATEGICO 3.'!I152" display="Ciudadania y pertenencia" xr:uid="{00000000-0004-0000-0300-0000BF000000}"/>
    <hyperlink ref="B314" location="'OBJ. ESTRATEGICO 3.'!I156" display="'OBJ. ESTRATEGICO 3.'!I156" xr:uid="{00000000-0004-0000-0300-0000C0000000}"/>
    <hyperlink ref="B315" location="'AVANCES SEP 30 - 2017'!I159" display="'AVANCES SEP 30 - 2017'!I159" xr:uid="{00000000-0004-0000-0300-0000C1000000}"/>
    <hyperlink ref="B316" location="'OBJ. ESTRATEGICO 3.'!I165" display="Fortalecimiento a la descentralización" xr:uid="{00000000-0004-0000-0300-0000C2000000}"/>
    <hyperlink ref="B317" location="'OBJ. ESTRATEGICO 3.'!I169" display="Sisben" xr:uid="{00000000-0004-0000-0300-0000C3000000}"/>
    <hyperlink ref="B318" location="'OBJ. ESTRATEGICO 3.'!I174" display="Sistema de planeación desde el ambito territorial" xr:uid="{00000000-0004-0000-0300-0000C4000000}"/>
    <hyperlink ref="B320" location="'OBJ. ESTRATEGICO 3.'!I181" display="'OBJ. ESTRATEGICO 3.'!I181" xr:uid="{00000000-0004-0000-0300-0000C5000000}"/>
    <hyperlink ref="B324" location="'OBJ. ESTRATEGICO 3.'!I194" display="Con más ingresos cartagena va" xr:uid="{00000000-0004-0000-0300-0000C6000000}"/>
    <hyperlink ref="B325" location="'OBJ. ESTRATEGICO 3.'!I200" display="'OBJ. ESTRATEGICO 3.'!I200" xr:uid="{00000000-0004-0000-0300-0000C7000000}"/>
  </hyperlinks>
  <pageMargins left="0.7" right="0.7" top="0.75" bottom="0.75" header="0.3" footer="0.3"/>
  <pageSetup paperSize="9" orientation="portrait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3:AC15"/>
  <sheetViews>
    <sheetView topLeftCell="P1" zoomScale="70" zoomScaleNormal="70" workbookViewId="0">
      <selection activeCell="P11" sqref="P11"/>
    </sheetView>
  </sheetViews>
  <sheetFormatPr baseColWidth="10" defaultRowHeight="15" x14ac:dyDescent="0.25"/>
  <cols>
    <col min="2" max="2" width="30" customWidth="1"/>
    <col min="3" max="3" width="27.140625" customWidth="1"/>
    <col min="6" max="6" width="31.7109375" bestFit="1" customWidth="1"/>
    <col min="9" max="9" width="33.85546875" customWidth="1"/>
    <col min="12" max="12" width="29" customWidth="1"/>
    <col min="13" max="13" width="16.85546875" bestFit="1" customWidth="1"/>
    <col min="14" max="14" width="16.28515625" bestFit="1" customWidth="1"/>
    <col min="16" max="16" width="36.85546875" customWidth="1"/>
    <col min="17" max="17" width="29.42578125" customWidth="1"/>
    <col min="20" max="20" width="29.5703125" bestFit="1" customWidth="1"/>
    <col min="23" max="23" width="30.140625" customWidth="1"/>
    <col min="27" max="27" width="26.85546875" customWidth="1"/>
    <col min="28" max="29" width="16.28515625" bestFit="1" customWidth="1"/>
    <col min="30" max="30" width="13.42578125" bestFit="1" customWidth="1"/>
  </cols>
  <sheetData>
    <row r="3" spans="2:29" x14ac:dyDescent="0.25">
      <c r="L3" s="1"/>
      <c r="M3" s="612" t="s">
        <v>2206</v>
      </c>
      <c r="N3" s="613" t="s">
        <v>2202</v>
      </c>
      <c r="AA3" s="1"/>
      <c r="AB3" s="602" t="s">
        <v>2201</v>
      </c>
      <c r="AC3" s="602" t="s">
        <v>2202</v>
      </c>
    </row>
    <row r="4" spans="2:29" ht="66.75" customHeight="1" x14ac:dyDescent="0.25">
      <c r="B4" s="407" t="s">
        <v>25</v>
      </c>
      <c r="C4" s="414">
        <f>+'AVANCES  JUN - 2019'!C6</f>
        <v>0.73270551825520214</v>
      </c>
      <c r="F4" s="408" t="s">
        <v>209</v>
      </c>
      <c r="G4" s="415">
        <f>+'AVANCES  JUN - 2019'!C35</f>
        <v>0.82103544334200029</v>
      </c>
      <c r="I4" s="408" t="s">
        <v>2136</v>
      </c>
      <c r="J4" s="416">
        <f>+'AVANCES  JUN - 2019'!C74</f>
        <v>0.96368055555555554</v>
      </c>
      <c r="L4" s="408" t="s">
        <v>554</v>
      </c>
      <c r="M4" s="573">
        <f>+'AVANCES  JUN - 2019'!C91</f>
        <v>0.79152629807348873</v>
      </c>
      <c r="N4" s="573">
        <v>0.64764131302200911</v>
      </c>
      <c r="P4" s="408" t="s">
        <v>624</v>
      </c>
      <c r="Q4" s="571">
        <f>+'AVANCES  JUN - 2019'!C110</f>
        <v>0.89578445399626661</v>
      </c>
      <c r="T4" s="408" t="s">
        <v>685</v>
      </c>
      <c r="U4" s="77">
        <f>+'AVANCES  JUN - 2019'!C123</f>
        <v>0.60817373386136064</v>
      </c>
      <c r="W4" s="408" t="s">
        <v>2012</v>
      </c>
      <c r="X4" s="412">
        <f>+'AVANCES  JUN - 2019'!C147</f>
        <v>0.9404969135802469</v>
      </c>
      <c r="AA4" s="408" t="s">
        <v>864</v>
      </c>
      <c r="AB4" s="25">
        <f>+'AVANCES  JUN - 2019'!C157</f>
        <v>0.4425</v>
      </c>
      <c r="AC4" s="25">
        <v>0.45437500000000003</v>
      </c>
    </row>
    <row r="5" spans="2:29" ht="60" x14ac:dyDescent="0.25">
      <c r="B5" s="406" t="s">
        <v>1897</v>
      </c>
      <c r="C5" s="402">
        <f>+'AVANCES  JUN - 2019'!C7</f>
        <v>0.85645537698167473</v>
      </c>
      <c r="F5" s="409" t="s">
        <v>1923</v>
      </c>
      <c r="G5" s="404">
        <f>+'AVANCES  JUN - 2019'!C36</f>
        <v>0.91140625000000008</v>
      </c>
      <c r="I5" s="409" t="s">
        <v>1963</v>
      </c>
      <c r="J5" s="411">
        <f>+'AVANCES  JUN - 2019'!C75</f>
        <v>0.96666666666666667</v>
      </c>
      <c r="L5" s="409" t="s">
        <v>1979</v>
      </c>
      <c r="M5" s="20">
        <f>+'AVANCES  JUN - 2019'!C92</f>
        <v>0.56823266219239377</v>
      </c>
      <c r="N5" s="20">
        <v>0.56285631810637227</v>
      </c>
      <c r="P5" s="417" t="s">
        <v>1998</v>
      </c>
      <c r="Q5" s="572">
        <f>+'AVANCES  JUN - 2019'!C111</f>
        <v>0.89578445399626661</v>
      </c>
      <c r="T5" s="417" t="s">
        <v>2010</v>
      </c>
      <c r="U5" s="89">
        <f>+'AVANCES  JUN - 2019'!C124</f>
        <v>0.5714285714285714</v>
      </c>
      <c r="W5" s="417" t="s">
        <v>2018</v>
      </c>
      <c r="X5" s="412">
        <f>+'AVANCES  JUN - 2019'!C148</f>
        <v>0.87866666666666671</v>
      </c>
      <c r="AA5" s="417" t="s">
        <v>2021</v>
      </c>
      <c r="AB5" s="25">
        <f>+'AVANCES  JUN - 2019'!C158</f>
        <v>0.55166666666666664</v>
      </c>
      <c r="AC5" s="25">
        <v>0.59916666666666674</v>
      </c>
    </row>
    <row r="6" spans="2:29" ht="60" x14ac:dyDescent="0.25">
      <c r="B6" s="406" t="s">
        <v>1899</v>
      </c>
      <c r="C6" s="403">
        <f>+'AVANCES  JUN - 2019'!C14</f>
        <v>0.74901177473389635</v>
      </c>
      <c r="F6" s="406" t="s">
        <v>1932</v>
      </c>
      <c r="G6" s="404">
        <f>+'AVANCES  JUN - 2019'!C45</f>
        <v>0.68768534738342302</v>
      </c>
      <c r="I6" s="409" t="s">
        <v>1966</v>
      </c>
      <c r="J6" s="411">
        <f>+'AVANCES  JUN - 2019'!C79</f>
        <v>0.8880555555555556</v>
      </c>
      <c r="L6" s="409" t="s">
        <v>1980</v>
      </c>
      <c r="M6" s="413">
        <f>+'AVANCES  JUN - 2019'!C94</f>
        <v>0.77301500064657969</v>
      </c>
      <c r="N6" s="413">
        <v>0.67500000000000004</v>
      </c>
      <c r="T6" s="417" t="s">
        <v>2013</v>
      </c>
      <c r="U6" s="235">
        <f>+'AVANCES  JUN - 2019'!C126</f>
        <v>0.64491889629414978</v>
      </c>
      <c r="W6" s="417" t="s">
        <v>2019</v>
      </c>
      <c r="X6" s="419">
        <f>+'AVANCES  JUN - 2019'!C150</f>
        <v>0.94282407407407409</v>
      </c>
      <c r="AA6" s="417" t="s">
        <v>2022</v>
      </c>
      <c r="AB6" s="418">
        <f>+'AVANCES  JUN - 2019'!C160</f>
        <v>0.33333333333333331</v>
      </c>
      <c r="AC6" s="418">
        <v>0.30958333333333332</v>
      </c>
    </row>
    <row r="7" spans="2:29" ht="45" x14ac:dyDescent="0.25">
      <c r="B7" s="406" t="s">
        <v>1912</v>
      </c>
      <c r="C7" s="404">
        <f>+'AVANCES  JUN - 2019'!C25</f>
        <v>0.86216666666666675</v>
      </c>
      <c r="F7" s="410" t="s">
        <v>1935</v>
      </c>
      <c r="G7" s="404">
        <f>+'AVANCES  JUN - 2019'!C48</f>
        <v>0.73764435776365522</v>
      </c>
      <c r="I7" s="409" t="s">
        <v>1972</v>
      </c>
      <c r="J7" s="412">
        <f>+'AVANCES  JUN - 2019'!C84</f>
        <v>1</v>
      </c>
      <c r="L7" s="409" t="s">
        <v>1981</v>
      </c>
      <c r="M7" s="404">
        <f>+'AVANCES  JUN - 2019'!C96</f>
        <v>0.83398971475964578</v>
      </c>
      <c r="N7" s="404">
        <v>0.7114442854320171</v>
      </c>
      <c r="T7" s="417" t="s">
        <v>2043</v>
      </c>
      <c r="U7" s="412">
        <f>+'AVANCES  JUN - 2019'!C129</f>
        <v>0.98557098765432094</v>
      </c>
      <c r="W7" s="417" t="s">
        <v>2020</v>
      </c>
      <c r="X7" s="404">
        <f>+'AVANCES  JUN - 2019'!C155</f>
        <v>1</v>
      </c>
    </row>
    <row r="8" spans="2:29" ht="45" x14ac:dyDescent="0.25">
      <c r="B8" s="406" t="s">
        <v>1915</v>
      </c>
      <c r="C8" s="404">
        <f>+'AVANCES  JUN - 2019'!C28</f>
        <v>0.7544642857142857</v>
      </c>
      <c r="F8" s="409" t="s">
        <v>1939</v>
      </c>
      <c r="G8" s="404">
        <f>+'AVANCES  JUN - 2019'!C52</f>
        <v>0.8016638098350044</v>
      </c>
      <c r="I8" s="409" t="s">
        <v>1973</v>
      </c>
      <c r="J8" s="411">
        <f>+'AVANCES  JUN - 2019'!C86</f>
        <v>1</v>
      </c>
      <c r="L8" s="409" t="s">
        <v>1982</v>
      </c>
      <c r="M8" s="20">
        <f>+'AVANCES  JUN - 2019'!C99</f>
        <v>0.66249999999999998</v>
      </c>
      <c r="N8" s="20">
        <v>0.54</v>
      </c>
    </row>
    <row r="9" spans="2:29" ht="30" x14ac:dyDescent="0.25">
      <c r="B9" s="406" t="s">
        <v>1919</v>
      </c>
      <c r="C9" s="405">
        <f>+'AVANCES  JUN - 2019'!C32</f>
        <v>0.44142948717948721</v>
      </c>
      <c r="F9" s="409" t="s">
        <v>1942</v>
      </c>
      <c r="G9" s="230">
        <f>+'AVANCES  JUN - 2019'!C55</f>
        <v>0.88364361702127658</v>
      </c>
      <c r="L9" s="409" t="s">
        <v>1983</v>
      </c>
      <c r="M9" s="413">
        <f>+'AVANCES  JUN - 2019'!C101</f>
        <v>0.84685213527239145</v>
      </c>
      <c r="N9" s="413">
        <v>0.81171217297630038</v>
      </c>
      <c r="T9" s="408" t="s">
        <v>741</v>
      </c>
      <c r="U9" s="608">
        <f>+'AVANCES  JUN - 2019'!C131</f>
        <v>0.84834470580636512</v>
      </c>
      <c r="V9" s="608">
        <f ca="1">AVERAGE(V9:V11)</f>
        <v>0.73863077548332368</v>
      </c>
    </row>
    <row r="10" spans="2:29" ht="45" x14ac:dyDescent="0.25">
      <c r="F10" s="409" t="s">
        <v>1944</v>
      </c>
      <c r="G10" s="404">
        <f>+'AVANCES  JUN - 2019'!C57</f>
        <v>0.92114330808080802</v>
      </c>
      <c r="L10" s="409" t="s">
        <v>1984</v>
      </c>
      <c r="M10" s="413">
        <f>+'AVANCES  JUN - 2019'!C104</f>
        <v>0.96079457364341092</v>
      </c>
      <c r="N10" s="413">
        <v>0.72895348837209306</v>
      </c>
      <c r="T10" s="417" t="str">
        <f>+'AVANCES  JUN - 2019'!B132</f>
        <v>Programa promoción y Grantía de los derechos humanos de las personas mayores</v>
      </c>
      <c r="U10" s="608">
        <f>+'AVANCES  JUN - 2019'!C132</f>
        <v>0.81111111111111123</v>
      </c>
      <c r="V10" s="608">
        <v>0.72500000000000009</v>
      </c>
    </row>
    <row r="11" spans="2:29" ht="45" x14ac:dyDescent="0.25">
      <c r="F11" s="409" t="s">
        <v>1947</v>
      </c>
      <c r="G11" s="404">
        <f>+'AVANCES  JUN - 2019'!C60</f>
        <v>0.87942779195011334</v>
      </c>
      <c r="L11" s="409" t="s">
        <v>1985</v>
      </c>
      <c r="M11" s="263">
        <f>+'AVANCES  JUN - 2019'!C108</f>
        <v>0.89529999999999998</v>
      </c>
      <c r="N11" s="263">
        <v>0.50352292626728112</v>
      </c>
      <c r="T11" s="417" t="str">
        <f>+'AVANCES  JUN - 2019'!B136</f>
        <v>Programa Envejecimiento activo y saludable</v>
      </c>
      <c r="U11" s="608">
        <f>+'AVANCES  JUN - 2019'!C136</f>
        <v>0.88557830050161901</v>
      </c>
      <c r="V11" s="608">
        <v>0.75226155096664726</v>
      </c>
    </row>
    <row r="12" spans="2:29" ht="60" x14ac:dyDescent="0.25">
      <c r="F12" s="409" t="s">
        <v>1950</v>
      </c>
      <c r="G12" s="404">
        <f>+'AVANCES  JUN - 2019'!C63</f>
        <v>0.94894260290087273</v>
      </c>
      <c r="T12" s="408" t="s">
        <v>789</v>
      </c>
      <c r="U12" s="77">
        <f>+'AVANCES  JUN - 2019'!C140</f>
        <v>0.67925850340136051</v>
      </c>
    </row>
    <row r="13" spans="2:29" ht="55.5" customHeight="1" x14ac:dyDescent="0.25">
      <c r="F13" s="409" t="s">
        <v>1956</v>
      </c>
      <c r="G13" s="404">
        <f>+'AVANCES  JUN - 2019'!C69</f>
        <v>0.66098484848484851</v>
      </c>
      <c r="T13" s="417" t="s">
        <v>2015</v>
      </c>
      <c r="U13" s="77">
        <f>+'AVANCES  JUN - 2019'!C141</f>
        <v>0.67710884353741485</v>
      </c>
    </row>
    <row r="14" spans="2:29" ht="30" x14ac:dyDescent="0.25">
      <c r="F14" s="409" t="s">
        <v>1958</v>
      </c>
      <c r="G14" s="404">
        <f>+'AVANCES  JUN - 2019'!C71</f>
        <v>0.77781250000000002</v>
      </c>
      <c r="T14" s="417" t="s">
        <v>2016</v>
      </c>
      <c r="U14" s="25">
        <f>+'AVANCES  JUN - 2019'!C143</f>
        <v>0.5</v>
      </c>
    </row>
    <row r="15" spans="2:29" ht="42" customHeight="1" x14ac:dyDescent="0.25">
      <c r="T15" s="417" t="s">
        <v>2017</v>
      </c>
      <c r="U15" s="412">
        <f>+'AVANCES  JUN - 2019'!C145</f>
        <v>0.86066666666666669</v>
      </c>
    </row>
  </sheetData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C2:AO9"/>
  <sheetViews>
    <sheetView zoomScale="80" zoomScaleNormal="80" workbookViewId="0">
      <selection activeCell="H7" sqref="H7"/>
    </sheetView>
  </sheetViews>
  <sheetFormatPr baseColWidth="10" defaultRowHeight="15" x14ac:dyDescent="0.25"/>
  <cols>
    <col min="3" max="3" width="26.28515625" customWidth="1"/>
    <col min="4" max="5" width="13" bestFit="1" customWidth="1"/>
    <col min="7" max="7" width="29.28515625" customWidth="1"/>
    <col min="8" max="8" width="14.140625" customWidth="1"/>
    <col min="9" max="9" width="14.7109375" customWidth="1"/>
    <col min="11" max="11" width="30.5703125" customWidth="1"/>
    <col min="12" max="12" width="17.85546875" customWidth="1"/>
    <col min="13" max="13" width="15" customWidth="1"/>
    <col min="15" max="15" width="31.5703125" customWidth="1"/>
    <col min="16" max="16" width="15.85546875" customWidth="1"/>
    <col min="17" max="17" width="15" customWidth="1"/>
    <col min="19" max="19" width="33" customWidth="1"/>
    <col min="20" max="20" width="17.5703125" customWidth="1"/>
    <col min="21" max="21" width="14.28515625" customWidth="1"/>
    <col min="23" max="23" width="26.85546875" customWidth="1"/>
    <col min="24" max="24" width="15.7109375" customWidth="1"/>
    <col min="25" max="25" width="15" customWidth="1"/>
    <col min="27" max="27" width="28.140625" customWidth="1"/>
    <col min="28" max="28" width="16.42578125" customWidth="1"/>
    <col min="29" max="29" width="15.140625" customWidth="1"/>
    <col min="31" max="31" width="25" customWidth="1"/>
    <col min="32" max="32" width="17.5703125" customWidth="1"/>
    <col min="33" max="33" width="16.140625" customWidth="1"/>
    <col min="35" max="35" width="26.42578125" customWidth="1"/>
    <col min="36" max="37" width="15.7109375" customWidth="1"/>
    <col min="39" max="39" width="29" customWidth="1"/>
    <col min="40" max="40" width="15.85546875" customWidth="1"/>
    <col min="41" max="41" width="17" customWidth="1"/>
  </cols>
  <sheetData>
    <row r="2" spans="3:41" x14ac:dyDescent="0.25">
      <c r="C2" s="1"/>
      <c r="D2" s="602" t="s">
        <v>2201</v>
      </c>
      <c r="E2" s="602" t="s">
        <v>2202</v>
      </c>
      <c r="G2" s="1"/>
      <c r="H2" s="603" t="s">
        <v>2201</v>
      </c>
      <c r="I2" s="603" t="s">
        <v>2202</v>
      </c>
      <c r="K2" s="1"/>
      <c r="L2" s="603" t="s">
        <v>2201</v>
      </c>
      <c r="M2" s="603" t="s">
        <v>2202</v>
      </c>
      <c r="O2" s="1"/>
      <c r="P2" s="603" t="s">
        <v>2201</v>
      </c>
      <c r="Q2" s="603" t="s">
        <v>2202</v>
      </c>
      <c r="S2" s="1"/>
      <c r="T2" s="603" t="s">
        <v>2201</v>
      </c>
      <c r="U2" s="603" t="s">
        <v>2202</v>
      </c>
      <c r="W2" s="1"/>
      <c r="X2" s="603" t="s">
        <v>2201</v>
      </c>
      <c r="Y2" s="603" t="s">
        <v>2202</v>
      </c>
      <c r="AA2" s="1"/>
      <c r="AB2" s="603" t="s">
        <v>2201</v>
      </c>
      <c r="AC2" s="603" t="s">
        <v>2202</v>
      </c>
      <c r="AE2" s="1"/>
      <c r="AF2" s="603" t="s">
        <v>2201</v>
      </c>
      <c r="AG2" s="603" t="s">
        <v>2202</v>
      </c>
      <c r="AJ2" s="603" t="s">
        <v>2201</v>
      </c>
      <c r="AK2" s="603" t="s">
        <v>2202</v>
      </c>
      <c r="AM2" s="1"/>
      <c r="AN2" s="603" t="s">
        <v>2201</v>
      </c>
      <c r="AO2" s="603" t="s">
        <v>2202</v>
      </c>
    </row>
    <row r="3" spans="3:41" ht="79.5" customHeight="1" x14ac:dyDescent="0.25">
      <c r="C3" s="408" t="s">
        <v>2044</v>
      </c>
      <c r="D3" s="89">
        <f>+'AVANCES  JUN - 2019'!C165</f>
        <v>0.65131824988874054</v>
      </c>
      <c r="E3" s="89">
        <v>0.49477819632337888</v>
      </c>
      <c r="G3" s="408" t="s">
        <v>1068</v>
      </c>
      <c r="H3" s="422">
        <f>+'AVANCES  JUN - 2019'!C192</f>
        <v>0.86592592592592588</v>
      </c>
      <c r="I3" s="422">
        <v>0.83560185185185187</v>
      </c>
      <c r="K3" s="408" t="s">
        <v>1098</v>
      </c>
      <c r="L3" s="416">
        <f>+'AVANCES  JUN - 2019'!C196</f>
        <v>0.890625</v>
      </c>
      <c r="M3" s="416">
        <v>0.8125</v>
      </c>
      <c r="O3" s="408" t="s">
        <v>1117</v>
      </c>
      <c r="P3" s="235">
        <f>+'AVANCES  JUN - 2019'!C201</f>
        <v>0.61737996765249537</v>
      </c>
      <c r="Q3" s="235">
        <v>0.44429861111111113</v>
      </c>
      <c r="S3" s="408" t="s">
        <v>1168</v>
      </c>
      <c r="T3" s="239">
        <f>+'AVANCES  JUN - 2019'!C209</f>
        <v>0.22298041504539556</v>
      </c>
      <c r="U3" s="239">
        <v>0.27389750000000002</v>
      </c>
      <c r="W3" s="408" t="s">
        <v>2113</v>
      </c>
      <c r="X3" s="427">
        <f>+'AVANCES  JUN - 2019'!C212</f>
        <v>0.78666666666666674</v>
      </c>
      <c r="Y3" s="89">
        <v>0.55666666666666675</v>
      </c>
      <c r="AA3" s="408" t="s">
        <v>1211</v>
      </c>
      <c r="AB3" s="235">
        <f>+'AVANCES  JUN - 2019'!C219</f>
        <v>0.59981521818358752</v>
      </c>
      <c r="AC3" s="235">
        <v>0.51167883088530541</v>
      </c>
      <c r="AE3" s="408" t="s">
        <v>2076</v>
      </c>
      <c r="AF3" s="235">
        <f>+'AVANCES  JUN - 2019'!C230</f>
        <v>0.70501793855883421</v>
      </c>
      <c r="AG3" s="235">
        <v>0.51960764320232677</v>
      </c>
      <c r="AI3" s="408" t="s">
        <v>1316</v>
      </c>
      <c r="AJ3" s="235">
        <f>+'AVANCES  JUN - 2019'!C237</f>
        <v>0.542069374894661</v>
      </c>
      <c r="AK3" s="235">
        <v>0.52205376351678723</v>
      </c>
      <c r="AM3" s="408" t="s">
        <v>1366</v>
      </c>
      <c r="AN3" s="235">
        <f>+'AVANCES  JUN - 2019'!C243</f>
        <v>0.54304910213243551</v>
      </c>
      <c r="AO3" s="235">
        <v>0.49740169552669555</v>
      </c>
    </row>
    <row r="4" spans="3:41" ht="54.75" customHeight="1" x14ac:dyDescent="0.25">
      <c r="C4" s="417" t="s">
        <v>2046</v>
      </c>
      <c r="D4" s="89">
        <f>+'AVANCES  JUN - 2019'!C166</f>
        <v>0.53749999999999998</v>
      </c>
      <c r="E4" s="89">
        <v>0.40583333333333332</v>
      </c>
      <c r="G4" s="420" t="s">
        <v>1069</v>
      </c>
      <c r="H4" s="425">
        <f>+'AVANCES  JUN - 2019'!C193</f>
        <v>0.68125000000000002</v>
      </c>
      <c r="I4" s="422">
        <v>0.625</v>
      </c>
      <c r="K4" s="421" t="s">
        <v>1099</v>
      </c>
      <c r="L4" s="416">
        <f>+'AVANCES  JUN - 2019'!C197</f>
        <v>0.91249999999999998</v>
      </c>
      <c r="M4" s="416">
        <v>0.75</v>
      </c>
      <c r="O4" s="417" t="s">
        <v>1118</v>
      </c>
      <c r="P4" s="235">
        <f>+'AVANCES  JUN - 2019'!C202</f>
        <v>0.68762500000000004</v>
      </c>
      <c r="Q4" s="230">
        <v>0.55526388888888889</v>
      </c>
      <c r="S4" s="420" t="s">
        <v>1169</v>
      </c>
      <c r="T4" s="239">
        <f>+'AVANCES  JUN - 2019'!C210</f>
        <v>0.22298041504539556</v>
      </c>
      <c r="U4" s="239">
        <v>0.27389750000000002</v>
      </c>
      <c r="W4" s="417" t="s">
        <v>2072</v>
      </c>
      <c r="X4" s="427">
        <f>+'AVANCES  JUN - 2019'!C213</f>
        <v>0.78666666666666674</v>
      </c>
      <c r="Y4" s="89">
        <v>0.55666666666666675</v>
      </c>
      <c r="AA4" s="417" t="s">
        <v>1212</v>
      </c>
      <c r="AB4" s="235">
        <f>+'AVANCES  JUN - 2019'!C220</f>
        <v>0.66777898788409606</v>
      </c>
      <c r="AC4" s="235">
        <v>0.6033698259892496</v>
      </c>
      <c r="AE4" s="417" t="s">
        <v>1277</v>
      </c>
      <c r="AF4" s="235">
        <f>+'AVANCES  JUN - 2019'!C231</f>
        <v>0.70501793855883421</v>
      </c>
      <c r="AG4" s="235">
        <v>0.51960764320232677</v>
      </c>
      <c r="AH4" s="424"/>
      <c r="AI4" s="417" t="s">
        <v>1317</v>
      </c>
      <c r="AJ4" s="235">
        <f>+'AVANCES  JUN - 2019'!C238</f>
        <v>0.542069374894661</v>
      </c>
      <c r="AK4" s="235">
        <v>0.52205376351678723</v>
      </c>
      <c r="AL4" s="424"/>
      <c r="AM4" s="417" t="s">
        <v>1367</v>
      </c>
      <c r="AN4" s="235">
        <f>+'AVANCES  JUN - 2019'!C244</f>
        <v>0.63237345679012347</v>
      </c>
      <c r="AO4" s="235">
        <v>0.5690277777777778</v>
      </c>
    </row>
    <row r="5" spans="3:41" ht="45" x14ac:dyDescent="0.25">
      <c r="C5" s="417" t="s">
        <v>945</v>
      </c>
      <c r="D5" s="235">
        <f>+'AVANCES  JUN - 2019'!C169</f>
        <v>0.62557666666666667</v>
      </c>
      <c r="E5" s="235">
        <v>0.5348183333333334</v>
      </c>
      <c r="G5" s="420" t="s">
        <v>1080</v>
      </c>
      <c r="H5" s="422">
        <f>+'AVANCES  JUN - 2019'!C194</f>
        <v>1</v>
      </c>
      <c r="I5" s="422">
        <v>1</v>
      </c>
      <c r="K5" s="421" t="s">
        <v>1104</v>
      </c>
      <c r="L5" s="416">
        <f>+'AVANCES  JUN - 2019'!C198</f>
        <v>1</v>
      </c>
      <c r="M5" s="416">
        <v>1</v>
      </c>
      <c r="O5" s="417" t="s">
        <v>1158</v>
      </c>
      <c r="P5" s="235">
        <f>+'AVANCES  JUN - 2019'!C206</f>
        <v>0.54713493530499069</v>
      </c>
      <c r="Q5" s="235">
        <v>0.33333333333333331</v>
      </c>
      <c r="AA5" s="417" t="s">
        <v>2075</v>
      </c>
      <c r="AB5" s="5">
        <f>+'AVANCES  JUN - 2019'!C225</f>
        <v>0.61499999999999999</v>
      </c>
      <c r="AC5" s="423">
        <v>0.41500000000000004</v>
      </c>
      <c r="AE5" s="424"/>
      <c r="AF5" s="424"/>
      <c r="AG5" s="424"/>
      <c r="AH5" s="424"/>
      <c r="AI5" s="424"/>
      <c r="AJ5" s="424"/>
      <c r="AK5" s="424"/>
      <c r="AL5" s="424"/>
      <c r="AM5" s="417" t="s">
        <v>1385</v>
      </c>
      <c r="AN5" s="89">
        <f>+'AVANCES  JUN - 2019'!C248</f>
        <v>0.4537247474747475</v>
      </c>
      <c r="AO5" s="89">
        <v>0.42577561327561325</v>
      </c>
    </row>
    <row r="6" spans="3:41" ht="60" x14ac:dyDescent="0.25">
      <c r="C6" s="417" t="s">
        <v>990</v>
      </c>
      <c r="D6" s="230">
        <f>+'AVANCES  JUN - 2019'!C174</f>
        <v>1</v>
      </c>
      <c r="E6" s="230">
        <v>0.79412785565952404</v>
      </c>
      <c r="G6" s="420" t="s">
        <v>2071</v>
      </c>
      <c r="H6" s="422">
        <f>+'AVANCES  JUN - 2019'!C195</f>
        <v>0.91652777777777772</v>
      </c>
      <c r="I6" s="422">
        <v>0.88180555555555562</v>
      </c>
      <c r="K6" s="421" t="s">
        <v>1109</v>
      </c>
      <c r="L6" s="416">
        <f>+'AVANCES  JUN - 2019'!C199</f>
        <v>1</v>
      </c>
      <c r="M6" s="416">
        <v>1</v>
      </c>
      <c r="AA6" s="417" t="s">
        <v>1257</v>
      </c>
      <c r="AB6" s="235">
        <f>+'AVANCES  JUN - 2019'!C227</f>
        <v>0.51666666666666661</v>
      </c>
      <c r="AC6" s="235">
        <v>0.51666666666666661</v>
      </c>
    </row>
    <row r="7" spans="3:41" ht="48" x14ac:dyDescent="0.25">
      <c r="C7" s="417" t="s">
        <v>1012</v>
      </c>
      <c r="D7" s="239">
        <f>+'AVANCES  JUN - 2019'!C180</f>
        <v>0.28333333333333333</v>
      </c>
      <c r="E7" s="239">
        <v>0.28333333333333333</v>
      </c>
      <c r="K7" s="421" t="s">
        <v>1112</v>
      </c>
      <c r="L7" s="574">
        <f>+'AVANCES  JUN - 2019'!C200</f>
        <v>0.64999999999999991</v>
      </c>
      <c r="M7" s="574">
        <v>0.5</v>
      </c>
    </row>
    <row r="8" spans="3:41" ht="30" x14ac:dyDescent="0.25">
      <c r="C8" s="417" t="s">
        <v>1027</v>
      </c>
      <c r="D8" s="235">
        <f>+'AVANCES  JUN - 2019'!C183</f>
        <v>0.72687499999999994</v>
      </c>
      <c r="E8" s="239">
        <v>0.22062499999999999</v>
      </c>
    </row>
    <row r="9" spans="3:41" ht="45" x14ac:dyDescent="0.25">
      <c r="C9" s="417" t="s">
        <v>1038</v>
      </c>
      <c r="D9" s="230">
        <f>+'AVANCES  JUN - 2019'!C186</f>
        <v>0.73462449933244323</v>
      </c>
      <c r="E9" s="230">
        <v>0.72993132228074953</v>
      </c>
    </row>
  </sheetData>
  <hyperlinks>
    <hyperlink ref="G4" location="'OBJ. ESTRATEGICO 2'!D98" display="PROGRAMA MONITOREO AMBIENTAL" xr:uid="{00000000-0004-0000-0500-000000000000}"/>
    <hyperlink ref="G5" location="'OBJ. ESTRATEGICO 2'!D103" display="PROGRAMA CONTROL, VIGILANCIA YSEGUIMIENTO AMBIENTAL" xr:uid="{00000000-0004-0000-0500-000001000000}"/>
    <hyperlink ref="G6" location="'OBJ. ESTRATEGICO 2'!D106" display="PROGRAMA EDUCACIÓN Y CULTURA AMBIENTAL" xr:uid="{00000000-0004-0000-0500-000002000000}"/>
    <hyperlink ref="K4" location="'OBJ. ESTRATEGICO 2'!D114" display="PROGRAMA GESTIÓN INTEGRAL DEL RECURSO HÍDRICO" xr:uid="{00000000-0004-0000-0500-000003000000}"/>
    <hyperlink ref="K5" location="'OBJ. ESTRATEGICO 2'!D117" display="PROGRAMA VEGETACIÓN BIODIVERSIDAD YSERVICIOS ECOSISTÉMICOS" xr:uid="{00000000-0004-0000-0500-000004000000}"/>
    <hyperlink ref="K6" location="'OBJ. ESTRATEGICO 2'!D120" display="PROGRAMA NEGOCIOS VERDES PRODUCCIÓN YCONSUMO SOSTENIBLE" xr:uid="{00000000-0004-0000-0500-000005000000}"/>
    <hyperlink ref="K7" location="'OBJ. ESTRATEGICO 2'!D122" display="'OBJ. ESTRATEGICO 2'!D122" xr:uid="{00000000-0004-0000-0500-000006000000}"/>
    <hyperlink ref="S4" location="'OBJ. ESTRATEGICO 2'!I154" display="'OBJ. ESTRATEGICO 2'!I154" xr:uid="{00000000-0004-0000-0500-000007000000}"/>
  </hyperlink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3:X13"/>
  <sheetViews>
    <sheetView topLeftCell="L1" zoomScale="80" zoomScaleNormal="80" workbookViewId="0">
      <selection activeCell="F7" sqref="F7"/>
    </sheetView>
  </sheetViews>
  <sheetFormatPr baseColWidth="10" defaultRowHeight="15" x14ac:dyDescent="0.25"/>
  <cols>
    <col min="2" max="2" width="30.42578125" customWidth="1"/>
    <col min="3" max="3" width="16.140625" customWidth="1"/>
    <col min="4" max="4" width="15.140625" customWidth="1"/>
    <col min="6" max="6" width="28.7109375" customWidth="1"/>
    <col min="7" max="8" width="20.140625" customWidth="1"/>
    <col min="10" max="10" width="26" customWidth="1"/>
    <col min="11" max="11" width="16.140625" customWidth="1"/>
    <col min="12" max="12" width="15.85546875" customWidth="1"/>
    <col min="14" max="14" width="23" customWidth="1"/>
    <col min="15" max="15" width="17.140625" customWidth="1"/>
    <col min="16" max="16" width="18" customWidth="1"/>
    <col min="18" max="18" width="24.42578125" customWidth="1"/>
    <col min="19" max="19" width="18" customWidth="1"/>
    <col min="20" max="20" width="15" customWidth="1"/>
    <col min="22" max="22" width="22.140625" customWidth="1"/>
    <col min="23" max="23" width="18.5703125" customWidth="1"/>
    <col min="24" max="24" width="14.7109375" customWidth="1"/>
  </cols>
  <sheetData>
    <row r="3" spans="2:24" x14ac:dyDescent="0.25">
      <c r="B3" s="1"/>
      <c r="C3" s="603" t="s">
        <v>2201</v>
      </c>
      <c r="D3" s="603" t="s">
        <v>2202</v>
      </c>
      <c r="F3" s="1"/>
      <c r="G3" s="603" t="s">
        <v>2201</v>
      </c>
      <c r="H3" s="603" t="s">
        <v>2202</v>
      </c>
      <c r="J3" s="1"/>
      <c r="K3" s="603" t="s">
        <v>2201</v>
      </c>
      <c r="L3" s="603" t="s">
        <v>2202</v>
      </c>
      <c r="N3" s="1"/>
      <c r="O3" s="603" t="s">
        <v>2201</v>
      </c>
      <c r="P3" s="603" t="s">
        <v>2202</v>
      </c>
      <c r="R3" s="1"/>
      <c r="S3" s="603" t="s">
        <v>2201</v>
      </c>
      <c r="T3" s="603" t="s">
        <v>2202</v>
      </c>
      <c r="V3" s="1"/>
      <c r="W3" s="603" t="s">
        <v>2201</v>
      </c>
      <c r="X3" s="603" t="s">
        <v>2202</v>
      </c>
    </row>
    <row r="4" spans="2:24" ht="60" x14ac:dyDescent="0.25">
      <c r="B4" s="408" t="s">
        <v>1469</v>
      </c>
      <c r="C4" s="422">
        <f>+'AVANCES  JUN - 2019'!C258</f>
        <v>0.76000505401234564</v>
      </c>
      <c r="D4" s="422">
        <v>0.62529446373456787</v>
      </c>
      <c r="F4" s="408" t="s">
        <v>1628</v>
      </c>
      <c r="G4" s="425">
        <f>+'AVANCES  JUN - 2019'!C282</f>
        <v>0.71204940623846735</v>
      </c>
      <c r="H4" s="425">
        <v>0.52376334212444076</v>
      </c>
      <c r="J4" s="408" t="s">
        <v>1711</v>
      </c>
      <c r="K4" s="235">
        <f>+'AVANCES  JUN - 2019'!C290</f>
        <v>0.64721921608006849</v>
      </c>
      <c r="L4" s="235">
        <v>0.61838903339301254</v>
      </c>
      <c r="N4" s="408" t="s">
        <v>1775</v>
      </c>
      <c r="O4" s="230">
        <f>+'AVANCES  JUN - 2019'!C302</f>
        <v>1</v>
      </c>
      <c r="P4" s="230">
        <v>1</v>
      </c>
      <c r="R4" s="408" t="s">
        <v>1805</v>
      </c>
      <c r="S4" s="235">
        <f>+'AVANCES  JUN - 2019'!C312</f>
        <v>0.52395497763148136</v>
      </c>
      <c r="T4" s="235">
        <v>0.4636817175582213</v>
      </c>
      <c r="V4" s="408" t="s">
        <v>2203</v>
      </c>
      <c r="W4" s="5">
        <f>+'AVANCES  JUN - 2019'!C322</f>
        <v>0.61902819788572661</v>
      </c>
      <c r="X4" s="5">
        <v>0.41419233664688104</v>
      </c>
    </row>
    <row r="5" spans="2:24" ht="75" x14ac:dyDescent="0.25">
      <c r="B5" s="417" t="s">
        <v>1470</v>
      </c>
      <c r="C5" s="422">
        <f>+'AVANCES  JUN - 2019'!C259</f>
        <v>0.93166666666666675</v>
      </c>
      <c r="D5" s="422">
        <v>0.74277777777777776</v>
      </c>
      <c r="F5" s="417" t="s">
        <v>1629</v>
      </c>
      <c r="G5" s="425">
        <f>+'AVANCES  JUN - 2019'!C283</f>
        <v>0.74013051960035769</v>
      </c>
      <c r="H5" s="425">
        <v>0.43421028730033906</v>
      </c>
      <c r="J5" s="417" t="s">
        <v>2121</v>
      </c>
      <c r="K5" s="230">
        <f>+'AVANCES  JUN - 2019'!C291</f>
        <v>1</v>
      </c>
      <c r="L5" s="230">
        <v>1</v>
      </c>
      <c r="N5" s="417" t="s">
        <v>1776</v>
      </c>
      <c r="O5" s="230">
        <f>+'AVANCES  JUN - 2019'!C303</f>
        <v>1</v>
      </c>
      <c r="P5" s="230">
        <v>1</v>
      </c>
      <c r="R5" s="417" t="s">
        <v>1806</v>
      </c>
      <c r="S5" s="235">
        <f>+'AVANCES  JUN - 2019'!C313</f>
        <v>0.53889789992741099</v>
      </c>
      <c r="T5" s="235">
        <v>0.38829789992741109</v>
      </c>
      <c r="V5" s="417" t="s">
        <v>1873</v>
      </c>
      <c r="W5" s="5">
        <f>+'AVANCES  JUN - 2019'!C323</f>
        <v>0.61902819788572661</v>
      </c>
      <c r="X5" s="5">
        <v>0.41419233664688104</v>
      </c>
    </row>
    <row r="6" spans="2:24" ht="75" x14ac:dyDescent="0.25">
      <c r="B6" s="417" t="s">
        <v>1499</v>
      </c>
      <c r="C6" s="235">
        <f>+'AVANCES  JUN - 2019'!C262</f>
        <v>0.68444444444444441</v>
      </c>
      <c r="D6" s="235">
        <v>0.60111111111111104</v>
      </c>
      <c r="F6" s="417" t="s">
        <v>1683</v>
      </c>
      <c r="G6" s="235">
        <f>+'AVANCES  JUN - 2019'!C285</f>
        <v>0.56268436578171088</v>
      </c>
      <c r="H6" s="235">
        <v>0.47041307240631658</v>
      </c>
      <c r="J6" s="417" t="s">
        <v>1717</v>
      </c>
      <c r="K6" s="426">
        <f>+'AVANCES  JUN - 2019'!C294</f>
        <v>0.29443843216013693</v>
      </c>
      <c r="L6" s="426">
        <v>0.236778066786025</v>
      </c>
      <c r="N6" s="417" t="s">
        <v>1787</v>
      </c>
      <c r="O6" s="230">
        <f>+'AVANCES  JUN - 2019'!C306</f>
        <v>1</v>
      </c>
      <c r="P6" s="230">
        <v>1</v>
      </c>
      <c r="R6" s="417" t="s">
        <v>2123</v>
      </c>
      <c r="S6" s="427">
        <f>+'AVANCES  JUN - 2019'!C319</f>
        <v>1</v>
      </c>
      <c r="T6" s="427">
        <v>1</v>
      </c>
    </row>
    <row r="7" spans="2:24" ht="45" x14ac:dyDescent="0.25">
      <c r="B7" s="417" t="s">
        <v>1528</v>
      </c>
      <c r="C7" s="230">
        <f>+'AVANCES  JUN - 2019'!C266</f>
        <v>1</v>
      </c>
      <c r="D7" s="230">
        <v>0.67222222222222217</v>
      </c>
      <c r="F7" s="417" t="s">
        <v>1690</v>
      </c>
      <c r="G7" s="427">
        <f>+'AVANCES  JUN - 2019'!C287</f>
        <v>0.83333333333333337</v>
      </c>
      <c r="H7" s="427">
        <v>0.66666666666666663</v>
      </c>
      <c r="N7" s="417" t="s">
        <v>1797</v>
      </c>
      <c r="O7" s="230">
        <f>+'AVANCES  JUN - 2019'!C308</f>
        <v>1</v>
      </c>
      <c r="P7" s="230">
        <v>1</v>
      </c>
      <c r="R7" s="417" t="s">
        <v>1861</v>
      </c>
      <c r="S7" s="239">
        <f>+'AVANCES  JUN - 2019'!C321</f>
        <v>3.2967032967032968E-2</v>
      </c>
      <c r="T7" s="239">
        <v>2.7472527472527475E-3</v>
      </c>
    </row>
    <row r="8" spans="2:24" ht="30" x14ac:dyDescent="0.25">
      <c r="B8" s="417" t="s">
        <v>1539</v>
      </c>
      <c r="C8" s="230">
        <f>+'AVANCES  JUN - 2019'!C267</f>
        <v>0.93536666666666657</v>
      </c>
      <c r="D8" s="230">
        <v>0.80989999999999995</v>
      </c>
      <c r="N8" s="417" t="s">
        <v>1802</v>
      </c>
      <c r="O8" s="230">
        <f>+'AVANCES  JUN - 2019'!C310</f>
        <v>1</v>
      </c>
      <c r="P8" s="230">
        <v>1</v>
      </c>
    </row>
    <row r="9" spans="2:24" ht="30" x14ac:dyDescent="0.25">
      <c r="B9" s="417" t="s">
        <v>1548</v>
      </c>
      <c r="C9" s="230">
        <f>+'AVANCES  JUN - 2019'!C268</f>
        <v>1</v>
      </c>
      <c r="D9" s="230">
        <v>0.52249999999999996</v>
      </c>
    </row>
    <row r="10" spans="2:24" ht="60" x14ac:dyDescent="0.25">
      <c r="B10" s="417" t="s">
        <v>1570</v>
      </c>
      <c r="C10" s="235">
        <f>+'AVANCES  JUN - 2019'!C271</f>
        <v>0.55000000000000004</v>
      </c>
      <c r="D10" s="235">
        <v>0.55000000000000004</v>
      </c>
    </row>
    <row r="11" spans="2:24" ht="75" x14ac:dyDescent="0.25">
      <c r="B11" s="417" t="s">
        <v>1598</v>
      </c>
      <c r="C11" s="239">
        <f>+'AVANCES  JUN - 2019'!C274</f>
        <v>0.36356770833333329</v>
      </c>
      <c r="D11" s="239">
        <v>0.35413906249999999</v>
      </c>
    </row>
    <row r="12" spans="2:24" ht="60" x14ac:dyDescent="0.25">
      <c r="B12" s="417" t="s">
        <v>1609</v>
      </c>
      <c r="C12" s="230">
        <f>+'AVANCES  JUN - 2019'!C277</f>
        <v>1</v>
      </c>
      <c r="D12" s="230">
        <v>1</v>
      </c>
    </row>
    <row r="13" spans="2:24" ht="45" x14ac:dyDescent="0.25">
      <c r="B13" s="417" t="s">
        <v>1625</v>
      </c>
      <c r="C13" s="239">
        <f>+'AVANCES  JUN - 2019'!C281</f>
        <v>0.375</v>
      </c>
      <c r="D13" s="239">
        <v>0.375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1</vt:i4>
      </vt:variant>
    </vt:vector>
  </HeadingPairs>
  <TitlesOfParts>
    <vt:vector size="8" baseType="lpstr">
      <vt:lpstr>OBJ. ESTRATEGICO 1. </vt:lpstr>
      <vt:lpstr>OBJ. ESTRATEGICO 2</vt:lpstr>
      <vt:lpstr>OBJ. ESTRATEGICO 3.</vt:lpstr>
      <vt:lpstr>AVANCES  JUN - 2019</vt:lpstr>
      <vt:lpstr>AVANCES 1 OBJETIVO</vt:lpstr>
      <vt:lpstr>AVANCES 2 OBJETIVO</vt:lpstr>
      <vt:lpstr>AVANCES 3 OBJETIVO</vt:lpstr>
      <vt:lpstr>_Aah337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bernarda perez carmona</dc:creator>
  <cp:lastModifiedBy>informatica</cp:lastModifiedBy>
  <dcterms:created xsi:type="dcterms:W3CDTF">2016-11-05T19:22:06Z</dcterms:created>
  <dcterms:modified xsi:type="dcterms:W3CDTF">2019-08-20T22:58:12Z</dcterms:modified>
</cp:coreProperties>
</file>