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perez\Desktop\SEGUIMIENTOS PLANES DE ACCION A DIC.31 DE 2022\"/>
    </mc:Choice>
  </mc:AlternateContent>
  <bookViews>
    <workbookView xWindow="0" yWindow="0" windowWidth="20490" windowHeight="7155"/>
  </bookViews>
  <sheets>
    <sheet name=" SEGUIMIENTO PA INFRAESTRUCTURA" sheetId="5" r:id="rId1"/>
    <sheet name="SEGUIMIENTO PLAN DE ACCION" sheetId="6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3" i="6" l="1"/>
  <c r="S33" i="6"/>
  <c r="S37" i="6"/>
  <c r="AB26" i="6"/>
  <c r="AG24" i="6" l="1"/>
  <c r="W47" i="6" l="1"/>
  <c r="AB41" i="6"/>
  <c r="AB38" i="6"/>
  <c r="AB24" i="6"/>
  <c r="AO41" i="6"/>
  <c r="AR41" i="6"/>
  <c r="AB39" i="6"/>
  <c r="R36" i="6"/>
  <c r="S32" i="6"/>
  <c r="AG36" i="6"/>
  <c r="AO36" i="6"/>
  <c r="AR36" i="6"/>
  <c r="AS36" i="6"/>
  <c r="AO31" i="6"/>
  <c r="AR31" i="6"/>
  <c r="AS31" i="6"/>
  <c r="AB34" i="6" l="1"/>
  <c r="S31" i="6"/>
  <c r="R31" i="6"/>
  <c r="U46" i="6" s="1"/>
  <c r="U47" i="6" s="1"/>
  <c r="AB30" i="6"/>
  <c r="AB45" i="6" s="1"/>
  <c r="AB29" i="6"/>
  <c r="AG30" i="6"/>
  <c r="AO30" i="6"/>
  <c r="AR30" i="6"/>
  <c r="R25" i="6"/>
  <c r="S25" i="6"/>
  <c r="R24" i="6"/>
  <c r="S24" i="6"/>
  <c r="AB23" i="6"/>
  <c r="AS30" i="6" l="1"/>
  <c r="AS24" i="6"/>
  <c r="AO24" i="6"/>
  <c r="AR24" i="6"/>
  <c r="AS20" i="6"/>
  <c r="AR20" i="6"/>
  <c r="AR15" i="6"/>
  <c r="AS15" i="6" s="1"/>
  <c r="AO20" i="6"/>
  <c r="AS19" i="6"/>
  <c r="AR19" i="6"/>
  <c r="AO19" i="6"/>
  <c r="AO15" i="6"/>
  <c r="AB15" i="6"/>
  <c r="AS39" i="6" l="1"/>
  <c r="S39" i="6"/>
  <c r="R39" i="6"/>
  <c r="S35" i="6"/>
  <c r="R35" i="6"/>
  <c r="S34" i="6"/>
  <c r="AS33" i="6"/>
  <c r="R33" i="6"/>
  <c r="AS29" i="6"/>
  <c r="AS26" i="6"/>
  <c r="S26" i="6"/>
  <c r="AS23" i="6"/>
  <c r="AS22" i="6"/>
  <c r="S22" i="6"/>
  <c r="AS21" i="6"/>
  <c r="AP21" i="6"/>
  <c r="S21" i="6"/>
  <c r="R21" i="6"/>
  <c r="AS18" i="6"/>
  <c r="S18" i="6"/>
  <c r="AS17" i="6"/>
  <c r="AS14" i="6"/>
  <c r="AS13" i="6"/>
  <c r="AS12" i="6"/>
  <c r="AS11" i="6"/>
  <c r="AS10" i="6"/>
  <c r="AS9" i="6"/>
  <c r="AS8" i="6"/>
  <c r="AS7" i="6"/>
  <c r="AS6" i="6"/>
  <c r="AS5" i="6"/>
  <c r="AS4" i="6"/>
  <c r="AS3" i="6"/>
  <c r="BI12" i="5" l="1"/>
  <c r="BI25" i="5" l="1"/>
  <c r="BI24" i="5"/>
  <c r="BI36" i="5"/>
  <c r="BI40" i="5"/>
  <c r="BI14" i="5"/>
  <c r="BI15" i="5"/>
  <c r="BI16" i="5"/>
  <c r="BI18" i="5"/>
  <c r="BI19" i="5"/>
  <c r="BI20" i="5"/>
  <c r="BI22" i="5"/>
  <c r="BI28" i="5"/>
  <c r="BI29" i="5"/>
  <c r="BI30" i="5"/>
  <c r="BI32" i="5"/>
  <c r="BI33" i="5"/>
  <c r="BI34" i="5"/>
  <c r="G36" i="5"/>
  <c r="H40" i="5"/>
  <c r="G40" i="5"/>
  <c r="G24" i="5"/>
  <c r="BI10" i="5" l="1"/>
  <c r="BI11" i="5"/>
  <c r="BI13" i="5"/>
  <c r="BE21" i="5"/>
  <c r="BI21" i="5" s="1"/>
  <c r="BG31" i="5"/>
  <c r="BI31" i="5" s="1"/>
  <c r="BF31" i="5"/>
  <c r="BF26" i="5"/>
  <c r="BG26" i="5" s="1"/>
  <c r="BI26" i="5" s="1"/>
  <c r="BF20" i="5"/>
  <c r="BF19" i="5"/>
  <c r="BF18" i="5"/>
  <c r="BG17" i="5"/>
  <c r="BI17" i="5" s="1"/>
  <c r="BF17" i="5"/>
  <c r="BF11" i="5"/>
  <c r="BF10" i="5"/>
  <c r="BC31" i="5"/>
  <c r="BD29" i="5"/>
  <c r="BC17" i="5"/>
  <c r="BC10" i="5"/>
  <c r="AU19" i="5"/>
  <c r="AT29" i="5"/>
  <c r="AU29" i="5" s="1"/>
  <c r="AT30" i="5"/>
  <c r="AU30" i="5" s="1"/>
  <c r="AT31" i="5"/>
  <c r="AU31" i="5" s="1"/>
  <c r="AT32" i="5"/>
  <c r="AU32" i="5" s="1"/>
  <c r="AT33" i="5"/>
  <c r="AU33" i="5" s="1"/>
  <c r="AT19" i="5"/>
  <c r="AT18" i="5"/>
  <c r="AU18" i="5" s="1"/>
  <c r="AT10" i="5"/>
  <c r="AU10" i="5" s="1"/>
  <c r="AT11" i="5"/>
  <c r="AU11" i="5" s="1"/>
  <c r="AT12" i="5"/>
  <c r="AU12" i="5" s="1"/>
  <c r="AT13" i="5"/>
  <c r="AU13" i="5" s="1"/>
  <c r="AT14" i="5"/>
  <c r="AU14" i="5" s="1"/>
  <c r="AT15" i="5"/>
  <c r="AU15" i="5" s="1"/>
  <c r="AT20" i="5" l="1"/>
  <c r="AU20" i="5" s="1"/>
  <c r="AT21" i="5"/>
  <c r="AU21" i="5" s="1"/>
  <c r="AT22" i="5"/>
  <c r="AU22" i="5" s="1"/>
  <c r="AT24" i="5"/>
  <c r="AU24" i="5" s="1"/>
  <c r="AT25" i="5"/>
  <c r="AU25" i="5" s="1"/>
  <c r="AT26" i="5"/>
  <c r="AU26" i="5" s="1"/>
  <c r="AT28" i="5"/>
  <c r="AU28" i="5"/>
  <c r="AT34" i="5"/>
  <c r="AU34" i="5" s="1"/>
  <c r="AT36" i="5"/>
  <c r="AU36" i="5" s="1"/>
  <c r="AT40" i="5"/>
  <c r="AU40" i="5" s="1"/>
  <c r="O34" i="5"/>
  <c r="O28" i="5"/>
  <c r="O26" i="5"/>
  <c r="O25" i="5"/>
  <c r="O24" i="5"/>
  <c r="O19" i="5"/>
  <c r="O21" i="5"/>
  <c r="O22" i="5"/>
  <c r="BI9" i="5" l="1"/>
  <c r="O17" i="5"/>
  <c r="O16" i="5"/>
  <c r="O9" i="5"/>
  <c r="AT17" i="5"/>
  <c r="AU17" i="5" s="1"/>
  <c r="AT16" i="5"/>
  <c r="AU16" i="5" s="1"/>
  <c r="AT9" i="5"/>
  <c r="AU9" i="5" l="1"/>
</calcChain>
</file>

<file path=xl/comments1.xml><?xml version="1.0" encoding="utf-8"?>
<comments xmlns="http://schemas.openxmlformats.org/spreadsheetml/2006/main">
  <authors>
    <author>Usuario de Windows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VALOR NÚMERICO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 xml:space="preserve">VALOR EN PORCENTAJE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 xml:space="preserve">VALOR EN PORCENTAJE
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INCLUIR EVIDENCIA ORGANIZADA POR PROGRAMA PROYECTO Y ACTIVIDAD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 xml:space="preserve">SE DEBE ESPECIFICAR LA FECHA Y PERIODICIDAD DE LA ACTIVIDAD
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 xml:space="preserve">SE DEBE ESPECIFICAR LA FECHA Y PERIODICIDAD DE LA ACTIVIDAD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VALOR NÚMERICO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</rPr>
          <t xml:space="preserve">VALOR EN PORCENTAJE
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 xml:space="preserve">VALOR EN PORCENTAJE
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</rPr>
          <t xml:space="preserve">INCLUIR EL OBJETIVO Y LAS ACTIVIDADES DEL PROYECTO
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RELACIONAR LAS ACTIVIDADES ESPECIFICAS DEL PROYECTO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VERIFICAR AVANCE EN LAS EVIDENCIAS
VALOR EN PORCENTAJE</t>
        </r>
      </text>
    </comment>
    <comment ref="AL7" authorId="0" shapeId="0">
      <text>
        <r>
          <rPr>
            <b/>
            <sz val="9"/>
            <color indexed="81"/>
            <rFont val="Tahoma"/>
            <family val="2"/>
          </rPr>
          <t>TENER EN CUENTA EL PORCENTAJE DE PARTICIPACIÓN DE LA ACTIVIDAD DENTRO DEL AVANCE DEL PROYECTO (NO PROMEDIAR)</t>
        </r>
      </text>
    </comment>
    <comment ref="AM7" authorId="0" shapeId="0">
      <text>
        <r>
          <rPr>
            <b/>
            <sz val="9"/>
            <color indexed="81"/>
            <rFont val="Tahoma"/>
            <family val="2"/>
          </rPr>
          <t>TENER EN CUENTA LA PARTICIPACIÓN DEL PROYECTO DENTRO DE LA META PRODUCTO (NO PROMEDIAR)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ICLD
SGP
SGR
ENTRE OTROS
(ESPECIFICAR OTROS)</t>
        </r>
      </text>
    </comment>
    <comment ref="AQ7" authorId="0" shapeId="0">
      <text>
        <r>
          <rPr>
            <b/>
            <sz val="9"/>
            <color indexed="81"/>
            <rFont val="Tahoma"/>
            <family val="2"/>
          </rPr>
          <t>VALOR NÚMERICO</t>
        </r>
      </text>
    </comment>
    <comment ref="AR7" authorId="0" shapeId="0">
      <text>
        <r>
          <rPr>
            <b/>
            <sz val="9"/>
            <color indexed="81"/>
            <rFont val="Tahoma"/>
            <family val="2"/>
          </rPr>
          <t>VALOR EN PORCENTAJE</t>
        </r>
      </text>
    </comment>
    <comment ref="AS7" authorId="0" shapeId="0">
      <text>
        <r>
          <rPr>
            <b/>
            <sz val="9"/>
            <color indexed="81"/>
            <rFont val="Tahoma"/>
            <family val="2"/>
          </rPr>
          <t>VALOR ASIGNADO PARA LA VIGENCIA A EVALUAR</t>
        </r>
      </text>
    </comment>
    <comment ref="AT7" authorId="0" shapeId="0">
      <text>
        <r>
          <rPr>
            <b/>
            <sz val="9"/>
            <color indexed="81"/>
            <rFont val="Tahoma"/>
            <family val="2"/>
          </rPr>
          <t>VALOR ASIGNADO PARA LA VIGENCIA A EVALUAR</t>
        </r>
      </text>
    </comment>
    <comment ref="AV7" authorId="0" shapeId="0">
      <text>
        <r>
          <rPr>
            <b/>
            <sz val="9"/>
            <color indexed="81"/>
            <rFont val="Tahoma"/>
            <family val="2"/>
          </rPr>
          <t>INFORMACIÓN DEL INFORME DE EJECUCION DEL PRESUPUESTO DE GASTOS E INVERSIONES (PREDIS)</t>
        </r>
      </text>
    </comment>
    <comment ref="AY7" authorId="0" shapeId="0">
      <text>
        <r>
          <rPr>
            <b/>
            <sz val="9"/>
            <color indexed="81"/>
            <rFont val="Tahoma"/>
            <family val="2"/>
          </rPr>
          <t>INFORMACIÓN DEL INFORME DE EJECUCION DEL PRESUPUESTO DE GASTOS E INVERSIONES (PREDIS)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INFORMACIÓN DEL INFORME DE EJECUCION DEL PRESUPUESTO DE GASTOS E INVERSIONES (PREDIS)</t>
        </r>
      </text>
    </comment>
    <comment ref="BE7" authorId="0" shapeId="0">
      <text>
        <r>
          <rPr>
            <b/>
            <sz val="9"/>
            <color indexed="81"/>
            <rFont val="Tahoma"/>
            <family val="2"/>
          </rPr>
          <t>INFORMACIÓN DEL INFORME DE EJECUCION DEL PRESUPUESTO DE GASTOS E INVERSIONES (PREDIS)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HACE REFERENCIA AL PRESUPUESTO ASIGNADO</t>
        </r>
      </text>
    </comment>
    <comment ref="AW8" authorId="0" shapeId="0">
      <text>
        <r>
          <rPr>
            <b/>
            <sz val="9"/>
            <color indexed="81"/>
            <rFont val="Tahoma"/>
            <family val="2"/>
          </rPr>
          <t>HACE REFERENCIA AL REGISTRO PRESUPUESTAL</t>
        </r>
      </text>
    </comment>
    <comment ref="AY8" authorId="0" shapeId="0">
      <text>
        <r>
          <rPr>
            <b/>
            <sz val="9"/>
            <color indexed="81"/>
            <rFont val="Tahoma"/>
            <family val="2"/>
          </rPr>
          <t>HACE REFERENCIA AL PRESUPUESTO ASIGNADO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HACE REFERENCIA AL REGISTRO PRESUPUESTAL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HACE REFERENCIA AL PRESUPUESTO ASIGNADO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HACE REFERENCIA AL REGISTRO PRESUPUESTAL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HACE REFERENCIA AL PRESUPUESTO ASIGNADO</t>
        </r>
      </text>
    </comment>
    <comment ref="BF8" authorId="0" shapeId="0">
      <text>
        <r>
          <rPr>
            <b/>
            <sz val="9"/>
            <color indexed="81"/>
            <rFont val="Tahoma"/>
            <family val="2"/>
          </rPr>
          <t>HACE REFERENCIA AL REGISTRO PRESUPUESTAL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COHERENCIA ENTRE LA EJECUCIÓN PRESUPUESTAL Y EL CUMPLIMIENTO DE LAS METAS</t>
        </r>
      </text>
    </comment>
  </commentList>
</comments>
</file>

<file path=xl/comments2.xml><?xml version="1.0" encoding="utf-8"?>
<comments xmlns="http://schemas.openxmlformats.org/spreadsheetml/2006/main">
  <authors>
    <author>Luz Marlene Andrade</author>
    <author>kelly</author>
  </authors>
  <commentList>
    <comment ref="L2" authorId="0" shapeId="0">
      <text>
        <r>
          <rPr>
            <b/>
            <sz val="9"/>
            <color indexed="81"/>
            <rFont val="Tahoma"/>
            <charset val="1"/>
          </rPr>
          <t>Luz Marlene Andrade:</t>
        </r>
        <r>
          <rPr>
            <sz val="9"/>
            <color indexed="81"/>
            <rFont val="Tahoma"/>
            <charset val="1"/>
          </rPr>
          <t xml:space="preserve">
Corresponde a lo programado según plan indicativo, más lo alcanzado o rezagado en las vigencias anteriores (2020-2021) </t>
        </r>
      </text>
    </comment>
    <comment ref="AG2" authorId="0" shapeId="0">
      <text>
        <r>
          <rPr>
            <b/>
            <sz val="9"/>
            <color indexed="81"/>
            <rFont val="Tahoma"/>
            <charset val="1"/>
          </rPr>
          <t>Luz Marlene Andrade:</t>
        </r>
        <r>
          <rPr>
            <sz val="9"/>
            <color indexed="81"/>
            <rFont val="Tahoma"/>
            <charset val="1"/>
          </rPr>
          <t xml:space="preserve">
Corresponde al avance de la actividad en el proyecto</t>
        </r>
      </text>
    </comment>
    <comment ref="AJ2" authorId="0" shapeId="0">
      <text>
        <r>
          <rPr>
            <b/>
            <sz val="9"/>
            <color indexed="81"/>
            <rFont val="Tahoma"/>
            <charset val="1"/>
          </rPr>
          <t>Luz Marlene Andrade:</t>
        </r>
        <r>
          <rPr>
            <sz val="9"/>
            <color indexed="81"/>
            <rFont val="Tahoma"/>
            <charset val="1"/>
          </rPr>
          <t xml:space="preserve">
Indicar si la actividad se financia con:
1. Inversión
2. Funcionamiento
3. Otros Recursos</t>
        </r>
      </text>
    </comment>
    <comment ref="AL2" authorId="0" shapeId="0">
      <text>
        <r>
          <rPr>
            <b/>
            <sz val="9"/>
            <color indexed="81"/>
            <rFont val="Tahoma"/>
            <charset val="1"/>
          </rPr>
          <t>Luz Marlene Andrade:</t>
        </r>
        <r>
          <rPr>
            <sz val="9"/>
            <color indexed="81"/>
            <rFont val="Tahoma"/>
            <charset val="1"/>
          </rPr>
          <t xml:space="preserve">
1. Recursos Propios - ICLD
2. SGP
3. Donaciones
</t>
        </r>
      </text>
    </comment>
    <comment ref="N33" authorId="1" shapeId="0">
      <text>
        <r>
          <rPr>
            <b/>
            <sz val="9"/>
            <color indexed="81"/>
            <rFont val="Tahoma"/>
            <charset val="1"/>
          </rPr>
          <t>kelly:</t>
        </r>
        <r>
          <rPr>
            <sz val="9"/>
            <color indexed="81"/>
            <rFont val="Tahoma"/>
            <charset val="1"/>
          </rPr>
          <t xml:space="preserve">
REPONSABLE DE LA META SECRETARIA DE PLANEACION</t>
        </r>
      </text>
    </comment>
  </commentList>
</comments>
</file>

<file path=xl/sharedStrings.xml><?xml version="1.0" encoding="utf-8"?>
<sst xmlns="http://schemas.openxmlformats.org/spreadsheetml/2006/main" count="648" uniqueCount="297">
  <si>
    <t>X</t>
  </si>
  <si>
    <t>Coherencia entre el proyecto y la meta producto del programa</t>
  </si>
  <si>
    <t>Sustentar en caso negativo</t>
  </si>
  <si>
    <t>% ejecutado</t>
  </si>
  <si>
    <t>Análisis</t>
  </si>
  <si>
    <t>Valor asignado según PREDIS</t>
  </si>
  <si>
    <t>Rubro presupuestal</t>
  </si>
  <si>
    <t>Fuente de Financiación</t>
  </si>
  <si>
    <t>Valor asignado según Predis</t>
  </si>
  <si>
    <t>Diferencia en la programacion de las actividades</t>
  </si>
  <si>
    <t>Fecha de inicio de la actividad</t>
  </si>
  <si>
    <t>Fecha final de la actividad</t>
  </si>
  <si>
    <t>Objetivo</t>
  </si>
  <si>
    <t>Actividades</t>
  </si>
  <si>
    <t>Proyecto</t>
  </si>
  <si>
    <t>Pilar</t>
  </si>
  <si>
    <t>Linea estrategica</t>
  </si>
  <si>
    <t>Programa</t>
  </si>
  <si>
    <t>Meta producto</t>
  </si>
  <si>
    <t>Meta programada para 2022</t>
  </si>
  <si>
    <t>Avance meta producto 2022</t>
  </si>
  <si>
    <t>Avance meta producto en el cuatrienio (%)</t>
  </si>
  <si>
    <t>Codigo BPIN</t>
  </si>
  <si>
    <t>Si</t>
  </si>
  <si>
    <t>No</t>
  </si>
  <si>
    <t>Presupuesto Programa</t>
  </si>
  <si>
    <t>Presupuesto Proyecto</t>
  </si>
  <si>
    <t>Definitivo ($)</t>
  </si>
  <si>
    <t>Comprometido ($)</t>
  </si>
  <si>
    <t>Girado ($)</t>
  </si>
  <si>
    <t>Evaluación</t>
  </si>
  <si>
    <t>PREDIS 3 Trimestre 2022</t>
  </si>
  <si>
    <t>PREDIS 1 Trimestre 2022</t>
  </si>
  <si>
    <t>PREDIS 2 Trimestre 2022</t>
  </si>
  <si>
    <t>Información de PREDIS</t>
  </si>
  <si>
    <t>Evaluación Ejecución de Actividades</t>
  </si>
  <si>
    <t>Información Plan de Acción</t>
  </si>
  <si>
    <t>Ejecución de la meta producto  de acuerdo al avance del proyecto (%)</t>
  </si>
  <si>
    <t>Evaluación y seguimiento</t>
  </si>
  <si>
    <t>Avance de las actividades (%)</t>
  </si>
  <si>
    <t xml:space="preserve">Diferencia presupuestal entre PREDIS Y SUIFP por proyecto </t>
  </si>
  <si>
    <t>Eficiencia recursos de inversión (SI/NO)</t>
  </si>
  <si>
    <t>Diferencia entre la ejecución del proyecto (lo girado en %) y el presupuesto ejecutado del proyecto (el avnnce del proyecto)</t>
  </si>
  <si>
    <t>Porcentaje de Participación de la Actividad (%)</t>
  </si>
  <si>
    <t>Valor Absoluto de la Actividad (Valor Meta Programada)</t>
  </si>
  <si>
    <t>Coherencia de Programacion de las Actividades con la Meta Producto</t>
  </si>
  <si>
    <t>Existe Evidencia en la Ejecución de la Actividad</t>
  </si>
  <si>
    <t>Las evidencias son Soportes de las Actividades</t>
  </si>
  <si>
    <t>Cumplió la Actividad con el Plazo</t>
  </si>
  <si>
    <t>Ejecución de la Actividad (%) Según Evidencias</t>
  </si>
  <si>
    <t>Ejecución del proyecto de acuerdo a la ejecución de actividades según Evidencias</t>
  </si>
  <si>
    <t>Diferencia metas plan de acción / Evidencias (%)</t>
  </si>
  <si>
    <t>Avance meta producto 2022 (%)</t>
  </si>
  <si>
    <t>Dias de duracion de la actividad</t>
  </si>
  <si>
    <t>Proyecto según SUIFP</t>
  </si>
  <si>
    <t>Proyecto plan de acción</t>
  </si>
  <si>
    <t>Actividades del proyecto</t>
  </si>
  <si>
    <t>Valor asignado según SUIFP</t>
  </si>
  <si>
    <t>PREDIS 4 Trimestre 2022</t>
  </si>
  <si>
    <t>SI</t>
  </si>
  <si>
    <t>NO</t>
  </si>
  <si>
    <t>ALCALDÍA DISTRITAL DE CARTAGENA DE INDIAS</t>
  </si>
  <si>
    <t xml:space="preserve">Código: </t>
  </si>
  <si>
    <t>MACROPROCESO:EVALUACIÓN Y CONTROL DE LA GESTIÓN PÚBLICA</t>
  </si>
  <si>
    <t xml:space="preserve">Versión: </t>
  </si>
  <si>
    <t>PROCESO: EVALUACIÓN INDEPENDIENTE</t>
  </si>
  <si>
    <t>Fecha:</t>
  </si>
  <si>
    <t xml:space="preserve">Páginas:  </t>
  </si>
  <si>
    <t>MATRIZ DE EVALUACIÓN PLAN DE ACCIÓN</t>
  </si>
  <si>
    <t>CARTAGENA RESILIENTE</t>
  </si>
  <si>
    <t>DESARROLLO URBANO</t>
  </si>
  <si>
    <t>SALVEMOS JUNTOS NUESTRO PATRIMONIO NATURAL</t>
  </si>
  <si>
    <t>EJE TRANSVERSAL: CARTAGENA CON ATENCION Y GARANTIA DE DERECHOS A POBLACIÓN DIFERENCIAL.</t>
  </si>
  <si>
    <t>CARTAGENA SE MUEVE</t>
  </si>
  <si>
    <t>SISTEMA HIDRICO Y PLAN MAESTRO DE ALCANTARILLADO PLUVIAL EN LA CIUDAD PARA SALVAR EL HABITAD</t>
  </si>
  <si>
    <t>PROGRAMA INTEGRAL DE CAÑOS, LAGOS Y CIENAGAS DE CARTAGENA</t>
  </si>
  <si>
    <t>ORDENACIÓN TERRITORIAL, RECUPERACIÓN SOCIAL, AMBIENTAL Y URBANA DE LA CIÉNAGA DE LA VIRGEN</t>
  </si>
  <si>
    <t>PROMOCION, PREVENCION Y ATENCION EN SALUD PARA LA POBLACIÓN NEGRA, AFROCOLOMBIANA, RAIZAL Y PALENQUERA EN EL DISTRITO DE CARTAGENA</t>
  </si>
  <si>
    <t>CONSTRUIR, REHABILITAR Y/O MEJROAR 32 KILOMETROS CARRIL URBANAS Y RURALES</t>
  </si>
  <si>
    <t>ELABORAR 8 ESTUDIOS, DISEÑOS DE INGENIERIA DE DETALLES DE LOS TRAMOS FALTANTES</t>
  </si>
  <si>
    <t xml:space="preserve">REALIZAR HASTA 8 OBRAS CONTINGENTES  DERIVADAS DE SENTENCIAS JUDICIALES Y OBRAS DE EMERGENCIA EN INFRAESTRUCTURA DIFERENTES A VIAS </t>
  </si>
  <si>
    <t>RETIRAR 520.212 METROS CUBICOS DE RESIDUOS SOLIDOS DE LOS CANALES PLUVIALES</t>
  </si>
  <si>
    <t>CONSTRUIR Y/O RECTIFICAR 6.3 KM, HASTA ALCALZAR 10.3 KILOMETROS LINEALES DE CANALES</t>
  </si>
  <si>
    <t>EJECUCION 20% DE LA ETAPA 1 (CON IMPACTO DE INDICADORES COMO METROS LINEALES DE CAÑOS Y LAGUNAS INTERVENIDOS CON RELIMPIAS Y DRAGADOS; RUTA DE TRANSPORTE ACUATICO IMPLEMENTADA; M2 DE ESPACIO PUBLICO Y METROS LINEALES DE VIAS Y PUENTES INTERVENIDOS Y/O GENERADOS; ESTUDIO SOCIECONOMICOS DEL TERRITORIO)</t>
  </si>
  <si>
    <t>ESTUDIOS Y DISEÑOS AJUSTADOS PARA LA CONSTRUCCION 14,2 KM DEL TRAMO ESTE DE LA VIA PERIMETRAL CON CALLES DE SERVICIO Y ACCESO</t>
  </si>
  <si>
    <t>REHABILITAR 3,5 KILOMETROS CANALES SECUNDARIOS</t>
  </si>
  <si>
    <t>CONSTRUIR 7 KILOMETROS DE CANALES BAJO CALLE</t>
  </si>
  <si>
    <t>ADECUACION DE 26 CENTROS DE SALUD EN TERRIORIOS DE CONSEJOS COMUNITARIOS</t>
  </si>
  <si>
    <t>0.01</t>
  </si>
  <si>
    <t>ESTUDIOS Y DISEÑOS CONSTRUCCION, MEJORAMIENTO Y REHABILITACION DE VIAS PARA EL TRANSPORTE Y LA MOVILIDAD EN EL DISTRITO DE CARTAGENA</t>
  </si>
  <si>
    <t>MEJORAR LOS NIVELES DE MOVILIDAD EN EL TRÁNSITO VEHICULAR EN EL DISTRITO DE CARTAGENA DE INDIAS.</t>
  </si>
  <si>
    <t>REALIZAR MEJORAMIENTO, CONSTRUCCION, REHABILITACION DE VIAS PARA OBRAS DEL SECTOR TRANSPORTE EN EL DISTRITO DE CARTAGENA DE INDIAS</t>
  </si>
  <si>
    <t>REALIZAR ESTUDIOS Y DISEÑOS DE INGENIERIA</t>
  </si>
  <si>
    <t>PERSONAL DE APOYO</t>
  </si>
  <si>
    <t>REALIZAR APOYO LOGISTICO</t>
  </si>
  <si>
    <t>ESTUDIOS TECNICOS, DISEÑOS Y OBRAS CONTINGENTES DERIVADAS DE SENTENCIAS JUDICIALES Y OBRAS DE EMERGENCIA EN INFRESTRUCTURA DIFERENTES A VIAS EN EL DISTRITO DE CARTAGENA DE INDIAS</t>
  </si>
  <si>
    <t>REALIZAR INVERSIÓN EN OBRAS DE INFRAESTRUCTURA CONTINGENTES Y DE EMERGENCIA DERIVADAS DE SENTENCIAS JUDICIALES DIFERENTES A VÍAS EN EL DISTRITO DE CARTAGENA DE INDIAS.</t>
  </si>
  <si>
    <t>REALIZAR OBRAS DE INFRAESTRUCTURA DE SENTENCIAS JUDICIALES DIFERENTES A VIAS</t>
  </si>
  <si>
    <t>CONSTRUCCION RECTIFICACION Y RECUPERACION DEL SISTEMA HIDRICO Y PLAN MAESTRO DE ALCANTARILLADO PLUVIAL PARA
SALVAR EL HABITAT EN EL DISTRITO DE CARTAGENA DE INDIAS</t>
  </si>
  <si>
    <t>MEJORAR LA CAPACIDAD HIDRICA Y DISMINUIR LOS ALTOS NIVELES DE CONTAMINACIÓN DEL SISTEMA HIDRICO Y CANALES PLUVIALES DEL DISTRITO DE CARTAGENA DE INDIAS</t>
  </si>
  <si>
    <t>REALIZAR LIMPIEZA INICIAL DE CANALES Y DISPOSICION DE MATERIAL EN RELLENO SANITARIO</t>
  </si>
  <si>
    <t>REALIZAR REHABILITACION Y/O RECTIFICACION DE LOS CANALES DEL
DISTRITO DE CARTAGENA DE INDIAS.</t>
  </si>
  <si>
    <t>VINCULAR PERSONAL DE APOYO</t>
  </si>
  <si>
    <t>RECUPERACION Y APROVECHAMIENTO INTEGRAL DEL SISTEMA INTEGRAL DE CAÑOS, LAGOS Y CIENAGAS DEL DISTRITO DE CARTAGENA DE INDIAS</t>
  </si>
  <si>
    <t>APROVECHAR DE MANERA EFICIENTE LOS CUERPOS DE AGUA (CAÑOS, LAGOS Y CIÉNAGAS DEL DISTRITO DE CARTAGENA.</t>
  </si>
  <si>
    <t>EJECUTAR EL 20% DE LA ETAPA 1 DEL PROGRAMA</t>
  </si>
  <si>
    <t>CONTRATAR PERSONAL DE APOYO</t>
  </si>
  <si>
    <t>ELABORACIÓN DE ESTUDIOS Y DISEÑOS AJUSTADOS DE LA VÍA PERIMETRAL EN EL MARCO DEL PROGRAMA ORDENACIÓN TERRITORIAL Y RECUPERACIÓN SOCIAL, AMBIENTAL Y URBANA DE LA CIÉNAGA DE LA VIRGEN, EN EL DISTRITO DE CARTAGENA DE INDIAS.</t>
  </si>
  <si>
    <t>Mejorar las condiciones para el desarrollo urbano, turístico, social y la recuperación ambiental del borde de la Ciénaga de la Virgen.</t>
  </si>
  <si>
    <t>Adecuación DE CENTROS DE SALUD PARA LA POBLACIÓN NEGRA, AFROCOLOMBIANA, RAIZAL Y PALENQUERA EN EL DISTRITO DE Cartagena de Indias</t>
  </si>
  <si>
    <t>ADECUACIÓN DE CENTROS DE SALUD PARA LA POBLACIÓN NEGRA, AFROCOLOMBIANA, RAIZAL Y PALENQUERA EN EL DISTRITO DE CARTAGENA DE INDIAS</t>
  </si>
  <si>
    <t>*REALIZAR PRELIMINARES *REALIZAR MURO DE CERRAMIENTO POSTERIOR Y LATERAL DERECHO. *CONTRATAR PERSONAL DE APOYO</t>
  </si>
  <si>
    <t>246,434,59</t>
  </si>
  <si>
    <t>N/A</t>
  </si>
  <si>
    <t>*REALIZAR ESTUDIOS TECNICOS                                                                  * REALIZAR DISEÑOS.                                                     *CONTRATAR PERSONAL DE APOYO</t>
  </si>
  <si>
    <t>ADECUACIÓN DE CENTROS DE SALUD PARA LA POBLACIÓN
NEGRA AFROCOLOMBIANA RAIZAL Y PALENQUERA EN EL
DISTRITO DE CARTAGENA DE INDIAS</t>
  </si>
  <si>
    <t>ICLD</t>
  </si>
  <si>
    <t>ESTUDIOS Y DISEÑOS, CONSTRUCCION, MEJORAMIENTO Y
REHABILITACION DE VIAS PARA EL TRANSPORTE Y LA
MOVILIDAD EN EL DISTRITO DE CARTAGENA DE INDIAS</t>
  </si>
  <si>
    <t>IMPUESTO DE TRANSPORTE POR
OLEODUCTOS Y GASODUCTOS</t>
  </si>
  <si>
    <t>DIVIDENDOS DE ACUACAR</t>
  </si>
  <si>
    <t>PARTICIPACIONES DISTINTAS DEL SGP -
PLUSVALIA</t>
  </si>
  <si>
    <t>R.F. TASAS AEROPORTUARIAS</t>
  </si>
  <si>
    <t>TASAS AEROPORTUARIAS</t>
  </si>
  <si>
    <t>RB DIVIDENDOS DE ACUACAR</t>
  </si>
  <si>
    <t>RB RECURSOS DE CREDITO INTERNO</t>
  </si>
  <si>
    <t>RB IMPUESTO DE TRANSPORTE POR
OLEODUCTOS Y GASODUCTOS</t>
  </si>
  <si>
    <t>R.B. SGP-PROPOSITO GENERAL-PROPOSITO
GENERAL LIBRE INVERSION</t>
  </si>
  <si>
    <t>CONSTRUCCION, RECTIFICACION Y RECUPERACION DEL
SISTEMA HIDRICO Y PLAN MAESTRO DE ALCANTARILLADO
PLUVIAL PARA SALVAR EL HABITAT EN EL DISTRITO DE
CARTAGENA DE INDIAS</t>
  </si>
  <si>
    <t>DIVIDENDOS SOCIEDAD PORTUARIA</t>
  </si>
  <si>
    <t>RB OTRAS TASAS Y DERECHOS
ADMINISTRATIVOS CONTRAPRESTACION PORTUARIA</t>
  </si>
  <si>
    <t>RECUPERACION Y APROVECHAMIENTO INTEGRAL DEL SISTEMA
INTEGRAL DE CAÑOS, LAGOS Y CIENAGAS DEL DISTRITO DE
CARTAGENA DE INDIAS</t>
  </si>
  <si>
    <t>R.B. OTRAS TASAS Y DERECHOS
ADMINISTRATIVOS SOBRETASA ALCANTARILLADO</t>
  </si>
  <si>
    <t>R.B. OTRAS TASAS Y DERECHOS
ADMINISTRATIVOS CONTRAPRESTACION PORTUARIA</t>
  </si>
  <si>
    <t>ELABORACIÓN DE ESTUDIOS Y DISEÑOS AJUSTADOS DE LA VÍA
PERIMETRAL EN EL MARCO DEL PROGRAMA ORDENACIÓN
TERRITORIAL Y RECUPERACIÓN SOCIAL AMBIENTAL Y URBANA
DE LA CIÉNAGA DE LA VIRGEN EN EL DISTRITO DE CARTAGENA
DE INDIAS</t>
  </si>
  <si>
    <t>ESTUDIOS TECNICOS, DISEÑOS Y OBRAS CONTINGENTES
DERIVADAS DE SENTENCIAS JUDICIALES Y OBRAS DE
EMERGENCIA EN INFRAESTRUCTURA DIFERENTES A VIAS EN
EL DISTRITO DE CARTAGENA DE INDIAS</t>
  </si>
  <si>
    <t xml:space="preserve">*REALIZAR PRELIMINARES *REALIZAR MURO DE CERRAMIENTO POSTERIOR Y LATERAL DERECHO. </t>
  </si>
  <si>
    <t>*CONTRATAR PERSONAL DE APOYO</t>
  </si>
  <si>
    <t xml:space="preserve">CONTRATO EN EJECUCION </t>
  </si>
  <si>
    <t>CONTRATO EN PROCESO DE LIQUIDACION</t>
  </si>
  <si>
    <t>SE OBSERVA QUE EL CUMPLIMIENTO DE LA META CON RELACIÓN A LO EJECUTADO CON LO PROYECTADO FUE DEL 95%</t>
  </si>
  <si>
    <t>EN ESTA META LOS RECURSOS NO GIRADOS SON LOS ASIGNADOS A LAS OBRAS PARA ATENDER LA EMERGENCIA INVERNAL DE NOV DEL 2022, LAS CUALES SE ENCUENTRAN EN EJECUCION</t>
  </si>
  <si>
    <t>A ESTA META NO SE ASIGNARON RECURSOS EN LA VIGENCIA 2022</t>
  </si>
  <si>
    <t xml:space="preserve">A ESTA META SE LE INCORPORARÓN RECURSOS EL 20 DE DIECIMBRE DE 2022 LO QUE NO PERMITIO SER COMPROMETIDOS </t>
  </si>
  <si>
    <t>EN ESTA META LOS  RECURSOS FUERON ASIGNADOS A OBRAS DE MITIGACIÓN, LAS CUALES INICIARON S EN NOVIEMBRE DE 2022, A OBRAS CON COMPROMISOS DE VIGENCIAS FUTURAS DONDE SE SUSCRIBIERON CONTRATOS  EN EL MES DE DICIEMBRE DE 2022, RAZON POR LA CUAL NO SE HAN REALIZADO PAGOS</t>
  </si>
  <si>
    <t xml:space="preserve">SE  OBSERVA QUE EL CUMPLIMIENTO DE LA META CON RELACIÓN A LO EJECUTADO CON LO PROYECTADO FUE DEL 100% </t>
  </si>
  <si>
    <t xml:space="preserve">SE  OBSERVA QUE EL CUMPLIMIENTO DE LA META CON RELACIÓN A LO EJECUTADO CON LO PROYECTADO FUE DEL 97% </t>
  </si>
  <si>
    <t>LOS  RECURSOS NO GIRADOS A ESTA META CONSTITUYEN,  EL SALDO PENDIENTE DE PAGO DE UN CONTRATO EN PROCESO DE FINALIZACION</t>
  </si>
  <si>
    <t>LOS RECURSOS NO GIRADOS A ESTA META SE  ASIGNADOS A LAS OBRAS PARA ATENDER LA EMERGENCIA INVERNAL DE NOV DEL 2022, LAS CUALES SE ENCUENTRAN EN EJECUCION</t>
  </si>
  <si>
    <t>SE OBSERVA QUE EL CUMPLIMIENTO DE LA META CON RELACIÓN A LO EJECUTADO CON LO PROYECTADO FUE DEL 92%</t>
  </si>
  <si>
    <t>LOS RECURSOS, NO GIRADOS A ESTA META CORRESPONDEN A UN CONTRATO ADICIONAL SUSCRITO EN DIC, EL CUAL SE ENCUENTRA EN EJECUCION</t>
  </si>
  <si>
    <t>SE OBSERVA QUE EL CUMPLIMIENTO DE LA META CON RELACIÓN A LO EJECUTADO CON LO PROYECTADO FUE DEL 98%</t>
  </si>
  <si>
    <t>LOS RECURSOS NO GIRADOS A ESTA META CORRESPONDE A UNA CONCILIACION EN TRAMITE</t>
  </si>
  <si>
    <t>LOS  RECURSOS SIN GIRAR CORRESPONDE A DOS CONTRATOS EN PROCESO DE LIQUIDACION</t>
  </si>
  <si>
    <t>SE DESISTIO DEL PROCESO DE CONTRATACIÓN QUE SE IBA A REALIZAR CON ESTOS RECURSOS.</t>
  </si>
  <si>
    <t>LOS RECUROSOS ASIGNADOS PARA ESTA META PERTENECEN A UN CONTRATO EN EJECUCION, CON AUTORIZACION DE VIGENCIAS FUTURAS</t>
  </si>
  <si>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</si>
  <si>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</si>
  <si>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</si>
  <si>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</si>
  <si>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</si>
  <si>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</si>
  <si>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</si>
  <si>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UNIDAD DE MEDIDA DEL INDICADOR DE PRODUCTO</t>
  </si>
  <si>
    <t>Descripción de la Meta Producto 2020-2023</t>
  </si>
  <si>
    <t>Valor Absoluto de la Meta Producto 2020-2023</t>
  </si>
  <si>
    <t>PROGRAMACIÓN META A 2022</t>
  </si>
  <si>
    <t>ACUMULADO DE META PRODUCTO A MARZO 2022</t>
  </si>
  <si>
    <t>ACUMULADO DE META PRODUCTO A JUNIO 2022</t>
  </si>
  <si>
    <t>ACUMULADO DE META PRODUCTO A SEPTIEMBRE 2022</t>
  </si>
  <si>
    <t>ACUMULADO DE META PRODUCTO A DICIEMBRE 2022</t>
  </si>
  <si>
    <t>AVANCE DEL PROGRAMA EN EL CUATRIENIO</t>
  </si>
  <si>
    <t>PROYECTO</t>
  </si>
  <si>
    <t>Código de proyecto BPIM</t>
  </si>
  <si>
    <t>Objetivo del Proyecto</t>
  </si>
  <si>
    <t>Actividades de Proyecto</t>
  </si>
  <si>
    <t>Valor Absoluto de la Actividad del  Proyecto 2022</t>
  </si>
  <si>
    <t>AVANCE ACTIVIDADES DE PROYECTO A JUNIO 2022</t>
  </si>
  <si>
    <t>AVANCE ACTIVIDADES DE PROYECTO A SEPT 2022</t>
  </si>
  <si>
    <t xml:space="preserve">Fecha de inicio </t>
  </si>
  <si>
    <t xml:space="preserve">Fecha de Terminación </t>
  </si>
  <si>
    <t>Beneficiarios Programados</t>
  </si>
  <si>
    <t>Beneficiarios Cubiertos</t>
  </si>
  <si>
    <t>Porcentaje de avance Actividad Proyecto</t>
  </si>
  <si>
    <t xml:space="preserve">Dependencia Responsable </t>
  </si>
  <si>
    <t>Nombre del Responable</t>
  </si>
  <si>
    <t>Apropiación Definitiva</t>
  </si>
  <si>
    <t>Fuente Presupuestal</t>
  </si>
  <si>
    <t>Rubro Presupuestal</t>
  </si>
  <si>
    <t>Código Presupuestal</t>
  </si>
  <si>
    <t>Ejecucion presupuestal a DICIEMBRE 2022</t>
  </si>
  <si>
    <t>Porcentaje de avance de ejecucion presupuestal a DICIEMBRE 2022</t>
  </si>
  <si>
    <t>¿Requiere contratación?</t>
  </si>
  <si>
    <t>Tipo de Contración</t>
  </si>
  <si>
    <t>Fecha de Inicio Contratación</t>
  </si>
  <si>
    <t>Observación</t>
  </si>
  <si>
    <t>% DE COBERTURA DE VIAS URBANAS Y RURALES PARA EL TRANSPORTE Y LA MOVILIDAD CONSTRUIDAS, REHABILITADAS O MEJORADAS EN LA CIUDAD DE CARTAGENA</t>
  </si>
  <si>
    <t>LLEVAR AL 74% EL PORCENTAJE DE COBERTURA DE LAS VIAS URBANAS Y RURALES</t>
  </si>
  <si>
    <t>KILOMETROS CARRIL DE VIAS URBANAS Y RURALES CONSTRUIDOS, REHABILITADOS Y/O MEJORADOS</t>
  </si>
  <si>
    <t>KILOMETROS CARRIL</t>
  </si>
  <si>
    <t>ENERO</t>
  </si>
  <si>
    <t>DICIEMBRE</t>
  </si>
  <si>
    <t>SECRETARIA DE INFRAESTRUCTURA</t>
  </si>
  <si>
    <t>LUIS ALBERTO VILLADIEGO CARCAMO</t>
  </si>
  <si>
    <t>INVERSION</t>
  </si>
  <si>
    <t>02-001-06-00-00-00-179-202</t>
  </si>
  <si>
    <t>02-062-06-00-00-00-179-202</t>
  </si>
  <si>
    <t>02-124-06-00-00-00-179-202</t>
  </si>
  <si>
    <t>GRACIAS A LA CONTRATACION DE PROFESIONALES ESPECIALIZADOS Y PERSONAL DE TOPOGRAFIAS LA SECRETARIA DE INFRAESTRUCTURA LOGRO LA ELABORACION DE LOS ESTUDIOS: VILLA ESTRELLA CALLE XXX VILLA ESTRELLA CALLE XXX VILLA ESTRELLA CALLE XXX Y LAS GAVIOTAS DIAGONAL XXX</t>
  </si>
  <si>
    <t>NUMEROS DE ESTUDIOS, DISEÑOS E INGENIERIAS DE DETALLE DE LOS TRAMOS FALTANTES CON RESPECTO AL TOTAL</t>
  </si>
  <si>
    <t xml:space="preserve">UNIDAD </t>
  </si>
  <si>
    <t>FUNCIONAMIENTO</t>
  </si>
  <si>
    <t>02-177-06-00-00-00-179-202</t>
  </si>
  <si>
    <t>POR MEDIO DEL CONTRATADO BANCO DE MAQUINAS 2021 QUE LLEGO HASTA JULIO DE 2022 SE REALIZARON LA LIMPIEZA DE 6 CANALES DETERMINADAS COMO ACCIONES JUDICIALES PRESENTADAS A ESTA SECRETARIA.</t>
  </si>
  <si>
    <t>02-182-06-00-00-00-179-202</t>
  </si>
  <si>
    <t>02-183-06-00-00-00-179-202</t>
  </si>
  <si>
    <t>02-812-06-00-00-00-179-202</t>
  </si>
  <si>
    <t>02-814-06-00-00-00-179-202</t>
  </si>
  <si>
    <t>02-819-06-00-00-00-179-202</t>
  </si>
  <si>
    <t>DIRECTA</t>
  </si>
  <si>
    <t>02-820-06-00-00-00-179-202</t>
  </si>
  <si>
    <t>02-852-06-00-00-00-179-202</t>
  </si>
  <si>
    <t>02-922-06-00-00-00-179-202</t>
  </si>
  <si>
    <t>02-001-06-00-00-00-351-202</t>
  </si>
  <si>
    <t>NUMEROS DE OBRAS CONTINGENTES DERIVADAS DE SENTENCIAS JUDICIALES Y OBRAS DE EMERGENCIA EN INFRAESTRUCTURA DIFERENTES A VIAS CONTRUIDAS</t>
  </si>
  <si>
    <t>UNIDAD</t>
  </si>
  <si>
    <t>N/D</t>
  </si>
  <si>
    <t>02-124-06-00-00-00-351-202</t>
  </si>
  <si>
    <t>% ESTUDIOS Y DISEÑOS DE LA INGENIERIA DE DETALLE DE LOS CANALES DE LA CIUDAD</t>
  </si>
  <si>
    <t>AUMENTAR EN UN 7.5% HASTA ALCANZAR EL 12.3% DE CONSTRUCCION DE CANALES PLUVIALES DE LA CIUDAD</t>
  </si>
  <si>
    <t>METROS CUBICOS DE RESIDUOS SOLIDOS RETIRADOS DE LOS CANALES PLUVIALES RETIDADOS ANUALMENTE</t>
  </si>
  <si>
    <t>METROS CUBICOS</t>
  </si>
  <si>
    <t>226.297.1 METROS CUBICOS</t>
  </si>
  <si>
    <t xml:space="preserve">ICLD                            </t>
  </si>
  <si>
    <t xml:space="preserve">02-001-06-00-00-00-232-202                                                                    </t>
  </si>
  <si>
    <t>CONCURSO</t>
  </si>
  <si>
    <t>BAJO EL CONTRATO XXX REALIZADO POR CARDIQUE, SE REALIZO EL DRAGADO DE LA CIENGA DE LAS QUINTAS, EL CUAL APORTO UN PORCEJATE SIGNIFICATIVO AL AVANCE DE LA META ASIGNADA A ESTA SECRETARIA</t>
  </si>
  <si>
    <t>KILOMETROS LINEALES DE CANALES PLUVIALES CONSTRUIDOS O RECTIFICADOS</t>
  </si>
  <si>
    <t>KILOMETROS LINEALES</t>
  </si>
  <si>
    <t>10,25 KM LINEALES</t>
  </si>
  <si>
    <t xml:space="preserve">                     DIVIDENDOS SOCIEDAD PORTUARIA</t>
  </si>
  <si>
    <t xml:space="preserve">  02-138-06-00-00-00-232-202</t>
  </si>
  <si>
    <t>CON EL CONTRATO BANDO DE MAQUINAS 2021 QUE LLEGO HASTA JULIO DE 2021, SE LOGRO RECTIFICAR EL 0.01 ASIGADO A LA META DEL AÑO 2022 LOGRANDO UN 100%</t>
  </si>
  <si>
    <t>OTRAS TASAS Y DERECHOS ADMINISTRATIVOS CONTRAPRESTACION PORTUARIA</t>
  </si>
  <si>
    <t>02-869-06-00-00-00-232-202</t>
  </si>
  <si>
    <t>CONSTUCCION DE CANALES DE LA CIUDAD</t>
  </si>
  <si>
    <t>AUMENTAR EN UN 9% HASTA ALCANZAR EL 48% DELOS ESTUDIOS Y DISEÑOS DE LA INGENIERIA DE DETALLE DE LOS CANALES DE LA CIUDAD</t>
  </si>
  <si>
    <t>AVANZAR EN LA EJECUCION DE LA ETAPA 1 DEL PROGRAMA INTEGRAL DE CANALES, CAÑOS, LAGOS, LAGUNAS Y CIENAGAS DE CARTAGENA</t>
  </si>
  <si>
    <t>PORCENTAJE</t>
  </si>
  <si>
    <t>0% EJECUCION</t>
  </si>
  <si>
    <t xml:space="preserve">02-001-06-00-00-00-234-202                                                                           </t>
  </si>
  <si>
    <t>LOS RECUROSOS ASIGNADOS PARA ESTA META PERTENECEN A DOS CONTRATOS EN EJECUCION, CON AUTORIZACION DE VIGENCIAS FUTURAS.</t>
  </si>
  <si>
    <t>PLAN DE ORDENAMIENTO TERRITORIAL</t>
  </si>
  <si>
    <t>EJECUTAR 100% LAS ESTRATEGIAS DEL PLAN DE NORMALIZACION URBANISTICA</t>
  </si>
  <si>
    <t>ESTUDIOS Y DISEÑOS AJUSTADOS PARA LA CONSTRUCCION DEL TRAMO ESTE DE LA VIA PERIMETRAL CON CALLES DE SERVICIO Y ACCESO</t>
  </si>
  <si>
    <t>3.4 KILOMETROS CONSTRUIDOS</t>
  </si>
  <si>
    <t xml:space="preserve">*REALIZAE ESTUDIOS TECNICOS,                       * REALIZAR DISEÑOS. </t>
  </si>
  <si>
    <t xml:space="preserve">02-001-06-00-00-00-308-202                                                                               </t>
  </si>
  <si>
    <t>dinero usado para personal de apoyo en la ejecucion de proyecto</t>
  </si>
  <si>
    <t>KILOMETROS DE CANBALES SECUNDARIOS REHABILITADOS</t>
  </si>
  <si>
    <t>KILOMETROS DE CANALES</t>
  </si>
  <si>
    <t xml:space="preserve">  02-138-06-00-00-00-308-202</t>
  </si>
  <si>
    <t>KILOMETROS DE CANALES BAJO CALLE CONSTRUIDOS</t>
  </si>
  <si>
    <t>PORCENTAJE DE LA POBLACION AFRO, NEGRA, RAIZAL, PALENQUERA E INDIGENA QUE HABIATA EL DISTRITO DE CARTAGENA CON RECONOCIMIENTO DE SUS DERECHOS, DIVERSIDAD ETNICA Y CULTURAL COMO UN PRINCIPIO FUNDAMENTAL DEL ESTADO SOCIAL Y DEMOCRATICO DE DERECHO.</t>
  </si>
  <si>
    <t>ND</t>
  </si>
  <si>
    <t>LOGRAR QUE EL 100% LA POBLACION AFRO, NEGRA, RAIZAL, PALENQUERA E INDIGENA QUE HABIATA EL DISTRITO DE CARTAGENA CON RECONOCIMIENTO DE SUS DERECHOS, DIVERSIDAD ETNICA Y CULTURAL COMO UN PRINCIPIO FUNDAMENTAL DEL ESTADO SOCIAL Y DEMOCRATICO DE DERECHO.</t>
  </si>
  <si>
    <t>ADECUACION DE CENTROS DE SALUD COMUNIDAD ETNICA</t>
  </si>
  <si>
    <t>*REALIZAR PRELIMINARES *REALIZAR MURO DE CERRAMIENTO POSTERIOR Y LATERAL DERECHO.</t>
  </si>
  <si>
    <t>02-001-06-00-00-00-141-202</t>
  </si>
  <si>
    <t>SE CONTRATO LA ACECUACIONES DE LOS CENTRO DE SALUD DE TIERRA BAJA Y MANZANILLO, ADEMAS DE EL APORTE REALIZADO POR LA ESE EN LA ADECUACIONES DE 3 CENTROS DE SALUD.</t>
  </si>
  <si>
    <t>SEGUIMIENTO PLAN DE ACCION
SECRETARIA DE INFRAESTRUCTURA
DICIEMBRE 31 2022</t>
  </si>
  <si>
    <t>Línea Base 2019 
Según PDD</t>
  </si>
  <si>
    <t>ACUMULADO META PRODUCTO 
 DIC 2021</t>
  </si>
  <si>
    <t>Apropiación Definitiva
(en pesos)</t>
  </si>
  <si>
    <t>Ejecucion presupuestal a Marzo 2022</t>
  </si>
  <si>
    <t>Ejecucion presupuestal a Junio 2022</t>
  </si>
  <si>
    <t xml:space="preserve"> DIVIDENDOS SOCIEDAD PORTUARIA</t>
  </si>
  <si>
    <t>% DE CUMPLIMIENTO DE META PRODUCTO 2022</t>
  </si>
  <si>
    <t>% DE CUMPLIEMIENTO DE ACTIVIDAD</t>
  </si>
  <si>
    <t>AVANZAR EN LA EJECUCION DE  PROGRAMA  SE MUEVE CARTAGENA</t>
  </si>
  <si>
    <t>AVANCE ACTIVIDADES DE PROYECTO A DICIEMBRE 2022</t>
  </si>
  <si>
    <t>AVANCE PROGRAMA INTEGRAL DE CAÑOS LAGOS Y CIENEGAS DE CARTAGENA</t>
  </si>
  <si>
    <t>1.3.1.1.03-138</t>
  </si>
  <si>
    <t>R.B. RECURSOS DE CREDITO INTERNO</t>
  </si>
  <si>
    <t xml:space="preserve">1.3.3.11.05-91-018 </t>
  </si>
  <si>
    <t>R.B. OTRAS TASAS Y DERECHOS ADMINISTRATIVOS SOBRETASA ALCANTARILLADO</t>
  </si>
  <si>
    <t xml:space="preserve">1.3.3.4.16-95-002 </t>
  </si>
  <si>
    <t xml:space="preserve">AVANCE EJECUCION DE LINEA ESTRATEGICA DESARROLLO URBANO EN LA S.I </t>
  </si>
  <si>
    <t xml:space="preserve">AVANCE EJECUCION DE LINEA ESTRATEGICA SALVAEMOS JUNTOS NUESTRO PATRIMONIO NATURAL  EN LA S.I </t>
  </si>
  <si>
    <t>RECURSOS ASIGNADOS DEFINITIVOS</t>
  </si>
  <si>
    <t>RECURSOS EJECUTADO</t>
  </si>
  <si>
    <t>PORCENTAJES DE EJECUCION PRESUPSUTAL (GIROS)</t>
  </si>
  <si>
    <t>EJECUCIONFISICA/FINANCIERA</t>
  </si>
  <si>
    <t>PROGRAMAS AÑO</t>
  </si>
  <si>
    <t>RESULTADOS GESTION AÑO 2022</t>
  </si>
  <si>
    <t xml:space="preserve">PORCENTAJE DE EJECUCION FISICA </t>
  </si>
  <si>
    <t>proyecto con vigencia futura</t>
  </si>
  <si>
    <t>los recursos estan en contratos en vigencia futura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</si>
</sst>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\ * #,##0.00_-;\-&quot;$&quot;\ * #,##0.00_-;_-&quot;$&quot;\ * &quot;-&quot;??_-;_-@_-"/>
    <numFmt numFmtId="165" formatCode="0;[Red]0"/>
    <numFmt numFmtId="166" formatCode="_-&quot;$&quot;\ * #,##0_-;\-&quot;$&quot;\ * #,##0_-;_-&quot;$&quot;\ * &quot;-&quot;??_-;_-@_-"/>
    <numFmt numFmtId="167" formatCode="dd/mm/yyyy;@"/>
    <numFmt numFmtId="168" formatCode="_-&quot;$&quot;\ * #,##0_-;\-&quot;$&quot;\ * #,##0_-;_-&quot;$&quot;\ * &quot;-&quot;_-;_-@_-"/>
    <numFmt numFmtId="169" formatCode="0.0"/>
    <numFmt numFmtId="170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9"/>
      <color theme="1" tint="4.9989318521683403E-2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8"/>
      <color theme="1" tint="4.9989318521683403E-2"/>
      <name val="Arial"/>
      <family val="2"/>
    </font>
    <font>
      <b/>
      <sz val="11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Arial"/>
      <family val="2"/>
    </font>
    <font>
      <sz val="14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9" fontId="7" fillId="0" borderId="3" xfId="1" applyFont="1" applyFill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166" fontId="0" fillId="0" borderId="3" xfId="2" applyNumberFormat="1" applyFont="1" applyFill="1" applyBorder="1" applyAlignment="1">
      <alignment horizontal="center" vertical="center"/>
    </xf>
    <xf numFmtId="164" fontId="0" fillId="0" borderId="3" xfId="2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3" xfId="2" applyNumberFormat="1" applyFont="1" applyFill="1" applyBorder="1" applyAlignment="1">
      <alignment horizontal="center" vertical="center" wrapText="1"/>
    </xf>
    <xf numFmtId="164" fontId="0" fillId="0" borderId="3" xfId="2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9" fontId="0" fillId="0" borderId="32" xfId="0" applyNumberFormat="1" applyBorder="1" applyAlignment="1">
      <alignment horizontal="center" vertical="center"/>
    </xf>
    <xf numFmtId="9" fontId="0" fillId="0" borderId="32" xfId="1" applyFont="1" applyFill="1" applyBorder="1" applyAlignment="1">
      <alignment horizontal="center" vertical="center"/>
    </xf>
    <xf numFmtId="166" fontId="0" fillId="0" borderId="32" xfId="2" applyNumberFormat="1" applyFont="1" applyFill="1" applyBorder="1" applyAlignment="1">
      <alignment horizontal="center" vertical="center"/>
    </xf>
    <xf numFmtId="164" fontId="0" fillId="0" borderId="32" xfId="2" applyFont="1" applyFill="1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2" xfId="2" applyNumberFormat="1" applyFont="1" applyFill="1" applyBorder="1" applyAlignment="1">
      <alignment horizontal="center" vertical="center" wrapText="1"/>
    </xf>
    <xf numFmtId="164" fontId="0" fillId="0" borderId="32" xfId="2" applyFont="1" applyFill="1" applyBorder="1" applyAlignment="1">
      <alignment horizontal="center" vertical="center"/>
    </xf>
    <xf numFmtId="9" fontId="7" fillId="0" borderId="14" xfId="1" applyFont="1" applyFill="1" applyBorder="1" applyAlignment="1">
      <alignment horizontal="center" vertical="center"/>
    </xf>
    <xf numFmtId="167" fontId="7" fillId="0" borderId="14" xfId="0" applyNumberFormat="1" applyFont="1" applyBorder="1" applyAlignment="1">
      <alignment horizontal="center" vertical="center"/>
    </xf>
    <xf numFmtId="9" fontId="8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/>
    </xf>
    <xf numFmtId="9" fontId="0" fillId="0" borderId="14" xfId="1" applyFont="1" applyFill="1" applyBorder="1" applyAlignment="1">
      <alignment horizontal="center" vertical="center"/>
    </xf>
    <xf numFmtId="166" fontId="0" fillId="0" borderId="14" xfId="2" applyNumberFormat="1" applyFont="1" applyFill="1" applyBorder="1" applyAlignment="1">
      <alignment horizontal="center" vertical="center"/>
    </xf>
    <xf numFmtId="164" fontId="0" fillId="0" borderId="14" xfId="2" applyFon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14" xfId="2" applyNumberFormat="1" applyFont="1" applyFill="1" applyBorder="1" applyAlignment="1">
      <alignment horizontal="center" vertical="center" wrapText="1"/>
    </xf>
    <xf numFmtId="164" fontId="0" fillId="0" borderId="14" xfId="2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41" fontId="7" fillId="0" borderId="32" xfId="3" applyFont="1" applyFill="1" applyBorder="1" applyAlignment="1">
      <alignment horizontal="center" vertical="center"/>
    </xf>
    <xf numFmtId="41" fontId="7" fillId="0" borderId="3" xfId="3" applyFont="1" applyFill="1" applyBorder="1" applyAlignment="1">
      <alignment horizontal="center" vertical="center"/>
    </xf>
    <xf numFmtId="41" fontId="7" fillId="0" borderId="14" xfId="3" applyFont="1" applyFill="1" applyBorder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9" fontId="0" fillId="0" borderId="3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9" fontId="15" fillId="0" borderId="3" xfId="0" applyNumberFormat="1" applyFont="1" applyBorder="1" applyAlignment="1">
      <alignment vertical="center"/>
    </xf>
    <xf numFmtId="9" fontId="15" fillId="0" borderId="3" xfId="0" applyNumberFormat="1" applyFont="1" applyBorder="1" applyAlignment="1">
      <alignment horizontal="center" vertical="center"/>
    </xf>
    <xf numFmtId="9" fontId="15" fillId="0" borderId="8" xfId="0" applyNumberFormat="1" applyFont="1" applyBorder="1" applyAlignment="1">
      <alignment horizontal="center" vertical="center"/>
    </xf>
    <xf numFmtId="9" fontId="0" fillId="8" borderId="3" xfId="1" applyFont="1" applyFill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9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3" xfId="0" applyBorder="1"/>
    <xf numFmtId="0" fontId="14" fillId="8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6" fontId="0" fillId="0" borderId="7" xfId="2" applyNumberFormat="1" applyFont="1" applyFill="1" applyBorder="1" applyAlignment="1">
      <alignment horizontal="center" vertical="center"/>
    </xf>
    <xf numFmtId="9" fontId="0" fillId="0" borderId="7" xfId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 wrapText="1"/>
    </xf>
    <xf numFmtId="9" fontId="7" fillId="0" borderId="43" xfId="1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9" fontId="7" fillId="0" borderId="34" xfId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9" fontId="20" fillId="0" borderId="34" xfId="0" applyNumberFormat="1" applyFont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center"/>
    </xf>
    <xf numFmtId="9" fontId="15" fillId="8" borderId="3" xfId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9" fontId="0" fillId="8" borderId="3" xfId="0" applyNumberForma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 wrapText="1"/>
    </xf>
    <xf numFmtId="166" fontId="0" fillId="8" borderId="32" xfId="2" applyNumberFormat="1" applyFont="1" applyFill="1" applyBorder="1" applyAlignment="1">
      <alignment horizontal="center" vertical="center"/>
    </xf>
    <xf numFmtId="166" fontId="0" fillId="8" borderId="3" xfId="2" applyNumberFormat="1" applyFont="1" applyFill="1" applyBorder="1" applyAlignment="1">
      <alignment horizontal="center" vertical="center"/>
    </xf>
    <xf numFmtId="166" fontId="0" fillId="8" borderId="14" xfId="2" applyNumberFormat="1" applyFont="1" applyFill="1" applyBorder="1" applyAlignment="1">
      <alignment horizontal="center" vertical="center"/>
    </xf>
    <xf numFmtId="166" fontId="0" fillId="8" borderId="7" xfId="2" applyNumberFormat="1" applyFont="1" applyFill="1" applyBorder="1" applyAlignment="1">
      <alignment horizontal="center" vertical="center"/>
    </xf>
    <xf numFmtId="0" fontId="0" fillId="8" borderId="0" xfId="0" applyFill="1"/>
    <xf numFmtId="164" fontId="0" fillId="0" borderId="0" xfId="0" applyNumberFormat="1"/>
    <xf numFmtId="0" fontId="0" fillId="0" borderId="3" xfId="0" applyBorder="1" applyAlignment="1">
      <alignment wrapText="1"/>
    </xf>
    <xf numFmtId="0" fontId="5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 wrapText="1"/>
    </xf>
    <xf numFmtId="1" fontId="13" fillId="8" borderId="3" xfId="0" applyNumberFormat="1" applyFont="1" applyFill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8" borderId="8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0" fillId="0" borderId="7" xfId="2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9" fontId="0" fillId="8" borderId="8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2" xfId="0" applyBorder="1"/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165" fontId="12" fillId="0" borderId="8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3" fillId="0" borderId="8" xfId="0" applyNumberFormat="1" applyFont="1" applyFill="1" applyBorder="1" applyAlignment="1">
      <alignment horizontal="center" vertical="center" wrapText="1"/>
    </xf>
    <xf numFmtId="168" fontId="12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0" fillId="7" borderId="3" xfId="2" applyFont="1" applyFill="1" applyBorder="1" applyAlignment="1">
      <alignment horizontal="left" vertical="center"/>
    </xf>
    <xf numFmtId="9" fontId="0" fillId="0" borderId="3" xfId="1" applyFont="1" applyBorder="1" applyAlignment="1">
      <alignment horizontal="center" vertical="center" wrapText="1"/>
    </xf>
    <xf numFmtId="164" fontId="0" fillId="7" borderId="3" xfId="2" applyFont="1" applyFill="1" applyBorder="1" applyAlignment="1">
      <alignment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4" fontId="0" fillId="0" borderId="3" xfId="2" applyFont="1" applyBorder="1" applyAlignment="1">
      <alignment vertical="center" wrapText="1"/>
    </xf>
    <xf numFmtId="17" fontId="0" fillId="0" borderId="3" xfId="0" applyNumberFormat="1" applyBorder="1"/>
    <xf numFmtId="0" fontId="0" fillId="7" borderId="3" xfId="0" applyFill="1" applyBorder="1" applyAlignment="1">
      <alignment vertical="center" wrapText="1"/>
    </xf>
    <xf numFmtId="164" fontId="0" fillId="7" borderId="3" xfId="2" applyFont="1" applyFill="1" applyBorder="1" applyAlignment="1">
      <alignment horizontal="center" vertical="center" wrapText="1"/>
    </xf>
    <xf numFmtId="1" fontId="0" fillId="8" borderId="8" xfId="0" applyNumberForma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1" fontId="0" fillId="8" borderId="3" xfId="0" applyNumberFormat="1" applyFill="1" applyBorder="1" applyAlignment="1">
      <alignment horizontal="center" vertical="center"/>
    </xf>
    <xf numFmtId="1" fontId="9" fillId="0" borderId="8" xfId="1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 wrapText="1"/>
    </xf>
    <xf numFmtId="170" fontId="0" fillId="0" borderId="3" xfId="0" applyNumberForma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wrapText="1"/>
    </xf>
    <xf numFmtId="9" fontId="9" fillId="0" borderId="3" xfId="0" applyNumberFormat="1" applyFont="1" applyFill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 wrapText="1"/>
    </xf>
    <xf numFmtId="164" fontId="0" fillId="0" borderId="3" xfId="2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2" fontId="0" fillId="8" borderId="3" xfId="0" applyNumberFormat="1" applyFill="1" applyBorder="1" applyAlignment="1">
      <alignment horizontal="center" vertical="center"/>
    </xf>
    <xf numFmtId="169" fontId="0" fillId="8" borderId="3" xfId="0" applyNumberFormat="1" applyFill="1" applyBorder="1" applyAlignment="1">
      <alignment horizontal="center" vertical="center"/>
    </xf>
    <xf numFmtId="169" fontId="9" fillId="0" borderId="3" xfId="0" applyNumberFormat="1" applyFont="1" applyFill="1" applyBorder="1" applyAlignment="1">
      <alignment horizontal="center" vertical="center"/>
    </xf>
    <xf numFmtId="164" fontId="0" fillId="9" borderId="3" xfId="2" applyFont="1" applyFill="1" applyBorder="1" applyAlignment="1">
      <alignment horizontal="left" vertical="center"/>
    </xf>
    <xf numFmtId="164" fontId="0" fillId="9" borderId="3" xfId="2" applyFont="1" applyFill="1" applyBorder="1" applyAlignment="1">
      <alignment horizontal="center" vertical="center" wrapText="1"/>
    </xf>
    <xf numFmtId="9" fontId="0" fillId="9" borderId="3" xfId="1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170" fontId="26" fillId="8" borderId="3" xfId="1" applyNumberFormat="1" applyFont="1" applyFill="1" applyBorder="1" applyAlignment="1">
      <alignment horizontal="center" vertical="center"/>
    </xf>
    <xf numFmtId="9" fontId="26" fillId="8" borderId="3" xfId="1" applyNumberFormat="1" applyFont="1" applyFill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/>
    </xf>
    <xf numFmtId="164" fontId="0" fillId="10" borderId="3" xfId="2" applyFont="1" applyFill="1" applyBorder="1" applyAlignment="1">
      <alignment horizontal="center" vertical="center" wrapText="1"/>
    </xf>
    <xf numFmtId="164" fontId="0" fillId="10" borderId="3" xfId="2" applyFont="1" applyFill="1" applyBorder="1" applyAlignment="1">
      <alignment horizontal="left" vertical="center"/>
    </xf>
    <xf numFmtId="9" fontId="0" fillId="10" borderId="3" xfId="1" applyFont="1" applyFill="1" applyBorder="1" applyAlignment="1">
      <alignment horizontal="center" vertical="center" wrapText="1"/>
    </xf>
    <xf numFmtId="1" fontId="9" fillId="0" borderId="3" xfId="1" applyNumberFormat="1" applyFont="1" applyFill="1" applyBorder="1" applyAlignment="1">
      <alignment horizontal="center" vertical="center"/>
    </xf>
    <xf numFmtId="10" fontId="0" fillId="10" borderId="3" xfId="1" applyNumberFormat="1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9" fontId="26" fillId="8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2" fontId="0" fillId="8" borderId="3" xfId="1" applyNumberFormat="1" applyFont="1" applyFill="1" applyBorder="1" applyAlignment="1">
      <alignment horizontal="center" vertical="center"/>
    </xf>
    <xf numFmtId="9" fontId="9" fillId="7" borderId="3" xfId="1" applyFont="1" applyFill="1" applyBorder="1" applyAlignment="1">
      <alignment horizontal="center" vertical="center"/>
    </xf>
    <xf numFmtId="164" fontId="0" fillId="3" borderId="3" xfId="2" applyFont="1" applyFill="1" applyBorder="1" applyAlignment="1">
      <alignment horizontal="center" vertical="center" wrapText="1"/>
    </xf>
    <xf numFmtId="164" fontId="0" fillId="3" borderId="3" xfId="2" applyFont="1" applyFill="1" applyBorder="1" applyAlignment="1">
      <alignment horizontal="left" vertical="center"/>
    </xf>
    <xf numFmtId="9" fontId="0" fillId="3" borderId="3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169" fontId="9" fillId="0" borderId="3" xfId="1" applyNumberFormat="1" applyFont="1" applyFill="1" applyBorder="1" applyAlignment="1">
      <alignment horizontal="center" vertical="center"/>
    </xf>
    <xf numFmtId="164" fontId="0" fillId="0" borderId="3" xfId="2" applyFont="1" applyBorder="1" applyAlignment="1">
      <alignment horizontal="left" vertical="center"/>
    </xf>
    <xf numFmtId="164" fontId="0" fillId="0" borderId="3" xfId="2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170" fontId="0" fillId="8" borderId="3" xfId="1" applyNumberFormat="1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0" fontId="13" fillId="8" borderId="47" xfId="0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1" fontId="0" fillId="8" borderId="47" xfId="0" applyNumberFormat="1" applyFill="1" applyBorder="1" applyAlignment="1">
      <alignment horizontal="center" vertical="center"/>
    </xf>
    <xf numFmtId="1" fontId="0" fillId="8" borderId="42" xfId="0" applyNumberFormat="1" applyFill="1" applyBorder="1" applyAlignment="1">
      <alignment horizontal="center" vertical="center"/>
    </xf>
    <xf numFmtId="0" fontId="24" fillId="11" borderId="42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9" fontId="6" fillId="12" borderId="3" xfId="0" applyNumberFormat="1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1" fontId="17" fillId="12" borderId="3" xfId="0" applyNumberFormat="1" applyFont="1" applyFill="1" applyBorder="1" applyAlignment="1">
      <alignment horizontal="center" vertical="center" wrapText="1"/>
    </xf>
    <xf numFmtId="165" fontId="18" fillId="12" borderId="3" xfId="0" applyNumberFormat="1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/>
    </xf>
    <xf numFmtId="1" fontId="9" fillId="12" borderId="8" xfId="1" applyNumberFormat="1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 wrapText="1"/>
    </xf>
    <xf numFmtId="1" fontId="0" fillId="12" borderId="3" xfId="0" applyNumberFormat="1" applyFill="1" applyBorder="1" applyAlignment="1">
      <alignment horizontal="center" vertical="center" wrapText="1"/>
    </xf>
    <xf numFmtId="170" fontId="0" fillId="12" borderId="3" xfId="0" applyNumberForma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9" fontId="9" fillId="0" borderId="3" xfId="1" applyFont="1" applyFill="1" applyBorder="1" applyAlignment="1">
      <alignment horizontal="center" vertical="center"/>
    </xf>
    <xf numFmtId="9" fontId="9" fillId="12" borderId="8" xfId="1" applyFont="1" applyFill="1" applyBorder="1" applyAlignment="1">
      <alignment horizontal="center" vertical="center"/>
    </xf>
    <xf numFmtId="164" fontId="0" fillId="0" borderId="7" xfId="2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0" fillId="12" borderId="3" xfId="0" applyFill="1" applyBorder="1" applyAlignment="1">
      <alignment vertical="center" wrapText="1"/>
    </xf>
    <xf numFmtId="166" fontId="0" fillId="12" borderId="7" xfId="2" applyNumberFormat="1" applyFont="1" applyFill="1" applyBorder="1" applyAlignment="1">
      <alignment horizontal="center" vertical="center"/>
    </xf>
    <xf numFmtId="164" fontId="0" fillId="12" borderId="3" xfId="2" applyFont="1" applyFill="1" applyBorder="1" applyAlignment="1">
      <alignment horizontal="center" vertical="center" wrapText="1"/>
    </xf>
    <xf numFmtId="164" fontId="0" fillId="12" borderId="7" xfId="2" applyFont="1" applyFill="1" applyBorder="1" applyAlignment="1">
      <alignment horizontal="center" vertical="center" wrapText="1"/>
    </xf>
    <xf numFmtId="9" fontId="0" fillId="12" borderId="3" xfId="1" applyFont="1" applyFill="1" applyBorder="1" applyAlignment="1">
      <alignment horizontal="center" vertical="center" wrapText="1"/>
    </xf>
    <xf numFmtId="0" fontId="0" fillId="12" borderId="3" xfId="0" applyFill="1" applyBorder="1"/>
    <xf numFmtId="0" fontId="16" fillId="12" borderId="46" xfId="0" applyFont="1" applyFill="1" applyBorder="1" applyAlignment="1">
      <alignment horizontal="center" wrapText="1"/>
    </xf>
    <xf numFmtId="1" fontId="17" fillId="12" borderId="47" xfId="0" applyNumberFormat="1" applyFont="1" applyFill="1" applyBorder="1" applyAlignment="1">
      <alignment horizontal="center" vertical="center" wrapText="1"/>
    </xf>
    <xf numFmtId="165" fontId="18" fillId="12" borderId="47" xfId="0" applyNumberFormat="1" applyFont="1" applyFill="1" applyBorder="1" applyAlignment="1">
      <alignment horizontal="center" vertical="center" wrapText="1"/>
    </xf>
    <xf numFmtId="0" fontId="20" fillId="12" borderId="47" xfId="0" applyFont="1" applyFill="1" applyBorder="1" applyAlignment="1">
      <alignment horizontal="center" vertical="center" wrapText="1"/>
    </xf>
    <xf numFmtId="0" fontId="9" fillId="12" borderId="42" xfId="0" applyFont="1" applyFill="1" applyBorder="1" applyAlignment="1">
      <alignment horizontal="center" vertical="center"/>
    </xf>
    <xf numFmtId="9" fontId="9" fillId="12" borderId="3" xfId="0" applyNumberFormat="1" applyFont="1" applyFill="1" applyBorder="1" applyAlignment="1">
      <alignment horizontal="center" vertical="center"/>
    </xf>
    <xf numFmtId="9" fontId="0" fillId="12" borderId="3" xfId="0" applyNumberFormat="1" applyFill="1" applyBorder="1" applyAlignment="1">
      <alignment horizontal="center" vertical="center"/>
    </xf>
    <xf numFmtId="164" fontId="0" fillId="12" borderId="3" xfId="2" applyFont="1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 wrapText="1"/>
    </xf>
    <xf numFmtId="166" fontId="0" fillId="12" borderId="8" xfId="2" applyNumberFormat="1" applyFont="1" applyFill="1" applyBorder="1" applyAlignment="1">
      <alignment horizontal="center" vertical="center"/>
    </xf>
    <xf numFmtId="164" fontId="0" fillId="12" borderId="8" xfId="2" applyFont="1" applyFill="1" applyBorder="1" applyAlignment="1">
      <alignment horizontal="center" vertical="center" wrapText="1"/>
    </xf>
    <xf numFmtId="2" fontId="24" fillId="11" borderId="42" xfId="0" applyNumberFormat="1" applyFont="1" applyFill="1" applyBorder="1" applyAlignment="1">
      <alignment horizontal="center" vertical="center" wrapText="1"/>
    </xf>
    <xf numFmtId="10" fontId="25" fillId="11" borderId="3" xfId="1" applyNumberFormat="1" applyFont="1" applyFill="1" applyBorder="1" applyAlignment="1">
      <alignment horizontal="center" vertical="center"/>
    </xf>
    <xf numFmtId="170" fontId="25" fillId="11" borderId="3" xfId="1" applyNumberFormat="1" applyFont="1" applyFill="1" applyBorder="1" applyAlignment="1">
      <alignment horizontal="center" vertical="center"/>
    </xf>
    <xf numFmtId="9" fontId="2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 wrapText="1"/>
    </xf>
    <xf numFmtId="1" fontId="0" fillId="11" borderId="3" xfId="0" applyNumberFormat="1" applyFill="1" applyBorder="1" applyAlignment="1">
      <alignment horizontal="center" vertical="center" wrapText="1"/>
    </xf>
    <xf numFmtId="9" fontId="0" fillId="11" borderId="3" xfId="0" applyNumberFormat="1" applyFill="1" applyBorder="1" applyAlignment="1">
      <alignment horizontal="center" vertical="center"/>
    </xf>
    <xf numFmtId="164" fontId="0" fillId="11" borderId="3" xfId="2" applyFont="1" applyFill="1" applyBorder="1" applyAlignment="1">
      <alignment horizontal="center" vertical="center"/>
    </xf>
    <xf numFmtId="0" fontId="0" fillId="11" borderId="3" xfId="0" applyFill="1" applyBorder="1"/>
    <xf numFmtId="44" fontId="0" fillId="11" borderId="3" xfId="0" applyNumberFormat="1" applyFill="1" applyBorder="1" applyAlignment="1">
      <alignment horizontal="center" vertical="center" wrapText="1"/>
    </xf>
    <xf numFmtId="9" fontId="0" fillId="11" borderId="3" xfId="1" applyFont="1" applyFill="1" applyBorder="1" applyAlignment="1">
      <alignment horizontal="center" vertical="center" wrapText="1"/>
    </xf>
    <xf numFmtId="4" fontId="26" fillId="11" borderId="46" xfId="0" applyNumberFormat="1" applyFont="1" applyFill="1" applyBorder="1" applyAlignment="1">
      <alignment horizontal="center" vertical="center" wrapText="1"/>
    </xf>
    <xf numFmtId="4" fontId="26" fillId="11" borderId="47" xfId="0" applyNumberFormat="1" applyFont="1" applyFill="1" applyBorder="1" applyAlignment="1">
      <alignment horizontal="center" vertical="center" wrapText="1"/>
    </xf>
    <xf numFmtId="4" fontId="26" fillId="11" borderId="42" xfId="0" applyNumberFormat="1" applyFont="1" applyFill="1" applyBorder="1" applyAlignment="1">
      <alignment horizontal="center" vertical="center" wrapText="1"/>
    </xf>
    <xf numFmtId="164" fontId="0" fillId="11" borderId="3" xfId="0" applyNumberFormat="1" applyFill="1" applyBorder="1" applyAlignment="1">
      <alignment horizontal="center" vertical="center" wrapText="1"/>
    </xf>
    <xf numFmtId="9" fontId="9" fillId="0" borderId="3" xfId="1" applyNumberFormat="1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 wrapText="1"/>
    </xf>
    <xf numFmtId="0" fontId="27" fillId="11" borderId="36" xfId="0" applyFont="1" applyFill="1" applyBorder="1" applyAlignment="1">
      <alignment horizontal="center" vertical="center" wrapText="1"/>
    </xf>
    <xf numFmtId="0" fontId="27" fillId="11" borderId="47" xfId="0" applyFont="1" applyFill="1" applyBorder="1" applyAlignment="1">
      <alignment horizontal="center" vertical="center" wrapText="1"/>
    </xf>
    <xf numFmtId="0" fontId="27" fillId="11" borderId="45" xfId="0" applyFont="1" applyFill="1" applyBorder="1" applyAlignment="1">
      <alignment horizontal="center" vertical="center" wrapText="1"/>
    </xf>
    <xf numFmtId="0" fontId="27" fillId="11" borderId="37" xfId="0" applyFont="1" applyFill="1" applyBorder="1" applyAlignment="1">
      <alignment horizontal="center" vertical="center" wrapText="1"/>
    </xf>
    <xf numFmtId="170" fontId="26" fillId="11" borderId="34" xfId="1" applyNumberFormat="1" applyFont="1" applyFill="1" applyBorder="1" applyAlignment="1">
      <alignment horizontal="center" vertical="center"/>
    </xf>
    <xf numFmtId="9" fontId="26" fillId="11" borderId="34" xfId="1" applyNumberFormat="1" applyFont="1" applyFill="1" applyBorder="1" applyAlignment="1">
      <alignment horizontal="center" vertical="center"/>
    </xf>
    <xf numFmtId="0" fontId="0" fillId="11" borderId="34" xfId="0" applyFill="1" applyBorder="1"/>
    <xf numFmtId="9" fontId="26" fillId="12" borderId="3" xfId="0" applyNumberFormat="1" applyFont="1" applyFill="1" applyBorder="1" applyAlignment="1">
      <alignment horizontal="center" vertical="center"/>
    </xf>
    <xf numFmtId="164" fontId="0" fillId="12" borderId="3" xfId="0" applyNumberForma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9" fontId="13" fillId="8" borderId="11" xfId="0" applyNumberFormat="1" applyFont="1" applyFill="1" applyBorder="1" applyAlignment="1">
      <alignment horizontal="center" vertical="center"/>
    </xf>
    <xf numFmtId="9" fontId="15" fillId="8" borderId="11" xfId="0" applyNumberFormat="1" applyFont="1" applyFill="1" applyBorder="1" applyAlignment="1">
      <alignment horizontal="center" vertical="center"/>
    </xf>
    <xf numFmtId="1" fontId="0" fillId="8" borderId="11" xfId="0" applyNumberFormat="1" applyFill="1" applyBorder="1" applyAlignment="1">
      <alignment horizontal="center" vertical="center"/>
    </xf>
    <xf numFmtId="1" fontId="0" fillId="8" borderId="12" xfId="0" applyNumberFormat="1" applyFill="1" applyBorder="1" applyAlignment="1">
      <alignment horizontal="center" vertical="center"/>
    </xf>
    <xf numFmtId="1" fontId="9" fillId="12" borderId="3" xfId="1" applyNumberFormat="1" applyFont="1" applyFill="1" applyBorder="1" applyAlignment="1">
      <alignment horizontal="center" vertical="center"/>
    </xf>
    <xf numFmtId="164" fontId="0" fillId="12" borderId="3" xfId="2" applyFont="1" applyFill="1" applyBorder="1" applyAlignment="1">
      <alignment horizontal="left" vertical="center"/>
    </xf>
    <xf numFmtId="10" fontId="0" fillId="12" borderId="3" xfId="1" applyNumberFormat="1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/>
    </xf>
    <xf numFmtId="9" fontId="9" fillId="12" borderId="3" xfId="1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 wrapText="1"/>
    </xf>
    <xf numFmtId="0" fontId="28" fillId="11" borderId="42" xfId="0" applyFont="1" applyFill="1" applyBorder="1" applyAlignment="1">
      <alignment horizontal="center" vertical="center" wrapText="1"/>
    </xf>
    <xf numFmtId="9" fontId="26" fillId="11" borderId="3" xfId="1" applyFont="1" applyFill="1" applyBorder="1" applyAlignment="1">
      <alignment horizontal="center" vertical="center"/>
    </xf>
    <xf numFmtId="0" fontId="13" fillId="12" borderId="46" xfId="0" applyFont="1" applyFill="1" applyBorder="1" applyAlignment="1">
      <alignment horizontal="center" vertical="center" wrapText="1"/>
    </xf>
    <xf numFmtId="1" fontId="13" fillId="12" borderId="47" xfId="0" applyNumberFormat="1" applyFont="1" applyFill="1" applyBorder="1" applyAlignment="1">
      <alignment horizontal="center" vertical="center"/>
    </xf>
    <xf numFmtId="0" fontId="13" fillId="12" borderId="47" xfId="0" applyFont="1" applyFill="1" applyBorder="1" applyAlignment="1">
      <alignment horizontal="center" vertical="center" wrapText="1"/>
    </xf>
    <xf numFmtId="164" fontId="0" fillId="10" borderId="3" xfId="2" applyFont="1" applyFill="1" applyBorder="1" applyAlignment="1">
      <alignment horizontal="left" wrapText="1"/>
    </xf>
    <xf numFmtId="10" fontId="0" fillId="11" borderId="3" xfId="0" applyNumberFormat="1" applyFill="1" applyBorder="1" applyAlignment="1">
      <alignment horizontal="center" vertical="center" wrapText="1"/>
    </xf>
    <xf numFmtId="164" fontId="6" fillId="3" borderId="3" xfId="2" applyFont="1" applyFill="1" applyBorder="1" applyAlignment="1">
      <alignment horizontal="center" vertical="center" wrapText="1"/>
    </xf>
    <xf numFmtId="9" fontId="0" fillId="12" borderId="3" xfId="0" applyNumberForma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9" fontId="28" fillId="11" borderId="3" xfId="1" applyFont="1" applyFill="1" applyBorder="1" applyAlignment="1">
      <alignment horizontal="center" vertical="center"/>
    </xf>
    <xf numFmtId="0" fontId="27" fillId="11" borderId="46" xfId="0" applyFont="1" applyFill="1" applyBorder="1" applyAlignment="1">
      <alignment horizontal="center" vertical="center" wrapText="1"/>
    </xf>
    <xf numFmtId="0" fontId="27" fillId="11" borderId="42" xfId="0" applyFont="1" applyFill="1" applyBorder="1" applyAlignment="1">
      <alignment horizontal="center" vertical="center" wrapText="1"/>
    </xf>
    <xf numFmtId="9" fontId="26" fillId="14" borderId="3" xfId="1" applyFont="1" applyFill="1" applyBorder="1" applyAlignment="1">
      <alignment horizontal="center" vertical="center"/>
    </xf>
    <xf numFmtId="0" fontId="27" fillId="14" borderId="46" xfId="0" applyFont="1" applyFill="1" applyBorder="1" applyAlignment="1">
      <alignment horizontal="center" vertical="center" wrapText="1"/>
    </xf>
    <xf numFmtId="0" fontId="27" fillId="14" borderId="47" xfId="0" applyFont="1" applyFill="1" applyBorder="1" applyAlignment="1">
      <alignment horizontal="center" vertical="center" wrapText="1"/>
    </xf>
    <xf numFmtId="0" fontId="27" fillId="14" borderId="42" xfId="0" applyFont="1" applyFill="1" applyBorder="1" applyAlignment="1">
      <alignment horizontal="center" vertical="center" wrapText="1"/>
    </xf>
    <xf numFmtId="9" fontId="26" fillId="14" borderId="3" xfId="0" applyNumberFormat="1" applyFont="1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wrapText="1"/>
    </xf>
    <xf numFmtId="1" fontId="0" fillId="14" borderId="3" xfId="0" applyNumberFormat="1" applyFill="1" applyBorder="1" applyAlignment="1">
      <alignment horizontal="center" vertical="center" wrapText="1"/>
    </xf>
    <xf numFmtId="164" fontId="0" fillId="14" borderId="3" xfId="2" applyFont="1" applyFill="1" applyBorder="1" applyAlignment="1">
      <alignment horizontal="center" vertical="center"/>
    </xf>
    <xf numFmtId="164" fontId="0" fillId="14" borderId="3" xfId="0" applyNumberFormat="1" applyFill="1" applyBorder="1" applyAlignment="1">
      <alignment horizontal="center" vertical="center" wrapText="1"/>
    </xf>
    <xf numFmtId="10" fontId="0" fillId="14" borderId="3" xfId="0" applyNumberFormat="1" applyFill="1" applyBorder="1" applyAlignment="1">
      <alignment horizontal="center" vertical="center" wrapText="1"/>
    </xf>
    <xf numFmtId="0" fontId="0" fillId="14" borderId="3" xfId="0" applyFill="1" applyBorder="1"/>
    <xf numFmtId="9" fontId="26" fillId="12" borderId="0" xfId="0" applyNumberFormat="1" applyFont="1" applyFill="1" applyBorder="1" applyAlignment="1">
      <alignment horizontal="center" vertical="center"/>
    </xf>
    <xf numFmtId="0" fontId="0" fillId="12" borderId="0" xfId="0" applyFill="1"/>
    <xf numFmtId="0" fontId="0" fillId="12" borderId="0" xfId="0" applyFill="1" applyAlignment="1">
      <alignment horizontal="center" vertical="center" wrapText="1"/>
    </xf>
    <xf numFmtId="1" fontId="0" fillId="12" borderId="0" xfId="0" applyNumberFormat="1" applyFill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25" fillId="12" borderId="3" xfId="0" applyFont="1" applyFill="1" applyBorder="1" applyAlignment="1">
      <alignment horizontal="center" vertical="center" wrapText="1"/>
    </xf>
    <xf numFmtId="164" fontId="26" fillId="12" borderId="3" xfId="2" applyFont="1" applyFill="1" applyBorder="1" applyAlignment="1">
      <alignment vertical="center"/>
    </xf>
    <xf numFmtId="164" fontId="6" fillId="8" borderId="3" xfId="2" applyFont="1" applyFill="1" applyBorder="1" applyAlignment="1">
      <alignment horizontal="left" vertical="center" wrapText="1"/>
    </xf>
    <xf numFmtId="0" fontId="6" fillId="11" borderId="0" xfId="0" applyFont="1" applyFill="1"/>
    <xf numFmtId="0" fontId="6" fillId="11" borderId="0" xfId="0" applyFont="1" applyFill="1" applyAlignment="1">
      <alignment horizontal="center" vertical="center"/>
    </xf>
    <xf numFmtId="0" fontId="34" fillId="11" borderId="0" xfId="0" applyFont="1" applyFill="1" applyAlignment="1">
      <alignment horizontal="center" vertical="center"/>
    </xf>
    <xf numFmtId="0" fontId="26" fillId="11" borderId="42" xfId="0" applyFont="1" applyFill="1" applyBorder="1" applyAlignment="1">
      <alignment horizontal="center" vertical="center" wrapText="1"/>
    </xf>
    <xf numFmtId="10" fontId="26" fillId="11" borderId="3" xfId="1" applyNumberFormat="1" applyFont="1" applyFill="1" applyBorder="1" applyAlignment="1">
      <alignment horizontal="center" vertical="center"/>
    </xf>
    <xf numFmtId="0" fontId="35" fillId="11" borderId="0" xfId="0" applyFont="1" applyFill="1" applyAlignment="1">
      <alignment horizontal="center"/>
    </xf>
    <xf numFmtId="0" fontId="36" fillId="11" borderId="0" xfId="0" applyFont="1" applyFill="1" applyAlignment="1">
      <alignment horizontal="center" vertical="center" wrapText="1"/>
    </xf>
    <xf numFmtId="165" fontId="11" fillId="11" borderId="0" xfId="0" applyNumberFormat="1" applyFont="1" applyFill="1" applyAlignment="1">
      <alignment horizontal="center" vertical="center"/>
    </xf>
    <xf numFmtId="0" fontId="9" fillId="11" borderId="0" xfId="0" applyFont="1" applyFill="1" applyAlignment="1">
      <alignment horizontal="center"/>
    </xf>
    <xf numFmtId="0" fontId="9" fillId="11" borderId="0" xfId="0" applyFont="1" applyFill="1" applyAlignment="1">
      <alignment horizontal="center" vertical="center"/>
    </xf>
    <xf numFmtId="170" fontId="26" fillId="11" borderId="3" xfId="1" applyNumberFormat="1" applyFont="1" applyFill="1" applyBorder="1" applyAlignment="1">
      <alignment horizontal="center" vertical="center"/>
    </xf>
    <xf numFmtId="170" fontId="26" fillId="11" borderId="0" xfId="1" applyNumberFormat="1" applyFont="1" applyFill="1" applyBorder="1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center" vertical="center" wrapText="1"/>
    </xf>
    <xf numFmtId="1" fontId="0" fillId="11" borderId="0" xfId="0" applyNumberFormat="1" applyFill="1" applyAlignment="1">
      <alignment horizontal="center" vertical="center" wrapText="1"/>
    </xf>
    <xf numFmtId="0" fontId="0" fillId="11" borderId="0" xfId="0" applyFill="1" applyAlignment="1">
      <alignment horizontal="center"/>
    </xf>
    <xf numFmtId="164" fontId="6" fillId="12" borderId="3" xfId="2" applyFont="1" applyFill="1" applyBorder="1" applyAlignment="1">
      <alignment horizontal="left" vertical="center" wrapText="1"/>
    </xf>
    <xf numFmtId="170" fontId="29" fillId="12" borderId="3" xfId="1" applyNumberFormat="1" applyFont="1" applyFill="1" applyBorder="1" applyAlignment="1">
      <alignment horizontal="center" vertical="center"/>
    </xf>
    <xf numFmtId="10" fontId="6" fillId="11" borderId="0" xfId="0" applyNumberFormat="1" applyFont="1" applyFill="1" applyAlignment="1">
      <alignment horizontal="center"/>
    </xf>
    <xf numFmtId="164" fontId="0" fillId="11" borderId="0" xfId="0" applyNumberFormat="1" applyFill="1"/>
    <xf numFmtId="1" fontId="9" fillId="0" borderId="3" xfId="0" applyNumberFormat="1" applyFont="1" applyBorder="1" applyAlignment="1">
      <alignment horizontal="center" vertical="center"/>
    </xf>
    <xf numFmtId="9" fontId="9" fillId="0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/>
    </xf>
    <xf numFmtId="9" fontId="9" fillId="0" borderId="3" xfId="0" applyNumberFormat="1" applyFont="1" applyBorder="1" applyAlignment="1">
      <alignment horizontal="center"/>
    </xf>
    <xf numFmtId="9" fontId="9" fillId="0" borderId="3" xfId="1" applyFont="1" applyBorder="1" applyAlignment="1">
      <alignment horizontal="center"/>
    </xf>
    <xf numFmtId="10" fontId="0" fillId="8" borderId="3" xfId="2" applyNumberFormat="1" applyFont="1" applyFill="1" applyBorder="1" applyAlignment="1">
      <alignment horizontal="center" vertical="center"/>
    </xf>
    <xf numFmtId="166" fontId="0" fillId="0" borderId="43" xfId="2" applyNumberFormat="1" applyFont="1" applyFill="1" applyBorder="1" applyAlignment="1">
      <alignment horizontal="center" vertical="center" wrapText="1"/>
    </xf>
    <xf numFmtId="166" fontId="0" fillId="0" borderId="8" xfId="2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6" fontId="0" fillId="0" borderId="34" xfId="2" applyNumberFormat="1" applyFont="1" applyFill="1" applyBorder="1" applyAlignment="1">
      <alignment horizontal="center" vertical="center"/>
    </xf>
    <xf numFmtId="166" fontId="0" fillId="0" borderId="7" xfId="2" applyNumberFormat="1" applyFont="1" applyFill="1" applyBorder="1" applyAlignment="1">
      <alignment horizontal="center" vertical="center"/>
    </xf>
    <xf numFmtId="166" fontId="0" fillId="0" borderId="8" xfId="2" applyNumberFormat="1" applyFont="1" applyFill="1" applyBorder="1" applyAlignment="1">
      <alignment horizontal="center" vertical="center"/>
    </xf>
    <xf numFmtId="9" fontId="0" fillId="0" borderId="34" xfId="1" applyFont="1" applyFill="1" applyBorder="1" applyAlignment="1">
      <alignment horizontal="center" vertical="center"/>
    </xf>
    <xf numFmtId="9" fontId="0" fillId="0" borderId="7" xfId="1" applyFont="1" applyFill="1" applyBorder="1" applyAlignment="1">
      <alignment horizontal="center" vertical="center"/>
    </xf>
    <xf numFmtId="9" fontId="0" fillId="0" borderId="8" xfId="1" applyFont="1" applyFill="1" applyBorder="1" applyAlignment="1">
      <alignment horizontal="center" vertical="center"/>
    </xf>
    <xf numFmtId="166" fontId="0" fillId="8" borderId="34" xfId="2" applyNumberFormat="1" applyFont="1" applyFill="1" applyBorder="1" applyAlignment="1">
      <alignment horizontal="center" vertical="center"/>
    </xf>
    <xf numFmtId="166" fontId="0" fillId="8" borderId="7" xfId="2" applyNumberFormat="1" applyFont="1" applyFill="1" applyBorder="1" applyAlignment="1">
      <alignment horizontal="center" vertical="center"/>
    </xf>
    <xf numFmtId="166" fontId="0" fillId="8" borderId="8" xfId="2" applyNumberFormat="1" applyFont="1" applyFill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6" fontId="0" fillId="0" borderId="34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9" fontId="20" fillId="0" borderId="34" xfId="0" applyNumberFormat="1" applyFont="1" applyBorder="1" applyAlignment="1">
      <alignment horizontal="center" vertical="center"/>
    </xf>
    <xf numFmtId="9" fontId="20" fillId="0" borderId="7" xfId="0" applyNumberFormat="1" applyFont="1" applyBorder="1" applyAlignment="1">
      <alignment horizontal="center" vertical="center"/>
    </xf>
    <xf numFmtId="9" fontId="20" fillId="0" borderId="8" xfId="0" applyNumberFormat="1" applyFont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167" fontId="7" fillId="0" borderId="34" xfId="0" applyNumberFormat="1" applyFont="1" applyBorder="1" applyAlignment="1">
      <alignment horizontal="center" vertical="center"/>
    </xf>
    <xf numFmtId="167" fontId="7" fillId="0" borderId="7" xfId="0" applyNumberFormat="1" applyFont="1" applyBorder="1" applyAlignment="1">
      <alignment horizontal="center" vertical="center"/>
    </xf>
    <xf numFmtId="167" fontId="7" fillId="0" borderId="8" xfId="0" applyNumberFormat="1" applyFont="1" applyBorder="1" applyAlignment="1">
      <alignment horizontal="center" vertical="center"/>
    </xf>
    <xf numFmtId="41" fontId="7" fillId="0" borderId="34" xfId="3" applyFont="1" applyFill="1" applyBorder="1" applyAlignment="1">
      <alignment horizontal="center" vertical="center"/>
    </xf>
    <xf numFmtId="41" fontId="7" fillId="0" borderId="7" xfId="3" applyFont="1" applyFill="1" applyBorder="1" applyAlignment="1">
      <alignment horizontal="center" vertical="center"/>
    </xf>
    <xf numFmtId="41" fontId="7" fillId="0" borderId="44" xfId="3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9" fontId="7" fillId="0" borderId="34" xfId="1" applyFont="1" applyFill="1" applyBorder="1" applyAlignment="1">
      <alignment horizontal="center" vertical="center"/>
    </xf>
    <xf numFmtId="9" fontId="7" fillId="0" borderId="7" xfId="1" applyFont="1" applyFill="1" applyBorder="1" applyAlignment="1">
      <alignment horizontal="center" vertical="center"/>
    </xf>
    <xf numFmtId="9" fontId="7" fillId="0" borderId="8" xfId="1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9" fontId="7" fillId="0" borderId="43" xfId="1" applyFont="1" applyFill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7" fillId="0" borderId="8" xfId="3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167" fontId="7" fillId="0" borderId="43" xfId="0" applyNumberFormat="1" applyFont="1" applyBorder="1" applyAlignment="1">
      <alignment horizontal="center" vertical="center"/>
    </xf>
    <xf numFmtId="41" fontId="7" fillId="0" borderId="43" xfId="3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9" fontId="2" fillId="2" borderId="25" xfId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9" fontId="0" fillId="8" borderId="34" xfId="1" applyFont="1" applyFill="1" applyBorder="1" applyAlignment="1">
      <alignment horizontal="center" vertical="center"/>
    </xf>
    <xf numFmtId="9" fontId="0" fillId="8" borderId="8" xfId="1" applyFont="1" applyFill="1" applyBorder="1" applyAlignment="1">
      <alignment horizontal="center" vertical="center"/>
    </xf>
    <xf numFmtId="9" fontId="15" fillId="0" borderId="3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9" fontId="15" fillId="0" borderId="34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9" fontId="15" fillId="0" borderId="8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1" fontId="22" fillId="0" borderId="3" xfId="0" applyNumberFormat="1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 wrapText="1"/>
    </xf>
    <xf numFmtId="1" fontId="13" fillId="8" borderId="3" xfId="0" applyNumberFormat="1" applyFont="1" applyFill="1" applyBorder="1" applyAlignment="1">
      <alignment horizontal="center" vertical="center"/>
    </xf>
    <xf numFmtId="9" fontId="15" fillId="0" borderId="3" xfId="1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/>
    </xf>
    <xf numFmtId="166" fontId="0" fillId="0" borderId="34" xfId="2" applyNumberFormat="1" applyFont="1" applyFill="1" applyBorder="1" applyAlignment="1">
      <alignment horizontal="center" vertical="center" wrapText="1"/>
    </xf>
    <xf numFmtId="164" fontId="0" fillId="0" borderId="34" xfId="2" applyFont="1" applyFill="1" applyBorder="1" applyAlignment="1">
      <alignment horizontal="center" vertical="center" wrapText="1"/>
    </xf>
    <xf numFmtId="164" fontId="0" fillId="0" borderId="8" xfId="2" applyFont="1" applyFill="1" applyBorder="1" applyAlignment="1">
      <alignment horizontal="center" vertical="center" wrapText="1"/>
    </xf>
    <xf numFmtId="9" fontId="0" fillId="0" borderId="43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44" xfId="1" applyFont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164" fontId="0" fillId="0" borderId="34" xfId="2" applyFont="1" applyFill="1" applyBorder="1" applyAlignment="1">
      <alignment horizontal="center" vertical="center"/>
    </xf>
    <xf numFmtId="164" fontId="0" fillId="0" borderId="8" xfId="2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/>
    </xf>
    <xf numFmtId="1" fontId="0" fillId="0" borderId="47" xfId="0" applyNumberForma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3" xfId="2" applyFont="1" applyBorder="1" applyAlignment="1">
      <alignment vertical="center"/>
    </xf>
    <xf numFmtId="9" fontId="36" fillId="0" borderId="3" xfId="1" applyFont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6" fillId="14" borderId="46" xfId="0" applyFont="1" applyFill="1" applyBorder="1" applyAlignment="1">
      <alignment horizontal="center" vertical="center" wrapText="1"/>
    </xf>
    <xf numFmtId="0" fontId="6" fillId="14" borderId="47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0" fillId="14" borderId="46" xfId="0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 wrapText="1"/>
    </xf>
    <xf numFmtId="0" fontId="0" fillId="14" borderId="42" xfId="0" applyFill="1" applyBorder="1" applyAlignment="1">
      <alignment horizontal="center" vertical="center" wrapText="1"/>
    </xf>
    <xf numFmtId="0" fontId="24" fillId="11" borderId="46" xfId="0" applyFont="1" applyFill="1" applyBorder="1" applyAlignment="1">
      <alignment horizontal="center" vertical="center" wrapText="1"/>
    </xf>
    <xf numFmtId="0" fontId="24" fillId="11" borderId="47" xfId="0" applyFont="1" applyFill="1" applyBorder="1" applyAlignment="1">
      <alignment horizontal="center" vertical="center" wrapText="1"/>
    </xf>
    <xf numFmtId="0" fontId="24" fillId="11" borderId="42" xfId="0" applyFont="1" applyFill="1" applyBorder="1" applyAlignment="1">
      <alignment horizontal="center" vertical="center" wrapText="1"/>
    </xf>
    <xf numFmtId="0" fontId="27" fillId="11" borderId="46" xfId="0" applyFont="1" applyFill="1" applyBorder="1" applyAlignment="1">
      <alignment horizontal="center" vertical="center" wrapText="1"/>
    </xf>
    <xf numFmtId="0" fontId="27" fillId="11" borderId="47" xfId="0" applyFont="1" applyFill="1" applyBorder="1" applyAlignment="1">
      <alignment horizontal="center" vertical="center" wrapText="1"/>
    </xf>
    <xf numFmtId="0" fontId="27" fillId="11" borderId="42" xfId="0" applyFont="1" applyFill="1" applyBorder="1" applyAlignment="1">
      <alignment horizontal="center" vertical="center" wrapText="1"/>
    </xf>
    <xf numFmtId="9" fontId="15" fillId="8" borderId="34" xfId="0" applyNumberFormat="1" applyFont="1" applyFill="1" applyBorder="1" applyAlignment="1">
      <alignment horizontal="center" vertical="center"/>
    </xf>
    <xf numFmtId="9" fontId="15" fillId="8" borderId="7" xfId="0" applyNumberFormat="1" applyFont="1" applyFill="1" applyBorder="1" applyAlignment="1">
      <alignment horizontal="center" vertical="center"/>
    </xf>
    <xf numFmtId="9" fontId="15" fillId="8" borderId="8" xfId="0" applyNumberFormat="1" applyFont="1" applyFill="1" applyBorder="1" applyAlignment="1">
      <alignment horizontal="center" vertical="center"/>
    </xf>
    <xf numFmtId="1" fontId="0" fillId="8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 wrapText="1"/>
    </xf>
    <xf numFmtId="164" fontId="0" fillId="0" borderId="3" xfId="2" applyFont="1" applyBorder="1" applyAlignment="1">
      <alignment horizontal="center" vertical="center"/>
    </xf>
    <xf numFmtId="4" fontId="26" fillId="12" borderId="46" xfId="0" applyNumberFormat="1" applyFont="1" applyFill="1" applyBorder="1" applyAlignment="1">
      <alignment horizontal="center" vertical="center" wrapText="1"/>
    </xf>
    <xf numFmtId="4" fontId="26" fillId="12" borderId="47" xfId="0" applyNumberFormat="1" applyFont="1" applyFill="1" applyBorder="1" applyAlignment="1">
      <alignment horizontal="center" vertical="center" wrapText="1"/>
    </xf>
    <xf numFmtId="4" fontId="26" fillId="12" borderId="42" xfId="0" applyNumberFormat="1" applyFont="1" applyFill="1" applyBorder="1" applyAlignment="1">
      <alignment horizontal="center" vertical="center" wrapText="1"/>
    </xf>
    <xf numFmtId="169" fontId="0" fillId="8" borderId="34" xfId="0" applyNumberFormat="1" applyFill="1" applyBorder="1" applyAlignment="1">
      <alignment horizontal="center" vertical="center"/>
    </xf>
    <xf numFmtId="169" fontId="0" fillId="8" borderId="8" xfId="0" applyNumberForma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0" fillId="8" borderId="34" xfId="0" applyNumberFormat="1" applyFill="1" applyBorder="1" applyAlignment="1">
      <alignment horizontal="center" vertical="center"/>
    </xf>
    <xf numFmtId="2" fontId="0" fillId="8" borderId="7" xfId="0" applyNumberFormat="1" applyFill="1" applyBorder="1" applyAlignment="1">
      <alignment horizontal="center" vertical="center"/>
    </xf>
    <xf numFmtId="2" fontId="0" fillId="8" borderId="8" xfId="0" applyNumberForma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13" fillId="8" borderId="34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9" fontId="0" fillId="8" borderId="7" xfId="1" applyFont="1" applyFill="1" applyBorder="1" applyAlignment="1">
      <alignment horizontal="center" vertical="center"/>
    </xf>
    <xf numFmtId="1" fontId="9" fillId="0" borderId="34" xfId="1" applyNumberFormat="1" applyFont="1" applyFill="1" applyBorder="1" applyAlignment="1">
      <alignment horizontal="center" vertical="center"/>
    </xf>
    <xf numFmtId="1" fontId="9" fillId="0" borderId="7" xfId="1" applyNumberFormat="1" applyFont="1" applyFill="1" applyBorder="1" applyAlignment="1">
      <alignment horizontal="center" vertical="center"/>
    </xf>
    <xf numFmtId="1" fontId="9" fillId="0" borderId="8" xfId="1" applyNumberFormat="1" applyFont="1" applyFill="1" applyBorder="1" applyAlignment="1">
      <alignment horizontal="center" vertical="center"/>
    </xf>
    <xf numFmtId="0" fontId="13" fillId="0" borderId="37" xfId="0" applyNumberFormat="1" applyFont="1" applyBorder="1" applyAlignment="1">
      <alignment horizontal="center" vertical="center" wrapText="1"/>
    </xf>
    <xf numFmtId="0" fontId="13" fillId="0" borderId="31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3" fontId="33" fillId="8" borderId="34" xfId="0" applyNumberFormat="1" applyFont="1" applyFill="1" applyBorder="1" applyAlignment="1">
      <alignment horizontal="center" vertical="center" wrapText="1"/>
    </xf>
    <xf numFmtId="3" fontId="33" fillId="8" borderId="7" xfId="0" applyNumberFormat="1" applyFont="1" applyFill="1" applyBorder="1" applyAlignment="1">
      <alignment horizontal="center" vertical="center" wrapText="1"/>
    </xf>
    <xf numFmtId="3" fontId="33" fillId="8" borderId="8" xfId="0" applyNumberFormat="1" applyFont="1" applyFill="1" applyBorder="1" applyAlignment="1">
      <alignment horizontal="center" vertical="center" wrapText="1"/>
    </xf>
    <xf numFmtId="1" fontId="0" fillId="8" borderId="34" xfId="0" applyNumberFormat="1" applyFill="1" applyBorder="1" applyAlignment="1">
      <alignment horizontal="center" vertical="center"/>
    </xf>
    <xf numFmtId="1" fontId="0" fillId="8" borderId="7" xfId="0" applyNumberFormat="1" applyFill="1" applyBorder="1" applyAlignment="1">
      <alignment horizontal="center" vertical="center"/>
    </xf>
    <xf numFmtId="1" fontId="0" fillId="8" borderId="8" xfId="0" applyNumberFormat="1" applyFill="1" applyBorder="1" applyAlignment="1">
      <alignment horizontal="center" vertical="center"/>
    </xf>
    <xf numFmtId="169" fontId="9" fillId="0" borderId="34" xfId="0" applyNumberFormat="1" applyFont="1" applyFill="1" applyBorder="1" applyAlignment="1">
      <alignment horizontal="center" vertical="center"/>
    </xf>
    <xf numFmtId="169" fontId="9" fillId="0" borderId="8" xfId="0" applyNumberFormat="1" applyFont="1" applyFill="1" applyBorder="1" applyAlignment="1">
      <alignment horizontal="center" vertical="center"/>
    </xf>
    <xf numFmtId="165" fontId="18" fillId="0" borderId="34" xfId="0" applyNumberFormat="1" applyFont="1" applyBorder="1" applyAlignment="1">
      <alignment horizontal="center" vertical="center" wrapText="1"/>
    </xf>
    <xf numFmtId="165" fontId="18" fillId="0" borderId="7" xfId="0" applyNumberFormat="1" applyFont="1" applyBorder="1" applyAlignment="1">
      <alignment horizontal="center" vertical="center" wrapText="1"/>
    </xf>
    <xf numFmtId="165" fontId="18" fillId="0" borderId="8" xfId="0" applyNumberFormat="1" applyFont="1" applyBorder="1" applyAlignment="1">
      <alignment horizontal="center" vertical="center" wrapText="1"/>
    </xf>
    <xf numFmtId="1" fontId="0" fillId="0" borderId="34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70" fontId="0" fillId="0" borderId="34" xfId="0" applyNumberFormat="1" applyBorder="1" applyAlignment="1">
      <alignment horizontal="center" vertical="center"/>
    </xf>
    <xf numFmtId="170" fontId="0" fillId="0" borderId="7" xfId="0" applyNumberFormat="1" applyBorder="1" applyAlignment="1">
      <alignment horizontal="center" vertical="center"/>
    </xf>
    <xf numFmtId="170" fontId="0" fillId="0" borderId="8" xfId="0" applyNumberFormat="1" applyBorder="1" applyAlignment="1">
      <alignment horizontal="center" vertical="center"/>
    </xf>
    <xf numFmtId="9" fontId="9" fillId="0" borderId="34" xfId="1" applyFont="1" applyFill="1" applyBorder="1" applyAlignment="1">
      <alignment horizontal="center" vertical="center"/>
    </xf>
    <xf numFmtId="9" fontId="9" fillId="0" borderId="7" xfId="1" applyFont="1" applyFill="1" applyBorder="1" applyAlignment="1">
      <alignment horizontal="center" vertical="center"/>
    </xf>
    <xf numFmtId="9" fontId="9" fillId="0" borderId="8" xfId="1" applyFont="1" applyFill="1" applyBorder="1" applyAlignment="1">
      <alignment horizontal="center" vertical="center"/>
    </xf>
    <xf numFmtId="0" fontId="25" fillId="11" borderId="46" xfId="0" applyFont="1" applyFill="1" applyBorder="1" applyAlignment="1">
      <alignment horizontal="center" vertical="center" wrapText="1"/>
    </xf>
    <xf numFmtId="0" fontId="25" fillId="11" borderId="47" xfId="0" applyFont="1" applyFill="1" applyBorder="1" applyAlignment="1">
      <alignment horizontal="center" vertical="center" wrapText="1"/>
    </xf>
    <xf numFmtId="0" fontId="25" fillId="11" borderId="42" xfId="0" applyFont="1" applyFill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8" fillId="11" borderId="46" xfId="0" applyFont="1" applyFill="1" applyBorder="1" applyAlignment="1">
      <alignment horizontal="center" vertical="center" wrapText="1"/>
    </xf>
    <xf numFmtId="0" fontId="28" fillId="11" borderId="47" xfId="0" applyFont="1" applyFill="1" applyBorder="1" applyAlignment="1">
      <alignment horizontal="center" vertical="center" wrapText="1"/>
    </xf>
    <xf numFmtId="0" fontId="28" fillId="11" borderId="4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9" fillId="13" borderId="3" xfId="0" applyNumberFormat="1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wrapText="1"/>
    </xf>
    <xf numFmtId="0" fontId="26" fillId="11" borderId="46" xfId="0" applyFont="1" applyFill="1" applyBorder="1" applyAlignment="1">
      <alignment horizontal="center" vertical="center" wrapText="1"/>
    </xf>
    <xf numFmtId="0" fontId="26" fillId="11" borderId="47" xfId="0" applyFont="1" applyFill="1" applyBorder="1" applyAlignment="1">
      <alignment horizontal="center" vertical="center" wrapText="1"/>
    </xf>
    <xf numFmtId="0" fontId="26" fillId="11" borderId="42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" fontId="17" fillId="0" borderId="34" xfId="0" applyNumberFormat="1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9" fontId="13" fillId="8" borderId="34" xfId="0" applyNumberFormat="1" applyFont="1" applyFill="1" applyBorder="1" applyAlignment="1">
      <alignment horizontal="center" vertical="center"/>
    </xf>
    <xf numFmtId="9" fontId="13" fillId="8" borderId="7" xfId="0" applyNumberFormat="1" applyFont="1" applyFill="1" applyBorder="1" applyAlignment="1">
      <alignment horizontal="center" vertical="center"/>
    </xf>
    <xf numFmtId="9" fontId="13" fillId="8" borderId="8" xfId="0" applyNumberFormat="1" applyFont="1" applyFill="1" applyBorder="1" applyAlignment="1">
      <alignment horizontal="center" vertical="center"/>
    </xf>
    <xf numFmtId="169" fontId="0" fillId="8" borderId="3" xfId="0" applyNumberFormat="1" applyFill="1" applyBorder="1" applyAlignment="1">
      <alignment horizontal="center" vertic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299376</xdr:colOff>
      <xdr:row>0</xdr:row>
      <xdr:rowOff>35718</xdr:rowOff>
    </xdr:from>
    <xdr:to>
      <xdr:col>0</xdr:col>
      <xdr:colOff>1071561</xdr:colOff>
      <xdr:row>3</xdr:row>
      <xdr:rowOff>130968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EF1EF413-E4F1-4E10-8235-ABE15E15A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76" y="35718"/>
          <a:ext cx="77218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1"/>
  <sheetViews>
    <sheetView tabSelected="1" zoomScale="87" zoomScaleNormal="87" workbookViewId="0">
      <pane xSplit="3" ySplit="8" topLeftCell="AP33" activePane="bottomRight" state="frozenSplit"/>
      <selection pane="topRight" activeCell="F1" sqref="F1"/>
      <selection pane="bottomLeft" activeCell="A2" sqref="A2"/>
      <selection pane="bottomRight" activeCell="AM28" sqref="AM28:AM33"/>
    </sheetView>
  </sheetViews>
  <sheetFormatPr baseColWidth="10" defaultRowHeight="15" x14ac:dyDescent="0.25"/>
  <cols>
    <col min="1" max="1" width="21.28515625" customWidth="1"/>
    <col min="2" max="2" width="16.85546875" customWidth="1"/>
    <col min="3" max="3" width="19.7109375" customWidth="1"/>
    <col min="4" max="4" width="26.28515625" customWidth="1"/>
    <col min="5" max="5" width="14.140625" customWidth="1"/>
    <col min="6" max="7" width="13.7109375" customWidth="1"/>
    <col min="8" max="8" width="18.85546875" customWidth="1"/>
    <col min="9" max="9" width="23.42578125" customWidth="1"/>
    <col min="10" max="10" width="17.85546875" customWidth="1"/>
    <col min="11" max="11" width="24.85546875" customWidth="1"/>
    <col min="12" max="12" width="23" customWidth="1"/>
    <col min="13" max="13" width="12.140625" customWidth="1"/>
    <col min="14" max="15" width="12.5703125" customWidth="1"/>
    <col min="16" max="16" width="15.28515625" customWidth="1"/>
    <col min="17" max="17" width="14.7109375" customWidth="1"/>
    <col min="18" max="18" width="18.85546875" customWidth="1"/>
    <col min="19" max="19" width="8.140625" customWidth="1"/>
    <col min="20" max="20" width="8" customWidth="1"/>
    <col min="21" max="21" width="17.85546875" customWidth="1"/>
    <col min="22" max="22" width="19.140625" customWidth="1"/>
    <col min="23" max="23" width="19.42578125" customWidth="1"/>
    <col min="24" max="24" width="25.5703125" customWidth="1"/>
    <col min="25" max="25" width="8.7109375" customWidth="1"/>
    <col min="26" max="26" width="7.85546875" customWidth="1"/>
    <col min="27" max="27" width="25.140625" customWidth="1"/>
    <col min="28" max="28" width="7.140625" customWidth="1"/>
    <col min="29" max="29" width="8" customWidth="1"/>
    <col min="30" max="30" width="16.7109375" customWidth="1"/>
    <col min="31" max="31" width="7.85546875" customWidth="1"/>
    <col min="32" max="32" width="9.7109375" customWidth="1"/>
    <col min="33" max="33" width="15.7109375" customWidth="1"/>
    <col min="34" max="34" width="10.5703125" customWidth="1"/>
    <col min="35" max="35" width="9.5703125" customWidth="1"/>
    <col min="36" max="36" width="17.5703125" customWidth="1"/>
    <col min="37" max="37" width="26" customWidth="1"/>
    <col min="38" max="38" width="26.42578125" customWidth="1"/>
    <col min="39" max="39" width="27.7109375" customWidth="1"/>
    <col min="40" max="40" width="20.140625" customWidth="1"/>
    <col min="41" max="41" width="23.85546875" customWidth="1"/>
    <col min="42" max="42" width="23.28515625" customWidth="1"/>
    <col min="43" max="43" width="22" customWidth="1"/>
    <col min="44" max="44" width="15" customWidth="1"/>
    <col min="45" max="45" width="22" style="106" customWidth="1"/>
    <col min="46" max="47" width="22.42578125" customWidth="1"/>
    <col min="48" max="48" width="20.85546875" customWidth="1"/>
    <col min="49" max="49" width="24.42578125" customWidth="1"/>
    <col min="50" max="50" width="20.140625" customWidth="1"/>
    <col min="51" max="51" width="20.5703125" customWidth="1"/>
    <col min="52" max="52" width="20.140625" customWidth="1"/>
    <col min="53" max="54" width="21.42578125" customWidth="1"/>
    <col min="55" max="55" width="21.28515625" customWidth="1"/>
    <col min="56" max="56" width="20.5703125" customWidth="1"/>
    <col min="57" max="57" width="22.7109375" customWidth="1"/>
    <col min="58" max="58" width="23" customWidth="1"/>
    <col min="59" max="59" width="20.5703125" customWidth="1"/>
    <col min="60" max="60" width="27.85546875" customWidth="1"/>
    <col min="61" max="61" width="26.42578125" customWidth="1"/>
    <col min="62" max="62" width="43.28515625" customWidth="1"/>
    <col min="64" max="64" width="21.140625" bestFit="1" customWidth="1"/>
    <col min="16382" max="16382" width="11.42578125" customWidth="1"/>
    <col min="16383" max="16383" width="11.42578125" hidden="1" customWidth="1"/>
    <col min="16384" max="16384" width="7.85546875" hidden="1" customWidth="1"/>
  </cols>
  <sheetData>
    <row r="1" spans="1:64 16383:16383" x14ac:dyDescent="0.25">
      <c r="A1" s="428"/>
      <c r="B1" s="431" t="s">
        <v>61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432"/>
      <c r="AP1" s="432"/>
      <c r="AQ1" s="432"/>
      <c r="AR1" s="432"/>
      <c r="AS1" s="432"/>
      <c r="AT1" s="432"/>
      <c r="AU1" s="432"/>
      <c r="AV1" s="432"/>
      <c r="AW1" s="432"/>
      <c r="AX1" s="432"/>
      <c r="AY1" s="432"/>
      <c r="AZ1" s="432"/>
      <c r="BA1" s="432"/>
      <c r="BB1" s="432"/>
      <c r="BC1" s="432"/>
      <c r="BD1" s="432"/>
      <c r="BE1" s="432"/>
      <c r="BF1" s="432"/>
      <c r="BG1" s="432"/>
      <c r="BH1" s="432"/>
      <c r="BI1" s="433"/>
      <c r="BJ1" s="55" t="s">
        <v>62</v>
      </c>
    </row>
    <row r="2" spans="1:64 16383:16383" ht="15" customHeight="1" x14ac:dyDescent="0.25">
      <c r="A2" s="429"/>
      <c r="B2" s="431" t="s">
        <v>63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432"/>
      <c r="AQ2" s="432"/>
      <c r="AR2" s="432"/>
      <c r="AS2" s="432"/>
      <c r="AT2" s="432"/>
      <c r="AU2" s="432"/>
      <c r="AV2" s="432"/>
      <c r="AW2" s="432"/>
      <c r="AX2" s="432"/>
      <c r="AY2" s="432"/>
      <c r="AZ2" s="432"/>
      <c r="BA2" s="432"/>
      <c r="BB2" s="432"/>
      <c r="BC2" s="432"/>
      <c r="BD2" s="432"/>
      <c r="BE2" s="432"/>
      <c r="BF2" s="432"/>
      <c r="BG2" s="432"/>
      <c r="BH2" s="432"/>
      <c r="BI2" s="433"/>
      <c r="BJ2" s="56" t="s">
        <v>64</v>
      </c>
    </row>
    <row r="3" spans="1:64 16383:16383" ht="15" customHeight="1" x14ac:dyDescent="0.25">
      <c r="A3" s="429"/>
      <c r="B3" s="434" t="s">
        <v>65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5"/>
      <c r="BA3" s="435"/>
      <c r="BB3" s="435"/>
      <c r="BC3" s="435"/>
      <c r="BD3" s="435"/>
      <c r="BE3" s="435"/>
      <c r="BF3" s="435"/>
      <c r="BG3" s="435"/>
      <c r="BH3" s="435"/>
      <c r="BI3" s="436"/>
      <c r="BJ3" s="56" t="s">
        <v>66</v>
      </c>
    </row>
    <row r="4" spans="1:64 16383:16383" ht="15.75" customHeight="1" thickBot="1" x14ac:dyDescent="0.3">
      <c r="A4" s="430"/>
      <c r="B4" s="437" t="s">
        <v>68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  <c r="AO4" s="438"/>
      <c r="AP4" s="438"/>
      <c r="AQ4" s="438"/>
      <c r="AR4" s="438"/>
      <c r="AS4" s="438"/>
      <c r="AT4" s="438"/>
      <c r="AU4" s="438"/>
      <c r="AV4" s="438"/>
      <c r="AW4" s="438"/>
      <c r="AX4" s="438"/>
      <c r="AY4" s="438"/>
      <c r="AZ4" s="438"/>
      <c r="BA4" s="438"/>
      <c r="BB4" s="438"/>
      <c r="BC4" s="438"/>
      <c r="BD4" s="438"/>
      <c r="BE4" s="438"/>
      <c r="BF4" s="438"/>
      <c r="BG4" s="438"/>
      <c r="BH4" s="438"/>
      <c r="BI4" s="439"/>
      <c r="BJ4" s="57" t="s">
        <v>67</v>
      </c>
    </row>
    <row r="5" spans="1:64 16383:16383" ht="15.75" thickBot="1" x14ac:dyDescent="0.3">
      <c r="A5" s="470" t="s">
        <v>36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2"/>
      <c r="P5" s="472"/>
      <c r="Q5" s="472"/>
      <c r="R5" s="473"/>
      <c r="S5" s="440" t="s">
        <v>38</v>
      </c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1"/>
      <c r="BF5" s="441"/>
      <c r="BG5" s="441"/>
      <c r="BH5" s="441"/>
      <c r="BI5" s="441"/>
      <c r="BJ5" s="442"/>
    </row>
    <row r="6" spans="1:64 16383:16383" s="1" customFormat="1" ht="21" customHeight="1" thickBot="1" x14ac:dyDescent="0.3">
      <c r="A6" s="477" t="s">
        <v>15</v>
      </c>
      <c r="B6" s="474" t="s">
        <v>16</v>
      </c>
      <c r="C6" s="474" t="s">
        <v>17</v>
      </c>
      <c r="D6" s="474" t="s">
        <v>18</v>
      </c>
      <c r="E6" s="474" t="s">
        <v>19</v>
      </c>
      <c r="F6" s="474" t="s">
        <v>20</v>
      </c>
      <c r="G6" s="474" t="s">
        <v>52</v>
      </c>
      <c r="H6" s="474" t="s">
        <v>21</v>
      </c>
      <c r="I6" s="474" t="s">
        <v>14</v>
      </c>
      <c r="J6" s="474" t="s">
        <v>22</v>
      </c>
      <c r="K6" s="474" t="s">
        <v>12</v>
      </c>
      <c r="L6" s="474" t="s">
        <v>13</v>
      </c>
      <c r="M6" s="474" t="s">
        <v>10</v>
      </c>
      <c r="N6" s="474" t="s">
        <v>11</v>
      </c>
      <c r="O6" s="474" t="s">
        <v>53</v>
      </c>
      <c r="P6" s="474" t="s">
        <v>44</v>
      </c>
      <c r="Q6" s="474" t="s">
        <v>43</v>
      </c>
      <c r="R6" s="480" t="s">
        <v>39</v>
      </c>
      <c r="S6" s="424" t="s">
        <v>35</v>
      </c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55" t="s">
        <v>25</v>
      </c>
      <c r="AP6" s="456"/>
      <c r="AQ6" s="456"/>
      <c r="AR6" s="457"/>
      <c r="AS6" s="458" t="s">
        <v>26</v>
      </c>
      <c r="AT6" s="458"/>
      <c r="AU6" s="459"/>
      <c r="AV6" s="465" t="s">
        <v>34</v>
      </c>
      <c r="AW6" s="466"/>
      <c r="AX6" s="466"/>
      <c r="AY6" s="466"/>
      <c r="AZ6" s="466"/>
      <c r="BA6" s="466"/>
      <c r="BB6" s="466"/>
      <c r="BC6" s="466"/>
      <c r="BD6" s="466"/>
      <c r="BE6" s="466"/>
      <c r="BF6" s="466"/>
      <c r="BG6" s="467"/>
      <c r="BH6" s="443" t="s">
        <v>30</v>
      </c>
      <c r="BI6" s="444"/>
      <c r="BJ6" s="450" t="s">
        <v>4</v>
      </c>
      <c r="XFC6" s="3" t="s">
        <v>0</v>
      </c>
    </row>
    <row r="7" spans="1:64 16383:16383" s="109" customFormat="1" ht="36" customHeight="1" x14ac:dyDescent="0.25">
      <c r="A7" s="478"/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81"/>
      <c r="S7" s="460" t="s">
        <v>1</v>
      </c>
      <c r="T7" s="461"/>
      <c r="U7" s="461"/>
      <c r="V7" s="452" t="s">
        <v>56</v>
      </c>
      <c r="W7" s="452"/>
      <c r="X7" s="452"/>
      <c r="Y7" s="452" t="s">
        <v>45</v>
      </c>
      <c r="Z7" s="452"/>
      <c r="AA7" s="452"/>
      <c r="AB7" s="447" t="s">
        <v>46</v>
      </c>
      <c r="AC7" s="448"/>
      <c r="AD7" s="449"/>
      <c r="AE7" s="447" t="s">
        <v>47</v>
      </c>
      <c r="AF7" s="448"/>
      <c r="AG7" s="449"/>
      <c r="AH7" s="447" t="s">
        <v>48</v>
      </c>
      <c r="AI7" s="448"/>
      <c r="AJ7" s="449"/>
      <c r="AK7" s="426" t="s">
        <v>49</v>
      </c>
      <c r="AL7" s="426" t="s">
        <v>50</v>
      </c>
      <c r="AM7" s="426" t="s">
        <v>37</v>
      </c>
      <c r="AN7" s="427" t="s">
        <v>51</v>
      </c>
      <c r="AO7" s="468" t="s">
        <v>6</v>
      </c>
      <c r="AP7" s="462" t="s">
        <v>7</v>
      </c>
      <c r="AQ7" s="462" t="s">
        <v>8</v>
      </c>
      <c r="AR7" s="462" t="s">
        <v>3</v>
      </c>
      <c r="AS7" s="462" t="s">
        <v>57</v>
      </c>
      <c r="AT7" s="462" t="s">
        <v>5</v>
      </c>
      <c r="AU7" s="454" t="s">
        <v>40</v>
      </c>
      <c r="AV7" s="445" t="s">
        <v>32</v>
      </c>
      <c r="AW7" s="453"/>
      <c r="AX7" s="453"/>
      <c r="AY7" s="454" t="s">
        <v>33</v>
      </c>
      <c r="AZ7" s="453"/>
      <c r="BA7" s="453"/>
      <c r="BB7" s="454" t="s">
        <v>31</v>
      </c>
      <c r="BC7" s="453"/>
      <c r="BD7" s="453"/>
      <c r="BE7" s="454" t="s">
        <v>58</v>
      </c>
      <c r="BF7" s="453"/>
      <c r="BG7" s="453"/>
      <c r="BH7" s="445"/>
      <c r="BI7" s="446"/>
      <c r="BJ7" s="451"/>
    </row>
    <row r="8" spans="1:64 16383:16383" s="2" customFormat="1" ht="55.5" customHeight="1" thickBot="1" x14ac:dyDescent="0.3">
      <c r="A8" s="479"/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82"/>
      <c r="S8" s="51" t="s">
        <v>23</v>
      </c>
      <c r="T8" s="5" t="s">
        <v>24</v>
      </c>
      <c r="U8" s="5" t="s">
        <v>2</v>
      </c>
      <c r="V8" s="6" t="s">
        <v>54</v>
      </c>
      <c r="W8" s="6" t="s">
        <v>55</v>
      </c>
      <c r="X8" s="6" t="s">
        <v>9</v>
      </c>
      <c r="Y8" s="7" t="s">
        <v>23</v>
      </c>
      <c r="Z8" s="5" t="s">
        <v>24</v>
      </c>
      <c r="AA8" s="5" t="s">
        <v>2</v>
      </c>
      <c r="AB8" s="5" t="s">
        <v>23</v>
      </c>
      <c r="AC8" s="5" t="s">
        <v>24</v>
      </c>
      <c r="AD8" s="5" t="s">
        <v>2</v>
      </c>
      <c r="AE8" s="4" t="s">
        <v>23</v>
      </c>
      <c r="AF8" s="4" t="s">
        <v>24</v>
      </c>
      <c r="AG8" s="5" t="s">
        <v>2</v>
      </c>
      <c r="AH8" s="5" t="s">
        <v>23</v>
      </c>
      <c r="AI8" s="5" t="s">
        <v>24</v>
      </c>
      <c r="AJ8" s="5" t="s">
        <v>2</v>
      </c>
      <c r="AK8" s="426"/>
      <c r="AL8" s="426"/>
      <c r="AM8" s="426"/>
      <c r="AN8" s="427"/>
      <c r="AO8" s="469"/>
      <c r="AP8" s="463"/>
      <c r="AQ8" s="463"/>
      <c r="AR8" s="463"/>
      <c r="AS8" s="463"/>
      <c r="AT8" s="463"/>
      <c r="AU8" s="464"/>
      <c r="AV8" s="8" t="s">
        <v>27</v>
      </c>
      <c r="AW8" s="9" t="s">
        <v>28</v>
      </c>
      <c r="AX8" s="9" t="s">
        <v>29</v>
      </c>
      <c r="AY8" s="9" t="s">
        <v>27</v>
      </c>
      <c r="AZ8" s="9" t="s">
        <v>28</v>
      </c>
      <c r="BA8" s="9" t="s">
        <v>29</v>
      </c>
      <c r="BB8" s="9" t="s">
        <v>27</v>
      </c>
      <c r="BC8" s="9" t="s">
        <v>28</v>
      </c>
      <c r="BD8" s="9" t="s">
        <v>29</v>
      </c>
      <c r="BE8" s="9" t="s">
        <v>27</v>
      </c>
      <c r="BF8" s="9" t="s">
        <v>28</v>
      </c>
      <c r="BG8" s="9" t="s">
        <v>29</v>
      </c>
      <c r="BH8" s="10" t="s">
        <v>41</v>
      </c>
      <c r="BI8" s="11" t="s">
        <v>42</v>
      </c>
      <c r="BJ8" s="451"/>
      <c r="XFC8" t="s">
        <v>59</v>
      </c>
    </row>
    <row r="9" spans="1:64 16383:16383" ht="82.5" customHeight="1" thickBot="1" x14ac:dyDescent="0.3">
      <c r="A9" s="492" t="s">
        <v>69</v>
      </c>
      <c r="B9" s="483" t="s">
        <v>70</v>
      </c>
      <c r="C9" s="485" t="s">
        <v>73</v>
      </c>
      <c r="D9" s="488" t="s">
        <v>78</v>
      </c>
      <c r="E9" s="495">
        <v>6</v>
      </c>
      <c r="F9" s="495">
        <v>23.02</v>
      </c>
      <c r="G9" s="498">
        <v>1</v>
      </c>
      <c r="H9" s="498">
        <v>1</v>
      </c>
      <c r="I9" s="505" t="s">
        <v>89</v>
      </c>
      <c r="J9" s="506">
        <v>2021130010155</v>
      </c>
      <c r="K9" s="507" t="s">
        <v>90</v>
      </c>
      <c r="L9" s="411" t="s">
        <v>91</v>
      </c>
      <c r="M9" s="421">
        <v>44562</v>
      </c>
      <c r="N9" s="421">
        <v>44926</v>
      </c>
      <c r="O9" s="422">
        <f>(N9-M9)+1</f>
        <v>365</v>
      </c>
      <c r="P9" s="416">
        <v>6</v>
      </c>
      <c r="Q9" s="413">
        <v>1</v>
      </c>
      <c r="R9" s="413">
        <v>1</v>
      </c>
      <c r="S9" s="407" t="s">
        <v>0</v>
      </c>
      <c r="T9" s="419"/>
      <c r="U9" s="419"/>
      <c r="V9" s="411" t="s">
        <v>91</v>
      </c>
      <c r="W9" s="411" t="s">
        <v>91</v>
      </c>
      <c r="X9" s="407" t="s">
        <v>113</v>
      </c>
      <c r="Y9" s="407" t="s">
        <v>0</v>
      </c>
      <c r="Z9" s="407"/>
      <c r="AA9" s="407"/>
      <c r="AB9" s="407" t="s">
        <v>0</v>
      </c>
      <c r="AC9" s="407"/>
      <c r="AD9" s="407"/>
      <c r="AE9" s="407" t="s">
        <v>0</v>
      </c>
      <c r="AF9" s="407"/>
      <c r="AG9" s="393"/>
      <c r="AH9" s="407" t="s">
        <v>0</v>
      </c>
      <c r="AI9" s="407"/>
      <c r="AJ9" s="393"/>
      <c r="AK9" s="413">
        <v>1</v>
      </c>
      <c r="AL9" s="86">
        <v>1</v>
      </c>
      <c r="AM9" s="413">
        <v>1</v>
      </c>
      <c r="AN9" s="414">
        <v>0</v>
      </c>
      <c r="AO9" s="393" t="s">
        <v>117</v>
      </c>
      <c r="AP9" s="26" t="s">
        <v>116</v>
      </c>
      <c r="AQ9" s="31">
        <v>9024511395</v>
      </c>
      <c r="AR9" s="30">
        <v>0.96</v>
      </c>
      <c r="AS9" s="102">
        <v>9024511395</v>
      </c>
      <c r="AT9" s="33">
        <f>+AQ9</f>
        <v>9024511395</v>
      </c>
      <c r="AU9" s="34">
        <f>+AT9-AS9</f>
        <v>0</v>
      </c>
      <c r="AV9" s="35">
        <v>9110102145</v>
      </c>
      <c r="AW9" s="35">
        <v>7146505405</v>
      </c>
      <c r="AX9" s="35">
        <v>296514000</v>
      </c>
      <c r="AY9" s="35">
        <v>9110102145</v>
      </c>
      <c r="AZ9" s="32">
        <v>7163226238</v>
      </c>
      <c r="BA9" s="32">
        <v>4492708369</v>
      </c>
      <c r="BB9" s="36">
        <v>9024511395</v>
      </c>
      <c r="BC9" s="32">
        <v>8656408268</v>
      </c>
      <c r="BD9" s="32">
        <v>7157803967</v>
      </c>
      <c r="BE9" s="36">
        <v>9024511395</v>
      </c>
      <c r="BF9" s="32">
        <v>8707438269</v>
      </c>
      <c r="BG9" s="32">
        <v>8609081652</v>
      </c>
      <c r="BH9" s="15" t="s">
        <v>59</v>
      </c>
      <c r="BI9" s="58">
        <f>AL9-((BG9/BE9))</f>
        <v>4.6033488664014244E-2</v>
      </c>
      <c r="BJ9" s="78" t="s">
        <v>139</v>
      </c>
      <c r="XFC9" t="s">
        <v>60</v>
      </c>
    </row>
    <row r="10" spans="1:64 16383:16383" ht="82.5" customHeight="1" thickBot="1" x14ac:dyDescent="0.3">
      <c r="A10" s="493"/>
      <c r="B10" s="483"/>
      <c r="C10" s="486"/>
      <c r="D10" s="489"/>
      <c r="E10" s="495"/>
      <c r="F10" s="495"/>
      <c r="G10" s="498"/>
      <c r="H10" s="498"/>
      <c r="I10" s="505"/>
      <c r="J10" s="506"/>
      <c r="K10" s="507"/>
      <c r="L10" s="420"/>
      <c r="M10" s="398"/>
      <c r="N10" s="398"/>
      <c r="O10" s="401"/>
      <c r="P10" s="423"/>
      <c r="Q10" s="409"/>
      <c r="R10" s="409"/>
      <c r="S10" s="368"/>
      <c r="T10" s="404"/>
      <c r="U10" s="404"/>
      <c r="V10" s="420"/>
      <c r="W10" s="420"/>
      <c r="X10" s="368"/>
      <c r="Y10" s="368"/>
      <c r="Z10" s="368"/>
      <c r="AA10" s="368"/>
      <c r="AB10" s="368"/>
      <c r="AC10" s="368"/>
      <c r="AD10" s="368"/>
      <c r="AE10" s="368"/>
      <c r="AF10" s="368"/>
      <c r="AG10" s="365"/>
      <c r="AH10" s="368"/>
      <c r="AI10" s="368"/>
      <c r="AJ10" s="365"/>
      <c r="AK10" s="409"/>
      <c r="AL10" s="86">
        <v>1</v>
      </c>
      <c r="AM10" s="409"/>
      <c r="AN10" s="391"/>
      <c r="AO10" s="365"/>
      <c r="AP10" s="79" t="s">
        <v>119</v>
      </c>
      <c r="AQ10" s="31">
        <v>671180179</v>
      </c>
      <c r="AR10" s="30">
        <v>1</v>
      </c>
      <c r="AS10" s="102">
        <v>671180179</v>
      </c>
      <c r="AT10" s="33">
        <f t="shared" ref="AT10:AT15" si="0">+AQ10</f>
        <v>671180179</v>
      </c>
      <c r="AU10" s="34">
        <f t="shared" ref="AU10:AU15" si="1">+AT10-AS10</f>
        <v>0</v>
      </c>
      <c r="AV10" s="35">
        <v>671180179</v>
      </c>
      <c r="AW10" s="35">
        <v>0</v>
      </c>
      <c r="AX10" s="35">
        <v>0</v>
      </c>
      <c r="AY10" s="35">
        <v>671180179</v>
      </c>
      <c r="AZ10" s="32">
        <v>0</v>
      </c>
      <c r="BA10" s="32">
        <v>0</v>
      </c>
      <c r="BB10" s="36">
        <v>671180179</v>
      </c>
      <c r="BC10" s="32">
        <f>BB10</f>
        <v>671180179</v>
      </c>
      <c r="BD10" s="32">
        <v>0</v>
      </c>
      <c r="BE10" s="36">
        <v>671180179</v>
      </c>
      <c r="BF10" s="32">
        <f>BE10</f>
        <v>671180179</v>
      </c>
      <c r="BG10" s="32">
        <v>637621169</v>
      </c>
      <c r="BH10" s="15" t="s">
        <v>59</v>
      </c>
      <c r="BI10" s="58">
        <f t="shared" ref="BI10:BI34" si="2">AL10-((BG10/BE10))</f>
        <v>5.0000001564408536E-2</v>
      </c>
      <c r="BJ10" s="78" t="s">
        <v>139</v>
      </c>
    </row>
    <row r="11" spans="1:64 16383:16383" ht="99" customHeight="1" thickBot="1" x14ac:dyDescent="0.3">
      <c r="A11" s="493"/>
      <c r="B11" s="483"/>
      <c r="C11" s="486"/>
      <c r="D11" s="489"/>
      <c r="E11" s="495"/>
      <c r="F11" s="495"/>
      <c r="G11" s="498"/>
      <c r="H11" s="498"/>
      <c r="I11" s="505"/>
      <c r="J11" s="506"/>
      <c r="K11" s="507"/>
      <c r="L11" s="420"/>
      <c r="M11" s="398"/>
      <c r="N11" s="398"/>
      <c r="O11" s="401"/>
      <c r="P11" s="423"/>
      <c r="Q11" s="409"/>
      <c r="R11" s="409"/>
      <c r="S11" s="368"/>
      <c r="T11" s="404"/>
      <c r="U11" s="404"/>
      <c r="V11" s="420"/>
      <c r="W11" s="420"/>
      <c r="X11" s="368"/>
      <c r="Y11" s="368"/>
      <c r="Z11" s="368"/>
      <c r="AA11" s="368"/>
      <c r="AB11" s="368"/>
      <c r="AC11" s="368"/>
      <c r="AD11" s="368"/>
      <c r="AE11" s="368"/>
      <c r="AF11" s="368"/>
      <c r="AG11" s="365"/>
      <c r="AH11" s="368"/>
      <c r="AI11" s="368"/>
      <c r="AJ11" s="365"/>
      <c r="AK11" s="409"/>
      <c r="AL11" s="86">
        <v>1</v>
      </c>
      <c r="AM11" s="409"/>
      <c r="AN11" s="391"/>
      <c r="AO11" s="365"/>
      <c r="AP11" s="79" t="s">
        <v>118</v>
      </c>
      <c r="AQ11" s="31">
        <v>1738403519</v>
      </c>
      <c r="AR11" s="30">
        <v>1</v>
      </c>
      <c r="AS11" s="102">
        <v>1738403519</v>
      </c>
      <c r="AT11" s="33">
        <f t="shared" si="0"/>
        <v>1738403519</v>
      </c>
      <c r="AU11" s="34">
        <f t="shared" si="1"/>
        <v>0</v>
      </c>
      <c r="AV11" s="35">
        <v>2035019425</v>
      </c>
      <c r="AW11" s="35">
        <v>0</v>
      </c>
      <c r="AX11" s="35">
        <v>0</v>
      </c>
      <c r="AY11" s="35">
        <v>2035019425</v>
      </c>
      <c r="AZ11" s="32">
        <v>774299317</v>
      </c>
      <c r="BA11" s="32">
        <v>599961805</v>
      </c>
      <c r="BB11" s="36">
        <v>2035019425</v>
      </c>
      <c r="BC11" s="32">
        <v>941226047</v>
      </c>
      <c r="BD11" s="32">
        <v>599961805</v>
      </c>
      <c r="BE11" s="36">
        <v>1738403519</v>
      </c>
      <c r="BF11" s="32">
        <f>BE11</f>
        <v>1738403519</v>
      </c>
      <c r="BG11" s="32">
        <v>901242123</v>
      </c>
      <c r="BH11" s="15" t="s">
        <v>59</v>
      </c>
      <c r="BI11" s="58">
        <f t="shared" si="2"/>
        <v>0.48156908729773462</v>
      </c>
      <c r="BJ11" s="78" t="s">
        <v>140</v>
      </c>
      <c r="BL11" s="107"/>
    </row>
    <row r="12" spans="1:64 16383:16383" ht="91.5" customHeight="1" thickBot="1" x14ac:dyDescent="0.3">
      <c r="A12" s="493"/>
      <c r="B12" s="483"/>
      <c r="C12" s="486"/>
      <c r="D12" s="489"/>
      <c r="E12" s="495"/>
      <c r="F12" s="495"/>
      <c r="G12" s="498"/>
      <c r="H12" s="498"/>
      <c r="I12" s="505"/>
      <c r="J12" s="506"/>
      <c r="K12" s="507"/>
      <c r="L12" s="420"/>
      <c r="M12" s="398"/>
      <c r="N12" s="398"/>
      <c r="O12" s="401"/>
      <c r="P12" s="423"/>
      <c r="Q12" s="409"/>
      <c r="R12" s="409"/>
      <c r="S12" s="368"/>
      <c r="T12" s="404"/>
      <c r="U12" s="404"/>
      <c r="V12" s="420"/>
      <c r="W12" s="420"/>
      <c r="X12" s="368"/>
      <c r="Y12" s="368"/>
      <c r="Z12" s="368"/>
      <c r="AA12" s="368"/>
      <c r="AB12" s="368"/>
      <c r="AC12" s="368"/>
      <c r="AD12" s="368"/>
      <c r="AE12" s="368"/>
      <c r="AF12" s="368"/>
      <c r="AG12" s="365"/>
      <c r="AH12" s="368"/>
      <c r="AI12" s="368"/>
      <c r="AJ12" s="365"/>
      <c r="AK12" s="409"/>
      <c r="AL12" s="86">
        <v>1</v>
      </c>
      <c r="AM12" s="409"/>
      <c r="AN12" s="391"/>
      <c r="AO12" s="365"/>
      <c r="AP12" s="79" t="s">
        <v>120</v>
      </c>
      <c r="AQ12" s="31">
        <v>1</v>
      </c>
      <c r="AR12" s="30">
        <v>0</v>
      </c>
      <c r="AS12" s="102">
        <v>1</v>
      </c>
      <c r="AT12" s="33">
        <f t="shared" si="0"/>
        <v>1</v>
      </c>
      <c r="AU12" s="34">
        <f t="shared" si="1"/>
        <v>0</v>
      </c>
      <c r="AV12" s="35">
        <v>1</v>
      </c>
      <c r="AW12" s="35">
        <v>0</v>
      </c>
      <c r="AX12" s="35">
        <v>0</v>
      </c>
      <c r="AY12" s="35">
        <v>1</v>
      </c>
      <c r="AZ12" s="32">
        <v>0</v>
      </c>
      <c r="BA12" s="32">
        <v>0</v>
      </c>
      <c r="BB12" s="36">
        <v>1</v>
      </c>
      <c r="BC12" s="32">
        <v>0</v>
      </c>
      <c r="BD12" s="32">
        <v>0</v>
      </c>
      <c r="BE12" s="36">
        <v>1</v>
      </c>
      <c r="BF12" s="32">
        <v>0</v>
      </c>
      <c r="BG12" s="32">
        <v>0</v>
      </c>
      <c r="BH12" s="15" t="s">
        <v>59</v>
      </c>
      <c r="BI12" s="58">
        <f>AL12-((BG12/BE12))</f>
        <v>1</v>
      </c>
      <c r="BJ12" s="78" t="s">
        <v>141</v>
      </c>
    </row>
    <row r="13" spans="1:64 16383:16383" ht="72.75" customHeight="1" thickBot="1" x14ac:dyDescent="0.3">
      <c r="A13" s="493"/>
      <c r="B13" s="483"/>
      <c r="C13" s="486"/>
      <c r="D13" s="489"/>
      <c r="E13" s="495"/>
      <c r="F13" s="495"/>
      <c r="G13" s="498"/>
      <c r="H13" s="498"/>
      <c r="I13" s="505"/>
      <c r="J13" s="506"/>
      <c r="K13" s="507"/>
      <c r="L13" s="420"/>
      <c r="M13" s="398"/>
      <c r="N13" s="398"/>
      <c r="O13" s="401"/>
      <c r="P13" s="423"/>
      <c r="Q13" s="409"/>
      <c r="R13" s="409"/>
      <c r="S13" s="368"/>
      <c r="T13" s="404"/>
      <c r="U13" s="404"/>
      <c r="V13" s="420"/>
      <c r="W13" s="420"/>
      <c r="X13" s="368"/>
      <c r="Y13" s="368"/>
      <c r="Z13" s="368"/>
      <c r="AA13" s="368"/>
      <c r="AB13" s="368"/>
      <c r="AC13" s="368"/>
      <c r="AD13" s="368"/>
      <c r="AE13" s="368"/>
      <c r="AF13" s="368"/>
      <c r="AG13" s="365"/>
      <c r="AH13" s="368"/>
      <c r="AI13" s="368"/>
      <c r="AJ13" s="365"/>
      <c r="AK13" s="409"/>
      <c r="AL13" s="86">
        <v>1</v>
      </c>
      <c r="AM13" s="409"/>
      <c r="AN13" s="391"/>
      <c r="AO13" s="365"/>
      <c r="AP13" s="79" t="s">
        <v>121</v>
      </c>
      <c r="AQ13" s="31">
        <v>218050</v>
      </c>
      <c r="AR13" s="30">
        <v>0</v>
      </c>
      <c r="AS13" s="102">
        <v>218050</v>
      </c>
      <c r="AT13" s="33">
        <f t="shared" si="0"/>
        <v>218050</v>
      </c>
      <c r="AU13" s="34">
        <f t="shared" si="1"/>
        <v>0</v>
      </c>
      <c r="AV13" s="35">
        <v>0</v>
      </c>
      <c r="AW13" s="35">
        <v>0</v>
      </c>
      <c r="AX13" s="35">
        <v>0</v>
      </c>
      <c r="AY13" s="35">
        <v>0</v>
      </c>
      <c r="AZ13" s="32">
        <v>0</v>
      </c>
      <c r="BA13" s="32">
        <v>0</v>
      </c>
      <c r="BB13" s="36">
        <v>0</v>
      </c>
      <c r="BC13" s="32">
        <v>0</v>
      </c>
      <c r="BD13" s="32">
        <v>0</v>
      </c>
      <c r="BE13" s="31">
        <v>218050</v>
      </c>
      <c r="BF13" s="32">
        <v>0</v>
      </c>
      <c r="BG13" s="32">
        <v>0</v>
      </c>
      <c r="BH13" s="15" t="s">
        <v>59</v>
      </c>
      <c r="BI13" s="58">
        <f t="shared" si="2"/>
        <v>1</v>
      </c>
      <c r="BJ13" s="78" t="s">
        <v>142</v>
      </c>
    </row>
    <row r="14" spans="1:64 16383:16383" ht="80.25" customHeight="1" thickBot="1" x14ac:dyDescent="0.3">
      <c r="A14" s="493"/>
      <c r="B14" s="483"/>
      <c r="C14" s="486"/>
      <c r="D14" s="489"/>
      <c r="E14" s="495"/>
      <c r="F14" s="495"/>
      <c r="G14" s="498"/>
      <c r="H14" s="498"/>
      <c r="I14" s="505"/>
      <c r="J14" s="506"/>
      <c r="K14" s="507"/>
      <c r="L14" s="420"/>
      <c r="M14" s="398"/>
      <c r="N14" s="398"/>
      <c r="O14" s="401"/>
      <c r="P14" s="423"/>
      <c r="Q14" s="409"/>
      <c r="R14" s="409"/>
      <c r="S14" s="368"/>
      <c r="T14" s="404"/>
      <c r="U14" s="404"/>
      <c r="V14" s="420"/>
      <c r="W14" s="420"/>
      <c r="X14" s="368"/>
      <c r="Y14" s="368"/>
      <c r="Z14" s="368"/>
      <c r="AA14" s="368"/>
      <c r="AB14" s="368"/>
      <c r="AC14" s="368"/>
      <c r="AD14" s="368"/>
      <c r="AE14" s="368"/>
      <c r="AF14" s="368"/>
      <c r="AG14" s="365"/>
      <c r="AH14" s="368"/>
      <c r="AI14" s="368"/>
      <c r="AJ14" s="365"/>
      <c r="AK14" s="409"/>
      <c r="AL14" s="86">
        <v>1</v>
      </c>
      <c r="AM14" s="409"/>
      <c r="AN14" s="391"/>
      <c r="AO14" s="365"/>
      <c r="AP14" s="79" t="s">
        <v>122</v>
      </c>
      <c r="AQ14" s="31">
        <v>13653212596</v>
      </c>
      <c r="AR14" s="30">
        <v>0</v>
      </c>
      <c r="AS14" s="102">
        <v>13653212596</v>
      </c>
      <c r="AT14" s="33">
        <f t="shared" si="0"/>
        <v>13653212596</v>
      </c>
      <c r="AU14" s="34">
        <f t="shared" si="1"/>
        <v>0</v>
      </c>
      <c r="AV14" s="35">
        <v>0</v>
      </c>
      <c r="AW14" s="35">
        <v>0</v>
      </c>
      <c r="AX14" s="35">
        <v>0</v>
      </c>
      <c r="AY14" s="35">
        <v>0</v>
      </c>
      <c r="AZ14" s="32">
        <v>0</v>
      </c>
      <c r="BA14" s="32">
        <v>0</v>
      </c>
      <c r="BB14" s="36">
        <v>0</v>
      </c>
      <c r="BC14" s="32">
        <v>0</v>
      </c>
      <c r="BD14" s="32">
        <v>0</v>
      </c>
      <c r="BE14" s="31">
        <v>13653212596</v>
      </c>
      <c r="BF14" s="32">
        <v>0</v>
      </c>
      <c r="BG14" s="32">
        <v>0</v>
      </c>
      <c r="BH14" s="15" t="s">
        <v>59</v>
      </c>
      <c r="BI14" s="58">
        <f t="shared" si="2"/>
        <v>1</v>
      </c>
      <c r="BJ14" s="78" t="s">
        <v>142</v>
      </c>
    </row>
    <row r="15" spans="1:64 16383:16383" ht="96" customHeight="1" thickBot="1" x14ac:dyDescent="0.3">
      <c r="A15" s="493"/>
      <c r="B15" s="483"/>
      <c r="C15" s="486"/>
      <c r="D15" s="489"/>
      <c r="E15" s="495"/>
      <c r="F15" s="495"/>
      <c r="G15" s="498"/>
      <c r="H15" s="498"/>
      <c r="I15" s="505"/>
      <c r="J15" s="506"/>
      <c r="K15" s="507"/>
      <c r="L15" s="412"/>
      <c r="M15" s="399"/>
      <c r="N15" s="399"/>
      <c r="O15" s="418"/>
      <c r="P15" s="417"/>
      <c r="Q15" s="410"/>
      <c r="R15" s="410"/>
      <c r="S15" s="369"/>
      <c r="T15" s="406"/>
      <c r="U15" s="406"/>
      <c r="V15" s="412"/>
      <c r="W15" s="412"/>
      <c r="X15" s="386"/>
      <c r="Y15" s="369"/>
      <c r="Z15" s="369"/>
      <c r="AA15" s="369"/>
      <c r="AB15" s="369"/>
      <c r="AC15" s="369"/>
      <c r="AD15" s="369"/>
      <c r="AE15" s="369"/>
      <c r="AF15" s="369"/>
      <c r="AG15" s="366"/>
      <c r="AH15" s="369"/>
      <c r="AI15" s="369"/>
      <c r="AJ15" s="366"/>
      <c r="AK15" s="410"/>
      <c r="AL15" s="86">
        <v>1</v>
      </c>
      <c r="AM15" s="410"/>
      <c r="AN15" s="415"/>
      <c r="AO15" s="365"/>
      <c r="AP15" s="79" t="s">
        <v>123</v>
      </c>
      <c r="AQ15" s="31">
        <v>774299317</v>
      </c>
      <c r="AR15" s="30">
        <v>0.89</v>
      </c>
      <c r="AS15" s="102">
        <v>774299317</v>
      </c>
      <c r="AT15" s="33">
        <f t="shared" si="0"/>
        <v>774299317</v>
      </c>
      <c r="AU15" s="34">
        <f t="shared" si="1"/>
        <v>0</v>
      </c>
      <c r="AV15" s="35">
        <v>0</v>
      </c>
      <c r="AW15" s="35">
        <v>0</v>
      </c>
      <c r="AX15" s="35">
        <v>0</v>
      </c>
      <c r="AY15" s="35">
        <v>0</v>
      </c>
      <c r="AZ15" s="32">
        <v>0</v>
      </c>
      <c r="BA15" s="32">
        <v>0</v>
      </c>
      <c r="BB15" s="36">
        <v>774299317</v>
      </c>
      <c r="BC15" s="32">
        <v>0</v>
      </c>
      <c r="BD15" s="32">
        <v>0</v>
      </c>
      <c r="BE15" s="31">
        <v>774299317</v>
      </c>
      <c r="BF15" s="32">
        <v>686586946</v>
      </c>
      <c r="BG15" s="32">
        <v>750355341</v>
      </c>
      <c r="BH15" s="15" t="s">
        <v>59</v>
      </c>
      <c r="BI15" s="58">
        <f t="shared" si="2"/>
        <v>3.0923410978548005E-2</v>
      </c>
      <c r="BJ15" s="78" t="s">
        <v>145</v>
      </c>
    </row>
    <row r="16" spans="1:64 16383:16383" ht="135.75" customHeight="1" thickBot="1" x14ac:dyDescent="0.3">
      <c r="A16" s="493"/>
      <c r="B16" s="483"/>
      <c r="C16" s="486"/>
      <c r="D16" s="508"/>
      <c r="E16" s="495"/>
      <c r="F16" s="495"/>
      <c r="G16" s="495"/>
      <c r="H16" s="495"/>
      <c r="I16" s="505"/>
      <c r="J16" s="506"/>
      <c r="K16" s="507"/>
      <c r="L16" s="71" t="s">
        <v>92</v>
      </c>
      <c r="M16" s="14">
        <v>44562</v>
      </c>
      <c r="N16" s="14">
        <v>44926</v>
      </c>
      <c r="O16" s="53">
        <f t="shared" ref="O16:O22" si="3">(N16-M16)+1</f>
        <v>365</v>
      </c>
      <c r="P16" s="73">
        <v>2</v>
      </c>
      <c r="Q16" s="13">
        <v>1</v>
      </c>
      <c r="R16" s="13">
        <v>1</v>
      </c>
      <c r="S16" s="15" t="s">
        <v>0</v>
      </c>
      <c r="T16" s="16"/>
      <c r="U16" s="16"/>
      <c r="V16" s="71" t="s">
        <v>92</v>
      </c>
      <c r="W16" s="71" t="s">
        <v>92</v>
      </c>
      <c r="X16" s="26" t="s">
        <v>113</v>
      </c>
      <c r="Y16" s="15" t="s">
        <v>0</v>
      </c>
      <c r="Z16" s="15"/>
      <c r="AA16" s="15"/>
      <c r="AB16" s="15" t="s">
        <v>0</v>
      </c>
      <c r="AC16" s="15"/>
      <c r="AD16" s="15"/>
      <c r="AE16" s="15" t="s">
        <v>0</v>
      </c>
      <c r="AF16" s="15"/>
      <c r="AG16" s="17"/>
      <c r="AH16" s="15" t="s">
        <v>0</v>
      </c>
      <c r="AI16" s="15"/>
      <c r="AJ16" s="17"/>
      <c r="AK16" s="13">
        <v>1</v>
      </c>
      <c r="AL16" s="13">
        <v>1</v>
      </c>
      <c r="AM16" s="13">
        <v>1</v>
      </c>
      <c r="AN16" s="18">
        <v>0</v>
      </c>
      <c r="AO16" s="365"/>
      <c r="AP16" s="79" t="s">
        <v>123</v>
      </c>
      <c r="AQ16" s="20">
        <v>5218171422</v>
      </c>
      <c r="AR16" s="19">
        <v>1</v>
      </c>
      <c r="AS16" s="103">
        <v>5218171422</v>
      </c>
      <c r="AT16" s="22">
        <f t="shared" ref="AT16:AT20" si="4">+AQ16</f>
        <v>5218171422</v>
      </c>
      <c r="AU16" s="23">
        <f>+AT16-AS16</f>
        <v>0</v>
      </c>
      <c r="AV16" s="24">
        <v>0</v>
      </c>
      <c r="AW16" s="24">
        <v>0</v>
      </c>
      <c r="AX16" s="24">
        <v>0</v>
      </c>
      <c r="AY16" s="24">
        <v>0</v>
      </c>
      <c r="AZ16" s="21">
        <v>0</v>
      </c>
      <c r="BA16" s="21">
        <v>0</v>
      </c>
      <c r="BB16" s="25">
        <v>5218171422</v>
      </c>
      <c r="BC16" s="21">
        <v>466022904</v>
      </c>
      <c r="BD16" s="21">
        <v>0</v>
      </c>
      <c r="BE16" s="25">
        <v>5218171422</v>
      </c>
      <c r="BF16" s="21">
        <v>5218171422</v>
      </c>
      <c r="BG16" s="21">
        <v>466022904</v>
      </c>
      <c r="BH16" s="15" t="s">
        <v>59</v>
      </c>
      <c r="BI16" s="58">
        <f t="shared" si="2"/>
        <v>0.9106922969154998</v>
      </c>
      <c r="BJ16" s="78" t="s">
        <v>143</v>
      </c>
    </row>
    <row r="17" spans="1:62" ht="104.25" customHeight="1" thickBot="1" x14ac:dyDescent="0.3">
      <c r="A17" s="493"/>
      <c r="B17" s="483"/>
      <c r="C17" s="486"/>
      <c r="D17" s="488" t="s">
        <v>79</v>
      </c>
      <c r="E17" s="495">
        <v>2</v>
      </c>
      <c r="F17" s="495">
        <v>5</v>
      </c>
      <c r="G17" s="498">
        <v>1</v>
      </c>
      <c r="H17" s="498">
        <v>1</v>
      </c>
      <c r="I17" s="505"/>
      <c r="J17" s="506"/>
      <c r="K17" s="507"/>
      <c r="L17" s="411" t="s">
        <v>93</v>
      </c>
      <c r="M17" s="397">
        <v>44562</v>
      </c>
      <c r="N17" s="397">
        <v>44926</v>
      </c>
      <c r="O17" s="400">
        <f t="shared" si="3"/>
        <v>365</v>
      </c>
      <c r="P17" s="416">
        <v>61</v>
      </c>
      <c r="Q17" s="408">
        <v>1</v>
      </c>
      <c r="R17" s="408">
        <v>1</v>
      </c>
      <c r="S17" s="367" t="s">
        <v>0</v>
      </c>
      <c r="T17" s="403"/>
      <c r="U17" s="403"/>
      <c r="V17" s="411" t="s">
        <v>93</v>
      </c>
      <c r="W17" s="411" t="s">
        <v>93</v>
      </c>
      <c r="X17" s="407" t="s">
        <v>113</v>
      </c>
      <c r="Y17" s="367" t="s">
        <v>0</v>
      </c>
      <c r="Z17" s="40"/>
      <c r="AA17" s="40"/>
      <c r="AB17" s="367" t="s">
        <v>0</v>
      </c>
      <c r="AC17" s="40"/>
      <c r="AD17" s="40"/>
      <c r="AE17" s="367" t="s">
        <v>0</v>
      </c>
      <c r="AF17" s="40"/>
      <c r="AG17" s="42"/>
      <c r="AH17" s="367" t="s">
        <v>0</v>
      </c>
      <c r="AI17" s="40"/>
      <c r="AJ17" s="42"/>
      <c r="AK17" s="408">
        <v>1</v>
      </c>
      <c r="AL17" s="88">
        <v>1</v>
      </c>
      <c r="AM17" s="408">
        <v>1</v>
      </c>
      <c r="AN17" s="390">
        <v>0</v>
      </c>
      <c r="AO17" s="365"/>
      <c r="AP17" s="42" t="s">
        <v>124</v>
      </c>
      <c r="AQ17" s="45">
        <v>342288365</v>
      </c>
      <c r="AR17" s="44">
        <v>1</v>
      </c>
      <c r="AS17" s="104">
        <v>342288365</v>
      </c>
      <c r="AT17" s="47">
        <f t="shared" si="4"/>
        <v>342288365</v>
      </c>
      <c r="AU17" s="48">
        <f>+AT17-AS17</f>
        <v>0</v>
      </c>
      <c r="AV17" s="49">
        <v>0</v>
      </c>
      <c r="AW17" s="49">
        <v>0</v>
      </c>
      <c r="AX17" s="49">
        <v>0</v>
      </c>
      <c r="AY17" s="49">
        <v>0</v>
      </c>
      <c r="AZ17" s="46">
        <v>0</v>
      </c>
      <c r="BA17" s="46">
        <v>0</v>
      </c>
      <c r="BB17" s="50">
        <v>342288365</v>
      </c>
      <c r="BC17" s="46">
        <f>BB17</f>
        <v>342288365</v>
      </c>
      <c r="BD17" s="46">
        <v>91592492</v>
      </c>
      <c r="BE17" s="45">
        <v>342288365</v>
      </c>
      <c r="BF17" s="46">
        <f>BE17</f>
        <v>342288365</v>
      </c>
      <c r="BG17" s="46">
        <f>BE17</f>
        <v>342288365</v>
      </c>
      <c r="BH17" s="15" t="s">
        <v>59</v>
      </c>
      <c r="BI17" s="58">
        <f t="shared" si="2"/>
        <v>0</v>
      </c>
      <c r="BJ17" s="78" t="s">
        <v>144</v>
      </c>
    </row>
    <row r="18" spans="1:62" ht="82.5" customHeight="1" thickBot="1" x14ac:dyDescent="0.3">
      <c r="A18" s="493"/>
      <c r="B18" s="483"/>
      <c r="C18" s="486"/>
      <c r="D18" s="489"/>
      <c r="E18" s="495"/>
      <c r="F18" s="495"/>
      <c r="G18" s="498"/>
      <c r="H18" s="498"/>
      <c r="I18" s="505"/>
      <c r="J18" s="506"/>
      <c r="K18" s="507"/>
      <c r="L18" s="412"/>
      <c r="M18" s="398"/>
      <c r="N18" s="398"/>
      <c r="O18" s="401"/>
      <c r="P18" s="417"/>
      <c r="Q18" s="409"/>
      <c r="R18" s="409"/>
      <c r="S18" s="368"/>
      <c r="T18" s="404"/>
      <c r="U18" s="404"/>
      <c r="V18" s="412"/>
      <c r="W18" s="412"/>
      <c r="X18" s="386"/>
      <c r="Y18" s="368"/>
      <c r="Z18" s="80"/>
      <c r="AA18" s="80"/>
      <c r="AB18" s="368"/>
      <c r="AC18" s="80"/>
      <c r="AD18" s="80"/>
      <c r="AE18" s="368"/>
      <c r="AF18" s="80"/>
      <c r="AG18" s="81"/>
      <c r="AH18" s="368"/>
      <c r="AI18" s="80"/>
      <c r="AJ18" s="81"/>
      <c r="AK18" s="409"/>
      <c r="AL18" s="88">
        <v>1</v>
      </c>
      <c r="AM18" s="409"/>
      <c r="AN18" s="391"/>
      <c r="AO18" s="365"/>
      <c r="AP18" s="42" t="s">
        <v>124</v>
      </c>
      <c r="AQ18" s="31">
        <v>63135418</v>
      </c>
      <c r="AR18" s="30">
        <v>1</v>
      </c>
      <c r="AS18" s="102">
        <v>63135418</v>
      </c>
      <c r="AT18" s="33">
        <f t="shared" ref="AT18:AT19" si="5">+AQ18</f>
        <v>63135418</v>
      </c>
      <c r="AU18" s="34">
        <f t="shared" ref="AU18:AU19" si="6">+AT18-AS18</f>
        <v>0</v>
      </c>
      <c r="AV18" s="49">
        <v>0</v>
      </c>
      <c r="AW18" s="49">
        <v>0</v>
      </c>
      <c r="AX18" s="49">
        <v>0</v>
      </c>
      <c r="AY18" s="49">
        <v>0</v>
      </c>
      <c r="AZ18" s="46">
        <v>0</v>
      </c>
      <c r="BA18" s="46">
        <v>0</v>
      </c>
      <c r="BB18" s="50">
        <v>63135418</v>
      </c>
      <c r="BC18" s="46">
        <v>63135418</v>
      </c>
      <c r="BD18" s="46">
        <v>0</v>
      </c>
      <c r="BE18" s="31">
        <v>63135418</v>
      </c>
      <c r="BF18" s="46">
        <f>BE18</f>
        <v>63135418</v>
      </c>
      <c r="BG18" s="46">
        <v>0</v>
      </c>
      <c r="BH18" s="15" t="s">
        <v>59</v>
      </c>
      <c r="BI18" s="58">
        <f t="shared" si="2"/>
        <v>1</v>
      </c>
      <c r="BJ18" s="78" t="s">
        <v>146</v>
      </c>
    </row>
    <row r="19" spans="1:62" ht="91.5" customHeight="1" thickBot="1" x14ac:dyDescent="0.3">
      <c r="A19" s="493"/>
      <c r="B19" s="483"/>
      <c r="C19" s="486"/>
      <c r="D19" s="489"/>
      <c r="E19" s="495"/>
      <c r="F19" s="495"/>
      <c r="G19" s="498"/>
      <c r="H19" s="498"/>
      <c r="I19" s="505"/>
      <c r="J19" s="506"/>
      <c r="K19" s="507"/>
      <c r="L19" s="411" t="s">
        <v>94</v>
      </c>
      <c r="M19" s="398">
        <v>44562</v>
      </c>
      <c r="N19" s="398">
        <v>44926</v>
      </c>
      <c r="O19" s="401">
        <f>(N19-M19)+1</f>
        <v>365</v>
      </c>
      <c r="P19" s="416">
        <v>12</v>
      </c>
      <c r="Q19" s="409">
        <v>1</v>
      </c>
      <c r="R19" s="409">
        <v>1</v>
      </c>
      <c r="S19" s="368" t="s">
        <v>0</v>
      </c>
      <c r="T19" s="404"/>
      <c r="U19" s="404"/>
      <c r="V19" s="411" t="s">
        <v>94</v>
      </c>
      <c r="W19" s="411" t="s">
        <v>94</v>
      </c>
      <c r="X19" s="407" t="s">
        <v>113</v>
      </c>
      <c r="Y19" s="368" t="s">
        <v>0</v>
      </c>
      <c r="Z19" s="80"/>
      <c r="AA19" s="80"/>
      <c r="AB19" s="368" t="s">
        <v>0</v>
      </c>
      <c r="AC19" s="80"/>
      <c r="AD19" s="80"/>
      <c r="AE19" s="368" t="s">
        <v>0</v>
      </c>
      <c r="AF19" s="80"/>
      <c r="AG19" s="81"/>
      <c r="AH19" s="368" t="s">
        <v>0</v>
      </c>
      <c r="AI19" s="80"/>
      <c r="AJ19" s="81"/>
      <c r="AK19" s="409">
        <v>1</v>
      </c>
      <c r="AL19" s="88">
        <v>1</v>
      </c>
      <c r="AM19" s="409">
        <v>1</v>
      </c>
      <c r="AN19" s="390">
        <v>1</v>
      </c>
      <c r="AO19" s="365"/>
      <c r="AP19" s="42" t="s">
        <v>125</v>
      </c>
      <c r="AQ19" s="82">
        <v>21411060</v>
      </c>
      <c r="AR19" s="83">
        <v>1</v>
      </c>
      <c r="AS19" s="105">
        <v>21411060</v>
      </c>
      <c r="AT19" s="84">
        <f t="shared" si="5"/>
        <v>21411060</v>
      </c>
      <c r="AU19" s="34">
        <f t="shared" si="6"/>
        <v>0</v>
      </c>
      <c r="AV19" s="49">
        <v>0</v>
      </c>
      <c r="AW19" s="49">
        <v>0</v>
      </c>
      <c r="AX19" s="49">
        <v>0</v>
      </c>
      <c r="AY19" s="49">
        <v>0</v>
      </c>
      <c r="AZ19" s="46">
        <v>0</v>
      </c>
      <c r="BA19" s="46">
        <v>0</v>
      </c>
      <c r="BB19" s="50">
        <v>21411060</v>
      </c>
      <c r="BC19" s="46">
        <v>0</v>
      </c>
      <c r="BD19" s="46">
        <v>0</v>
      </c>
      <c r="BE19" s="82">
        <v>21411060</v>
      </c>
      <c r="BF19" s="46">
        <f>BE19</f>
        <v>21411060</v>
      </c>
      <c r="BG19" s="82">
        <v>21411059</v>
      </c>
      <c r="BH19" s="15" t="s">
        <v>59</v>
      </c>
      <c r="BI19" s="58">
        <f t="shared" si="2"/>
        <v>4.6704833889243957E-8</v>
      </c>
      <c r="BJ19" s="78" t="s">
        <v>147</v>
      </c>
    </row>
    <row r="20" spans="1:62" ht="93.75" customHeight="1" thickBot="1" x14ac:dyDescent="0.3">
      <c r="A20" s="493"/>
      <c r="B20" s="483"/>
      <c r="C20" s="486"/>
      <c r="D20" s="508"/>
      <c r="E20" s="495"/>
      <c r="F20" s="495"/>
      <c r="G20" s="495"/>
      <c r="H20" s="495"/>
      <c r="I20" s="505"/>
      <c r="J20" s="506"/>
      <c r="K20" s="507"/>
      <c r="L20" s="412"/>
      <c r="M20" s="399"/>
      <c r="N20" s="399"/>
      <c r="O20" s="418"/>
      <c r="P20" s="417"/>
      <c r="Q20" s="410"/>
      <c r="R20" s="410"/>
      <c r="S20" s="369"/>
      <c r="T20" s="406"/>
      <c r="U20" s="406"/>
      <c r="V20" s="412"/>
      <c r="W20" s="412"/>
      <c r="X20" s="386"/>
      <c r="Y20" s="369"/>
      <c r="Z20" s="26"/>
      <c r="AA20" s="26"/>
      <c r="AB20" s="369"/>
      <c r="AC20" s="26"/>
      <c r="AD20" s="26"/>
      <c r="AE20" s="369"/>
      <c r="AF20" s="26"/>
      <c r="AG20" s="28"/>
      <c r="AH20" s="369"/>
      <c r="AI20" s="26"/>
      <c r="AJ20" s="28"/>
      <c r="AK20" s="410"/>
      <c r="AL20" s="88">
        <v>1</v>
      </c>
      <c r="AM20" s="410"/>
      <c r="AN20" s="391"/>
      <c r="AO20" s="366"/>
      <c r="AP20" s="42" t="s">
        <v>126</v>
      </c>
      <c r="AQ20" s="31">
        <v>100000000</v>
      </c>
      <c r="AR20" s="30">
        <v>1</v>
      </c>
      <c r="AS20" s="102">
        <v>100000000</v>
      </c>
      <c r="AT20" s="33">
        <f t="shared" si="4"/>
        <v>100000000</v>
      </c>
      <c r="AU20" s="34">
        <f t="shared" ref="AU20:AU40" si="7">+AT20-AS20</f>
        <v>0</v>
      </c>
      <c r="AV20" s="35">
        <v>0</v>
      </c>
      <c r="AW20" s="35">
        <v>0</v>
      </c>
      <c r="AX20" s="35">
        <v>0</v>
      </c>
      <c r="AY20" s="35">
        <v>0</v>
      </c>
      <c r="AZ20" s="32">
        <v>0</v>
      </c>
      <c r="BA20" s="32">
        <v>0</v>
      </c>
      <c r="BB20" s="36">
        <v>100000000</v>
      </c>
      <c r="BC20" s="32">
        <v>0</v>
      </c>
      <c r="BD20" s="32">
        <v>0</v>
      </c>
      <c r="BE20" s="31">
        <v>100000000</v>
      </c>
      <c r="BF20" s="32">
        <f>BE20</f>
        <v>100000000</v>
      </c>
      <c r="BG20" s="32">
        <v>0</v>
      </c>
      <c r="BH20" s="15" t="s">
        <v>59</v>
      </c>
      <c r="BI20" s="58">
        <f t="shared" si="2"/>
        <v>1</v>
      </c>
      <c r="BJ20" s="78" t="s">
        <v>146</v>
      </c>
    </row>
    <row r="21" spans="1:62" ht="126" customHeight="1" thickBot="1" x14ac:dyDescent="0.3">
      <c r="A21" s="493"/>
      <c r="B21" s="483"/>
      <c r="C21" s="486"/>
      <c r="D21" s="488" t="s">
        <v>80</v>
      </c>
      <c r="E21" s="490">
        <v>4</v>
      </c>
      <c r="F21" s="495">
        <v>9</v>
      </c>
      <c r="G21" s="498">
        <v>1</v>
      </c>
      <c r="H21" s="498">
        <v>1</v>
      </c>
      <c r="I21" s="505" t="s">
        <v>95</v>
      </c>
      <c r="J21" s="506">
        <v>2021130010215</v>
      </c>
      <c r="K21" s="507" t="s">
        <v>96</v>
      </c>
      <c r="L21" s="72" t="s">
        <v>97</v>
      </c>
      <c r="M21" s="14">
        <v>44562</v>
      </c>
      <c r="N21" s="14">
        <v>44926</v>
      </c>
      <c r="O21" s="53">
        <f t="shared" si="3"/>
        <v>365</v>
      </c>
      <c r="P21" s="73">
        <v>7</v>
      </c>
      <c r="Q21" s="13">
        <v>1</v>
      </c>
      <c r="R21" s="13">
        <v>1</v>
      </c>
      <c r="S21" s="15" t="s">
        <v>0</v>
      </c>
      <c r="T21" s="16"/>
      <c r="U21" s="16"/>
      <c r="V21" s="72" t="s">
        <v>97</v>
      </c>
      <c r="W21" s="72" t="s">
        <v>97</v>
      </c>
      <c r="X21" s="26" t="s">
        <v>113</v>
      </c>
      <c r="Y21" s="15" t="s">
        <v>0</v>
      </c>
      <c r="Z21" s="15"/>
      <c r="AA21" s="15"/>
      <c r="AB21" s="15" t="s">
        <v>0</v>
      </c>
      <c r="AC21" s="15"/>
      <c r="AD21" s="15"/>
      <c r="AE21" s="15" t="s">
        <v>0</v>
      </c>
      <c r="AF21" s="15"/>
      <c r="AG21" s="17"/>
      <c r="AH21" s="15" t="s">
        <v>0</v>
      </c>
      <c r="AI21" s="15"/>
      <c r="AJ21" s="17"/>
      <c r="AK21" s="13">
        <v>1</v>
      </c>
      <c r="AL21" s="13">
        <v>1</v>
      </c>
      <c r="AM21" s="13">
        <v>1</v>
      </c>
      <c r="AN21" s="18">
        <v>0</v>
      </c>
      <c r="AO21" s="364" t="s">
        <v>134</v>
      </c>
      <c r="AP21" s="15" t="s">
        <v>116</v>
      </c>
      <c r="AQ21" s="20">
        <v>2384290325</v>
      </c>
      <c r="AR21" s="19">
        <v>0.99</v>
      </c>
      <c r="AS21" s="103">
        <v>2384290325</v>
      </c>
      <c r="AT21" s="22">
        <f t="shared" ref="AT21:AT40" si="8">+AQ21</f>
        <v>2384290325</v>
      </c>
      <c r="AU21" s="23">
        <f t="shared" si="7"/>
        <v>0</v>
      </c>
      <c r="AV21" s="24">
        <v>0</v>
      </c>
      <c r="AW21" s="24">
        <v>0</v>
      </c>
      <c r="AX21" s="24">
        <v>0</v>
      </c>
      <c r="AY21" s="24">
        <v>0</v>
      </c>
      <c r="AZ21" s="21">
        <v>0</v>
      </c>
      <c r="BA21" s="21">
        <v>0</v>
      </c>
      <c r="BB21" s="25">
        <v>2384290325</v>
      </c>
      <c r="BC21" s="21">
        <v>2298699574</v>
      </c>
      <c r="BD21" s="21">
        <v>0</v>
      </c>
      <c r="BE21" s="22">
        <f t="shared" ref="BE21" si="9">+BB21</f>
        <v>2384290325</v>
      </c>
      <c r="BF21" s="21">
        <v>2365699549</v>
      </c>
      <c r="BG21" s="21">
        <v>2190528152</v>
      </c>
      <c r="BH21" s="15" t="s">
        <v>59</v>
      </c>
      <c r="BI21" s="58">
        <f t="shared" si="2"/>
        <v>8.126618263235208E-2</v>
      </c>
      <c r="BJ21" s="78" t="s">
        <v>148</v>
      </c>
    </row>
    <row r="22" spans="1:62" ht="75" customHeight="1" thickBot="1" x14ac:dyDescent="0.3">
      <c r="A22" s="493"/>
      <c r="B22" s="483"/>
      <c r="C22" s="486"/>
      <c r="D22" s="489"/>
      <c r="E22" s="491"/>
      <c r="F22" s="495"/>
      <c r="G22" s="498"/>
      <c r="H22" s="498"/>
      <c r="I22" s="505"/>
      <c r="J22" s="506"/>
      <c r="K22" s="507"/>
      <c r="L22" s="91" t="s">
        <v>102</v>
      </c>
      <c r="M22" s="38">
        <v>44562</v>
      </c>
      <c r="N22" s="38">
        <v>44926</v>
      </c>
      <c r="O22" s="54">
        <f t="shared" si="3"/>
        <v>365</v>
      </c>
      <c r="P22" s="73">
        <v>0</v>
      </c>
      <c r="Q22" s="37">
        <v>0</v>
      </c>
      <c r="R22" s="39">
        <v>0</v>
      </c>
      <c r="S22" s="40" t="s">
        <v>0</v>
      </c>
      <c r="T22" s="41"/>
      <c r="U22" s="41"/>
      <c r="V22" s="91" t="s">
        <v>102</v>
      </c>
      <c r="W22" s="91" t="s">
        <v>102</v>
      </c>
      <c r="X22" s="26" t="s">
        <v>113</v>
      </c>
      <c r="Y22" s="40" t="s">
        <v>0</v>
      </c>
      <c r="Z22" s="40"/>
      <c r="AA22" s="40"/>
      <c r="AB22" s="40" t="s">
        <v>0</v>
      </c>
      <c r="AC22" s="40"/>
      <c r="AD22" s="40"/>
      <c r="AE22" s="40" t="s">
        <v>0</v>
      </c>
      <c r="AF22" s="40"/>
      <c r="AG22" s="42"/>
      <c r="AH22" s="40" t="s">
        <v>0</v>
      </c>
      <c r="AI22" s="40"/>
      <c r="AJ22" s="42"/>
      <c r="AK22" s="37">
        <v>0</v>
      </c>
      <c r="AL22" s="39">
        <v>0</v>
      </c>
      <c r="AM22" s="39">
        <v>0</v>
      </c>
      <c r="AN22" s="43">
        <v>0</v>
      </c>
      <c r="AO22" s="385"/>
      <c r="AP22" s="42" t="s">
        <v>118</v>
      </c>
      <c r="AQ22" s="45">
        <v>296615906</v>
      </c>
      <c r="AR22" s="44">
        <v>1</v>
      </c>
      <c r="AS22" s="104">
        <v>296615906</v>
      </c>
      <c r="AT22" s="47">
        <f t="shared" si="8"/>
        <v>296615906</v>
      </c>
      <c r="AU22" s="48">
        <f t="shared" si="7"/>
        <v>0</v>
      </c>
      <c r="AV22" s="49">
        <v>0</v>
      </c>
      <c r="AW22" s="49">
        <v>0</v>
      </c>
      <c r="AX22" s="49">
        <v>0</v>
      </c>
      <c r="AY22" s="49">
        <v>0</v>
      </c>
      <c r="AZ22" s="46">
        <v>0</v>
      </c>
      <c r="BA22" s="46">
        <v>0</v>
      </c>
      <c r="BB22" s="50">
        <v>0</v>
      </c>
      <c r="BC22" s="46">
        <v>0</v>
      </c>
      <c r="BD22" s="46">
        <v>0</v>
      </c>
      <c r="BE22" s="45">
        <v>296615906</v>
      </c>
      <c r="BF22" s="45">
        <v>296615905</v>
      </c>
      <c r="BG22" s="46">
        <v>0</v>
      </c>
      <c r="BH22" s="15" t="s">
        <v>59</v>
      </c>
      <c r="BI22" s="58">
        <f t="shared" si="2"/>
        <v>0</v>
      </c>
      <c r="BJ22" s="78" t="s">
        <v>149</v>
      </c>
    </row>
    <row r="23" spans="1:62" ht="35.25" customHeight="1" thickBot="1" x14ac:dyDescent="0.3">
      <c r="A23" s="493"/>
      <c r="B23" s="483"/>
      <c r="C23" s="59"/>
      <c r="E23" s="63"/>
      <c r="U23" s="16"/>
      <c r="V23" s="15"/>
      <c r="X23" s="26" t="s">
        <v>113</v>
      </c>
      <c r="BH23" s="15"/>
      <c r="BI23" s="58"/>
      <c r="BJ23" s="108"/>
    </row>
    <row r="24" spans="1:62" ht="69" customHeight="1" thickBot="1" x14ac:dyDescent="0.3">
      <c r="A24" s="493"/>
      <c r="B24" s="483"/>
      <c r="C24" s="485" t="s">
        <v>74</v>
      </c>
      <c r="D24" s="61" t="s">
        <v>81</v>
      </c>
      <c r="E24" s="64">
        <v>246434.59</v>
      </c>
      <c r="F24" s="64">
        <v>90629.58</v>
      </c>
      <c r="G24" s="68">
        <f>F24/E24</f>
        <v>0.36776322674507667</v>
      </c>
      <c r="H24" s="68">
        <v>0.22</v>
      </c>
      <c r="I24" s="509" t="s">
        <v>98</v>
      </c>
      <c r="J24" s="506">
        <v>2021130010141</v>
      </c>
      <c r="K24" s="507" t="s">
        <v>99</v>
      </c>
      <c r="L24" s="71" t="s">
        <v>100</v>
      </c>
      <c r="M24" s="14">
        <v>44562</v>
      </c>
      <c r="N24" s="14">
        <v>44926</v>
      </c>
      <c r="O24" s="52">
        <f>(N24-M24)+1</f>
        <v>365</v>
      </c>
      <c r="P24" s="75" t="s">
        <v>112</v>
      </c>
      <c r="Q24" s="74">
        <v>0.32</v>
      </c>
      <c r="R24" s="74">
        <v>0.32</v>
      </c>
      <c r="S24" s="15" t="s">
        <v>0</v>
      </c>
      <c r="T24" s="16"/>
      <c r="U24" s="41"/>
      <c r="V24" s="71" t="s">
        <v>100</v>
      </c>
      <c r="W24" s="71" t="s">
        <v>100</v>
      </c>
      <c r="X24" s="26" t="s">
        <v>113</v>
      </c>
      <c r="Y24" s="15" t="s">
        <v>0</v>
      </c>
      <c r="Z24" s="15"/>
      <c r="AA24" s="15"/>
      <c r="AB24" s="15" t="s">
        <v>0</v>
      </c>
      <c r="AC24" s="15"/>
      <c r="AD24" s="15"/>
      <c r="AE24" s="15" t="s">
        <v>0</v>
      </c>
      <c r="AF24" s="15"/>
      <c r="AG24" s="17"/>
      <c r="AH24" s="15"/>
      <c r="AI24" s="15" t="s">
        <v>0</v>
      </c>
      <c r="AJ24" s="78"/>
      <c r="AK24" s="74">
        <v>0.32</v>
      </c>
      <c r="AL24" s="74">
        <v>0.32</v>
      </c>
      <c r="AM24" s="74">
        <v>0.32</v>
      </c>
      <c r="AN24" s="18">
        <v>0</v>
      </c>
      <c r="AO24" s="364" t="s">
        <v>127</v>
      </c>
      <c r="AP24" s="15" t="s">
        <v>116</v>
      </c>
      <c r="AQ24" s="20">
        <v>1263392236</v>
      </c>
      <c r="AR24" s="19">
        <v>0.81</v>
      </c>
      <c r="AS24" s="103">
        <v>1263392236</v>
      </c>
      <c r="AT24" s="22">
        <f t="shared" si="8"/>
        <v>1263392236</v>
      </c>
      <c r="AU24" s="23">
        <f t="shared" si="7"/>
        <v>0</v>
      </c>
      <c r="AV24" s="24">
        <v>1263392236</v>
      </c>
      <c r="AW24" s="24">
        <v>596554074</v>
      </c>
      <c r="AX24" s="24">
        <v>88619000</v>
      </c>
      <c r="AY24" s="24">
        <v>1263392236</v>
      </c>
      <c r="AZ24" s="21">
        <v>579054074</v>
      </c>
      <c r="BA24" s="21">
        <v>264674000</v>
      </c>
      <c r="BB24" s="25">
        <v>1263392236</v>
      </c>
      <c r="BC24" s="21">
        <v>1006295369</v>
      </c>
      <c r="BD24" s="21">
        <v>513303074</v>
      </c>
      <c r="BE24" s="25">
        <v>1263392236</v>
      </c>
      <c r="BF24" s="21">
        <v>1018912036</v>
      </c>
      <c r="BG24" s="21">
        <v>1004412036</v>
      </c>
      <c r="BH24" s="15" t="s">
        <v>59</v>
      </c>
      <c r="BI24" s="58">
        <f>(AL24+AL25/2)-((BG24/BE24))</f>
        <v>2.4987962265742514E-2</v>
      </c>
      <c r="BJ24" s="78" t="s">
        <v>150</v>
      </c>
    </row>
    <row r="25" spans="1:62" ht="57.75" customHeight="1" thickBot="1" x14ac:dyDescent="0.3">
      <c r="A25" s="493"/>
      <c r="B25" s="483"/>
      <c r="C25" s="486"/>
      <c r="D25" s="499" t="s">
        <v>82</v>
      </c>
      <c r="E25" s="495" t="s">
        <v>88</v>
      </c>
      <c r="F25" s="495" t="s">
        <v>88</v>
      </c>
      <c r="G25" s="496">
        <v>1</v>
      </c>
      <c r="H25" s="496">
        <v>1</v>
      </c>
      <c r="I25" s="509"/>
      <c r="J25" s="506"/>
      <c r="K25" s="507"/>
      <c r="L25" s="71" t="s">
        <v>101</v>
      </c>
      <c r="M25" s="38">
        <v>44562</v>
      </c>
      <c r="N25" s="38">
        <v>44926</v>
      </c>
      <c r="O25" s="53">
        <f t="shared" ref="O25:O34" si="10">(N25-M25)+1</f>
        <v>365</v>
      </c>
      <c r="P25" s="73" t="s">
        <v>88</v>
      </c>
      <c r="Q25" s="74">
        <v>1</v>
      </c>
      <c r="R25" s="74">
        <v>1</v>
      </c>
      <c r="S25" s="40" t="s">
        <v>0</v>
      </c>
      <c r="T25" s="41"/>
      <c r="U25" s="16"/>
      <c r="V25" s="71" t="s">
        <v>101</v>
      </c>
      <c r="W25" s="71" t="s">
        <v>101</v>
      </c>
      <c r="X25" s="26" t="s">
        <v>113</v>
      </c>
      <c r="Y25" s="40" t="s">
        <v>0</v>
      </c>
      <c r="Z25" s="40"/>
      <c r="AA25" s="40"/>
      <c r="AB25" s="40" t="s">
        <v>0</v>
      </c>
      <c r="AC25" s="40"/>
      <c r="AD25" s="40"/>
      <c r="AE25" s="40" t="s">
        <v>0</v>
      </c>
      <c r="AF25" s="40"/>
      <c r="AG25" s="42"/>
      <c r="AH25" s="40" t="s">
        <v>0</v>
      </c>
      <c r="AI25" s="40"/>
      <c r="AJ25" s="42"/>
      <c r="AK25" s="74">
        <v>1</v>
      </c>
      <c r="AL25" s="74">
        <v>1</v>
      </c>
      <c r="AM25" s="74">
        <v>1</v>
      </c>
      <c r="AN25" s="43">
        <v>0</v>
      </c>
      <c r="AO25" s="365"/>
      <c r="AP25" s="42" t="s">
        <v>128</v>
      </c>
      <c r="AQ25" s="45">
        <v>2067081637</v>
      </c>
      <c r="AR25" s="44">
        <v>0.63</v>
      </c>
      <c r="AS25" s="104">
        <v>2067081637</v>
      </c>
      <c r="AT25" s="47">
        <f t="shared" si="8"/>
        <v>2067081637</v>
      </c>
      <c r="AU25" s="48">
        <f t="shared" si="7"/>
        <v>0</v>
      </c>
      <c r="AV25" s="49">
        <v>2067081637</v>
      </c>
      <c r="AW25" s="49">
        <v>0</v>
      </c>
      <c r="AX25" s="49">
        <v>0</v>
      </c>
      <c r="AY25" s="49">
        <v>2067081637</v>
      </c>
      <c r="AZ25" s="46">
        <v>0</v>
      </c>
      <c r="BA25" s="46">
        <v>0</v>
      </c>
      <c r="BB25" s="50">
        <v>2067081637</v>
      </c>
      <c r="BC25" s="46">
        <v>1288806839</v>
      </c>
      <c r="BD25" s="46">
        <v>0</v>
      </c>
      <c r="BE25" s="50">
        <v>2067081637</v>
      </c>
      <c r="BF25" s="46">
        <v>1293935639</v>
      </c>
      <c r="BG25" s="46">
        <v>1268808591</v>
      </c>
      <c r="BH25" s="15" t="s">
        <v>59</v>
      </c>
      <c r="BI25" s="58">
        <f>(AL24+AL25/2)-((BG25/BE25))</f>
        <v>0.20618360867379726</v>
      </c>
      <c r="BJ25" s="78" t="s">
        <v>151</v>
      </c>
    </row>
    <row r="26" spans="1:62" ht="73.5" customHeight="1" thickBot="1" x14ac:dyDescent="0.3">
      <c r="A26" s="493"/>
      <c r="B26" s="483"/>
      <c r="C26" s="487"/>
      <c r="D26" s="500"/>
      <c r="E26" s="495"/>
      <c r="F26" s="495"/>
      <c r="G26" s="497"/>
      <c r="H26" s="497"/>
      <c r="I26" s="509"/>
      <c r="J26" s="506"/>
      <c r="K26" s="507"/>
      <c r="L26" s="71" t="s">
        <v>102</v>
      </c>
      <c r="M26" s="14">
        <v>44562</v>
      </c>
      <c r="N26" s="14">
        <v>44926</v>
      </c>
      <c r="O26" s="54">
        <f t="shared" si="10"/>
        <v>365</v>
      </c>
      <c r="P26" s="73">
        <v>14</v>
      </c>
      <c r="Q26" s="74">
        <v>1</v>
      </c>
      <c r="R26" s="74">
        <v>1</v>
      </c>
      <c r="S26" s="26" t="s">
        <v>0</v>
      </c>
      <c r="T26" s="27"/>
      <c r="U26" s="41"/>
      <c r="V26" s="71" t="s">
        <v>102</v>
      </c>
      <c r="W26" s="71" t="s">
        <v>102</v>
      </c>
      <c r="X26" s="26" t="s">
        <v>113</v>
      </c>
      <c r="Y26" s="26" t="s">
        <v>0</v>
      </c>
      <c r="Z26" s="26"/>
      <c r="AA26" s="26"/>
      <c r="AB26" s="26" t="s">
        <v>0</v>
      </c>
      <c r="AC26" s="26"/>
      <c r="AD26" s="26"/>
      <c r="AE26" s="26" t="s">
        <v>0</v>
      </c>
      <c r="AF26" s="26"/>
      <c r="AG26" s="28"/>
      <c r="AH26" s="26" t="s">
        <v>0</v>
      </c>
      <c r="AI26" s="26"/>
      <c r="AJ26" s="28"/>
      <c r="AK26" s="74">
        <v>1</v>
      </c>
      <c r="AL26" s="74">
        <v>1</v>
      </c>
      <c r="AM26" s="74">
        <v>1</v>
      </c>
      <c r="AN26" s="29">
        <v>0</v>
      </c>
      <c r="AO26" s="366"/>
      <c r="AP26" s="28" t="s">
        <v>129</v>
      </c>
      <c r="AQ26" s="31">
        <v>1085753639</v>
      </c>
      <c r="AR26" s="30">
        <v>1</v>
      </c>
      <c r="AS26" s="102">
        <v>1085753639</v>
      </c>
      <c r="AT26" s="33">
        <f t="shared" si="8"/>
        <v>1085753639</v>
      </c>
      <c r="AU26" s="34">
        <f t="shared" si="7"/>
        <v>0</v>
      </c>
      <c r="AV26" s="35">
        <v>0</v>
      </c>
      <c r="AW26" s="35">
        <v>0</v>
      </c>
      <c r="AX26" s="35">
        <v>0</v>
      </c>
      <c r="AY26" s="35">
        <v>0</v>
      </c>
      <c r="AZ26" s="32">
        <v>0</v>
      </c>
      <c r="BA26" s="32">
        <v>0</v>
      </c>
      <c r="BB26" s="36">
        <v>1085753639</v>
      </c>
      <c r="BC26" s="32">
        <v>1085753639</v>
      </c>
      <c r="BD26" s="32">
        <v>0</v>
      </c>
      <c r="BE26" s="36">
        <v>1085753639</v>
      </c>
      <c r="BF26" s="32">
        <f>BE26</f>
        <v>1085753639</v>
      </c>
      <c r="BG26" s="32">
        <f>BF26</f>
        <v>1085753639</v>
      </c>
      <c r="BH26" s="15" t="s">
        <v>59</v>
      </c>
      <c r="BI26" s="58">
        <f t="shared" si="2"/>
        <v>0</v>
      </c>
      <c r="BJ26" s="78" t="s">
        <v>144</v>
      </c>
    </row>
    <row r="27" spans="1:62" ht="35.25" customHeight="1" thickBot="1" x14ac:dyDescent="0.3">
      <c r="A27" s="493"/>
      <c r="B27" s="483"/>
      <c r="C27" s="59"/>
      <c r="E27" s="65"/>
      <c r="U27" s="16"/>
      <c r="V27" s="15"/>
      <c r="W27" s="15"/>
      <c r="X27" s="26"/>
      <c r="BH27" s="15"/>
      <c r="BI27" s="58"/>
      <c r="BJ27" s="108"/>
    </row>
    <row r="28" spans="1:62" ht="49.5" customHeight="1" thickBot="1" x14ac:dyDescent="0.3">
      <c r="A28" s="493"/>
      <c r="B28" s="483"/>
      <c r="C28" s="485" t="s">
        <v>75</v>
      </c>
      <c r="D28" s="499" t="s">
        <v>83</v>
      </c>
      <c r="E28" s="502">
        <v>0.1</v>
      </c>
      <c r="F28" s="512">
        <v>0.11</v>
      </c>
      <c r="G28" s="512">
        <v>1</v>
      </c>
      <c r="H28" s="512">
        <v>0.55000000000000004</v>
      </c>
      <c r="I28" s="510" t="s">
        <v>103</v>
      </c>
      <c r="J28" s="511">
        <v>2021130010184</v>
      </c>
      <c r="K28" s="507" t="s">
        <v>104</v>
      </c>
      <c r="L28" s="394" t="s">
        <v>105</v>
      </c>
      <c r="M28" s="397">
        <v>44562</v>
      </c>
      <c r="N28" s="397">
        <v>44926</v>
      </c>
      <c r="O28" s="400">
        <f t="shared" si="10"/>
        <v>365</v>
      </c>
      <c r="P28" s="387">
        <v>0.1</v>
      </c>
      <c r="Q28" s="387">
        <v>1</v>
      </c>
      <c r="R28" s="387">
        <v>1</v>
      </c>
      <c r="S28" s="367" t="s">
        <v>0</v>
      </c>
      <c r="T28" s="403"/>
      <c r="U28" s="403"/>
      <c r="V28" s="394" t="s">
        <v>105</v>
      </c>
      <c r="W28" s="394" t="s">
        <v>105</v>
      </c>
      <c r="X28" s="407" t="s">
        <v>113</v>
      </c>
      <c r="Y28" s="367" t="s">
        <v>0</v>
      </c>
      <c r="Z28" s="367"/>
      <c r="AA28" s="367"/>
      <c r="AB28" s="367"/>
      <c r="AC28" s="367" t="s">
        <v>0</v>
      </c>
      <c r="AD28" s="364" t="s">
        <v>295</v>
      </c>
      <c r="AE28" s="367"/>
      <c r="AF28" s="367" t="s">
        <v>0</v>
      </c>
      <c r="AG28" s="364" t="s">
        <v>296</v>
      </c>
      <c r="AH28" s="367"/>
      <c r="AI28" s="367" t="s">
        <v>0</v>
      </c>
      <c r="AJ28" s="364"/>
      <c r="AK28" s="387">
        <v>0.04</v>
      </c>
      <c r="AL28" s="90">
        <v>0</v>
      </c>
      <c r="AM28" s="387">
        <v>0</v>
      </c>
      <c r="AN28" s="390">
        <v>0.1</v>
      </c>
      <c r="AO28" s="364" t="s">
        <v>130</v>
      </c>
      <c r="AP28" s="40" t="s">
        <v>116</v>
      </c>
      <c r="AQ28" s="45">
        <v>1171652768</v>
      </c>
      <c r="AR28" s="44">
        <v>0.74</v>
      </c>
      <c r="AS28" s="104">
        <v>1171652768</v>
      </c>
      <c r="AT28" s="47">
        <f t="shared" si="8"/>
        <v>1171652768</v>
      </c>
      <c r="AU28" s="48">
        <f t="shared" si="7"/>
        <v>0</v>
      </c>
      <c r="AV28" s="49">
        <v>931152768</v>
      </c>
      <c r="AW28" s="49">
        <v>468102074</v>
      </c>
      <c r="AX28" s="49">
        <v>47402000</v>
      </c>
      <c r="AY28" s="49">
        <v>931152768</v>
      </c>
      <c r="AZ28" s="46">
        <v>468102074</v>
      </c>
      <c r="BA28" s="46">
        <v>189381000</v>
      </c>
      <c r="BB28" s="50">
        <v>1171652768</v>
      </c>
      <c r="BC28" s="46">
        <v>571955074</v>
      </c>
      <c r="BD28" s="46">
        <v>400983074</v>
      </c>
      <c r="BE28" s="50">
        <v>1171652768</v>
      </c>
      <c r="BF28" s="46">
        <v>863252936</v>
      </c>
      <c r="BG28" s="46">
        <v>519237074</v>
      </c>
      <c r="BH28" s="15" t="s">
        <v>59</v>
      </c>
      <c r="BI28" s="58">
        <f t="shared" si="2"/>
        <v>-0.44316634431405194</v>
      </c>
      <c r="BJ28" s="78" t="s">
        <v>152</v>
      </c>
    </row>
    <row r="29" spans="1:62" ht="74.25" customHeight="1" thickBot="1" x14ac:dyDescent="0.3">
      <c r="A29" s="493"/>
      <c r="B29" s="483"/>
      <c r="C29" s="486"/>
      <c r="D29" s="501"/>
      <c r="E29" s="503"/>
      <c r="F29" s="512"/>
      <c r="G29" s="512"/>
      <c r="H29" s="512"/>
      <c r="I29" s="510"/>
      <c r="J29" s="511"/>
      <c r="K29" s="507"/>
      <c r="L29" s="395"/>
      <c r="M29" s="398"/>
      <c r="N29" s="398"/>
      <c r="O29" s="401"/>
      <c r="P29" s="388"/>
      <c r="Q29" s="388"/>
      <c r="R29" s="388"/>
      <c r="S29" s="368"/>
      <c r="T29" s="404"/>
      <c r="U29" s="404"/>
      <c r="V29" s="395"/>
      <c r="W29" s="395"/>
      <c r="X29" s="368"/>
      <c r="Y29" s="368"/>
      <c r="Z29" s="368"/>
      <c r="AA29" s="368"/>
      <c r="AB29" s="368"/>
      <c r="AC29" s="368"/>
      <c r="AD29" s="365"/>
      <c r="AE29" s="368"/>
      <c r="AF29" s="368"/>
      <c r="AG29" s="365"/>
      <c r="AH29" s="368"/>
      <c r="AI29" s="368"/>
      <c r="AJ29" s="365"/>
      <c r="AK29" s="388"/>
      <c r="AL29" s="90">
        <v>0</v>
      </c>
      <c r="AM29" s="388"/>
      <c r="AN29" s="391"/>
      <c r="AO29" s="365"/>
      <c r="AP29" s="42" t="s">
        <v>128</v>
      </c>
      <c r="AQ29" s="45">
        <v>600000000</v>
      </c>
      <c r="AR29" s="44">
        <v>0</v>
      </c>
      <c r="AS29" s="104">
        <v>600000000</v>
      </c>
      <c r="AT29" s="47">
        <f t="shared" ref="AT29:AT33" si="11">+AQ29</f>
        <v>600000000</v>
      </c>
      <c r="AU29" s="48">
        <f t="shared" ref="AU29:AU33" si="12">+AT29-AS29</f>
        <v>0</v>
      </c>
      <c r="AV29" s="49">
        <v>200000000</v>
      </c>
      <c r="AW29" s="49">
        <v>0</v>
      </c>
      <c r="AX29" s="49">
        <v>0</v>
      </c>
      <c r="AY29" s="49">
        <v>200000000</v>
      </c>
      <c r="AZ29" s="46">
        <v>0</v>
      </c>
      <c r="BA29" s="46">
        <v>0</v>
      </c>
      <c r="BB29" s="50">
        <v>600000000</v>
      </c>
      <c r="BC29" s="46">
        <v>932158</v>
      </c>
      <c r="BD29" s="46">
        <f>BC29</f>
        <v>932158</v>
      </c>
      <c r="BE29" s="50">
        <v>600000000</v>
      </c>
      <c r="BF29" s="46">
        <v>932158</v>
      </c>
      <c r="BG29" s="46">
        <v>932158</v>
      </c>
      <c r="BH29" s="15" t="s">
        <v>59</v>
      </c>
      <c r="BI29" s="58">
        <f t="shared" si="2"/>
        <v>-1.5535966666666667E-3</v>
      </c>
      <c r="BJ29" s="78" t="s">
        <v>153</v>
      </c>
    </row>
    <row r="30" spans="1:62" ht="61.5" customHeight="1" thickBot="1" x14ac:dyDescent="0.3">
      <c r="A30" s="493"/>
      <c r="B30" s="483"/>
      <c r="C30" s="486"/>
      <c r="D30" s="501"/>
      <c r="E30" s="503"/>
      <c r="F30" s="512"/>
      <c r="G30" s="512"/>
      <c r="H30" s="512"/>
      <c r="I30" s="510"/>
      <c r="J30" s="511"/>
      <c r="K30" s="507"/>
      <c r="L30" s="395"/>
      <c r="M30" s="398"/>
      <c r="N30" s="398"/>
      <c r="O30" s="401"/>
      <c r="P30" s="388"/>
      <c r="Q30" s="388"/>
      <c r="R30" s="388"/>
      <c r="S30" s="368"/>
      <c r="T30" s="404"/>
      <c r="U30" s="404"/>
      <c r="V30" s="395"/>
      <c r="W30" s="395"/>
      <c r="X30" s="368"/>
      <c r="Y30" s="368"/>
      <c r="Z30" s="368"/>
      <c r="AA30" s="368"/>
      <c r="AB30" s="368"/>
      <c r="AC30" s="368"/>
      <c r="AD30" s="365"/>
      <c r="AE30" s="368"/>
      <c r="AF30" s="368"/>
      <c r="AG30" s="365"/>
      <c r="AH30" s="368"/>
      <c r="AI30" s="368"/>
      <c r="AJ30" s="365"/>
      <c r="AK30" s="388"/>
      <c r="AL30" s="90">
        <v>0</v>
      </c>
      <c r="AM30" s="388"/>
      <c r="AN30" s="391"/>
      <c r="AO30" s="365"/>
      <c r="AP30" s="42" t="s">
        <v>123</v>
      </c>
      <c r="AQ30" s="45">
        <v>567844209</v>
      </c>
      <c r="AR30" s="44">
        <v>0</v>
      </c>
      <c r="AS30" s="104">
        <v>567844209</v>
      </c>
      <c r="AT30" s="47">
        <f t="shared" si="11"/>
        <v>567844209</v>
      </c>
      <c r="AU30" s="48">
        <f t="shared" si="12"/>
        <v>0</v>
      </c>
      <c r="AV30" s="49">
        <v>0</v>
      </c>
      <c r="AW30" s="49">
        <v>0</v>
      </c>
      <c r="AX30" s="49">
        <v>0</v>
      </c>
      <c r="AY30" s="49">
        <v>0</v>
      </c>
      <c r="AZ30" s="46">
        <v>0</v>
      </c>
      <c r="BA30" s="46">
        <v>0</v>
      </c>
      <c r="BB30" s="45">
        <v>567844209</v>
      </c>
      <c r="BC30" s="46">
        <v>0</v>
      </c>
      <c r="BD30" s="46">
        <v>0</v>
      </c>
      <c r="BE30" s="45">
        <v>567844209</v>
      </c>
      <c r="BF30" s="46">
        <v>0</v>
      </c>
      <c r="BG30" s="46">
        <v>0</v>
      </c>
      <c r="BH30" s="15" t="s">
        <v>59</v>
      </c>
      <c r="BI30" s="58">
        <f t="shared" si="2"/>
        <v>0</v>
      </c>
      <c r="BJ30" s="78" t="s">
        <v>153</v>
      </c>
    </row>
    <row r="31" spans="1:62" ht="80.25" customHeight="1" thickBot="1" x14ac:dyDescent="0.3">
      <c r="A31" s="493"/>
      <c r="B31" s="483"/>
      <c r="C31" s="486"/>
      <c r="D31" s="501"/>
      <c r="E31" s="503"/>
      <c r="F31" s="512"/>
      <c r="G31" s="512"/>
      <c r="H31" s="512"/>
      <c r="I31" s="510"/>
      <c r="J31" s="511"/>
      <c r="K31" s="507"/>
      <c r="L31" s="395"/>
      <c r="M31" s="398"/>
      <c r="N31" s="398"/>
      <c r="O31" s="401"/>
      <c r="P31" s="388"/>
      <c r="Q31" s="388"/>
      <c r="R31" s="388"/>
      <c r="S31" s="368"/>
      <c r="T31" s="404"/>
      <c r="U31" s="404"/>
      <c r="V31" s="395"/>
      <c r="W31" s="395"/>
      <c r="X31" s="368"/>
      <c r="Y31" s="368"/>
      <c r="Z31" s="368"/>
      <c r="AA31" s="368"/>
      <c r="AB31" s="368"/>
      <c r="AC31" s="368"/>
      <c r="AD31" s="365"/>
      <c r="AE31" s="368"/>
      <c r="AF31" s="368"/>
      <c r="AG31" s="365"/>
      <c r="AH31" s="368"/>
      <c r="AI31" s="368"/>
      <c r="AJ31" s="365"/>
      <c r="AK31" s="388"/>
      <c r="AL31" s="90">
        <v>0.04</v>
      </c>
      <c r="AM31" s="388"/>
      <c r="AN31" s="391"/>
      <c r="AO31" s="365"/>
      <c r="AP31" s="42" t="s">
        <v>124</v>
      </c>
      <c r="AQ31" s="45">
        <v>14999983683</v>
      </c>
      <c r="AR31" s="44">
        <v>1</v>
      </c>
      <c r="AS31" s="104">
        <v>14999983683</v>
      </c>
      <c r="AT31" s="47">
        <f t="shared" si="11"/>
        <v>14999983683</v>
      </c>
      <c r="AU31" s="48">
        <f t="shared" si="12"/>
        <v>0</v>
      </c>
      <c r="AV31" s="49">
        <v>0</v>
      </c>
      <c r="AW31" s="49">
        <v>0</v>
      </c>
      <c r="AX31" s="49">
        <v>0</v>
      </c>
      <c r="AY31" s="49">
        <v>0</v>
      </c>
      <c r="AZ31" s="46">
        <v>0</v>
      </c>
      <c r="BA31" s="46">
        <v>0</v>
      </c>
      <c r="BB31" s="45">
        <v>14999983683</v>
      </c>
      <c r="BC31" s="46">
        <f>BB31</f>
        <v>14999983683</v>
      </c>
      <c r="BD31" s="46">
        <v>9918779967</v>
      </c>
      <c r="BE31" s="45">
        <v>14999983683</v>
      </c>
      <c r="BF31" s="46">
        <f>BE31</f>
        <v>14999983683</v>
      </c>
      <c r="BG31" s="46">
        <f>BD31</f>
        <v>9918779967</v>
      </c>
      <c r="BH31" s="15" t="s">
        <v>59</v>
      </c>
      <c r="BI31" s="58">
        <f t="shared" si="2"/>
        <v>-0.62125271711070562</v>
      </c>
      <c r="BJ31" s="78" t="s">
        <v>154</v>
      </c>
    </row>
    <row r="32" spans="1:62" ht="90" customHeight="1" thickBot="1" x14ac:dyDescent="0.3">
      <c r="A32" s="493"/>
      <c r="B32" s="483"/>
      <c r="C32" s="486"/>
      <c r="D32" s="501"/>
      <c r="E32" s="503"/>
      <c r="F32" s="512"/>
      <c r="G32" s="512"/>
      <c r="H32" s="512"/>
      <c r="I32" s="510"/>
      <c r="J32" s="511"/>
      <c r="K32" s="507"/>
      <c r="L32" s="395"/>
      <c r="M32" s="398"/>
      <c r="N32" s="398"/>
      <c r="O32" s="401"/>
      <c r="P32" s="388"/>
      <c r="Q32" s="388"/>
      <c r="R32" s="388"/>
      <c r="S32" s="368"/>
      <c r="T32" s="404"/>
      <c r="U32" s="404"/>
      <c r="V32" s="395"/>
      <c r="W32" s="395"/>
      <c r="X32" s="368"/>
      <c r="Y32" s="368"/>
      <c r="Z32" s="368"/>
      <c r="AA32" s="368"/>
      <c r="AB32" s="368"/>
      <c r="AC32" s="368"/>
      <c r="AD32" s="365"/>
      <c r="AE32" s="368"/>
      <c r="AF32" s="368"/>
      <c r="AG32" s="365"/>
      <c r="AH32" s="368"/>
      <c r="AI32" s="368"/>
      <c r="AJ32" s="365"/>
      <c r="AK32" s="388"/>
      <c r="AL32" s="90">
        <v>0</v>
      </c>
      <c r="AM32" s="388"/>
      <c r="AN32" s="391"/>
      <c r="AO32" s="365"/>
      <c r="AP32" s="42" t="s">
        <v>131</v>
      </c>
      <c r="AQ32" s="45">
        <v>797435</v>
      </c>
      <c r="AR32" s="44">
        <v>0</v>
      </c>
      <c r="AS32" s="104">
        <v>797435</v>
      </c>
      <c r="AT32" s="47">
        <f t="shared" si="11"/>
        <v>797435</v>
      </c>
      <c r="AU32" s="48">
        <f t="shared" si="12"/>
        <v>0</v>
      </c>
      <c r="AV32" s="49">
        <v>0</v>
      </c>
      <c r="AW32" s="49">
        <v>0</v>
      </c>
      <c r="AX32" s="49">
        <v>0</v>
      </c>
      <c r="AY32" s="49">
        <v>0</v>
      </c>
      <c r="AZ32" s="46">
        <v>0</v>
      </c>
      <c r="BA32" s="46">
        <v>0</v>
      </c>
      <c r="BB32" s="45">
        <v>797435</v>
      </c>
      <c r="BC32" s="46">
        <v>0</v>
      </c>
      <c r="BD32" s="46">
        <v>0</v>
      </c>
      <c r="BE32" s="45">
        <v>797435</v>
      </c>
      <c r="BF32" s="46">
        <v>0</v>
      </c>
      <c r="BG32" s="46">
        <v>0</v>
      </c>
      <c r="BH32" s="15" t="s">
        <v>59</v>
      </c>
      <c r="BI32" s="58">
        <f t="shared" si="2"/>
        <v>0</v>
      </c>
      <c r="BJ32" s="78" t="s">
        <v>153</v>
      </c>
    </row>
    <row r="33" spans="1:62" ht="90" customHeight="1" thickBot="1" x14ac:dyDescent="0.3">
      <c r="A33" s="493"/>
      <c r="B33" s="483"/>
      <c r="C33" s="486"/>
      <c r="D33" s="501"/>
      <c r="E33" s="503"/>
      <c r="F33" s="512"/>
      <c r="G33" s="512"/>
      <c r="H33" s="512"/>
      <c r="I33" s="510"/>
      <c r="J33" s="511"/>
      <c r="K33" s="507"/>
      <c r="L33" s="396"/>
      <c r="M33" s="399"/>
      <c r="N33" s="399"/>
      <c r="O33" s="402"/>
      <c r="P33" s="389"/>
      <c r="Q33" s="389"/>
      <c r="R33" s="389"/>
      <c r="S33" s="386"/>
      <c r="T33" s="405"/>
      <c r="U33" s="406"/>
      <c r="V33" s="396"/>
      <c r="W33" s="396"/>
      <c r="X33" s="386"/>
      <c r="Y33" s="386"/>
      <c r="Z33" s="386"/>
      <c r="AA33" s="386"/>
      <c r="AB33" s="386"/>
      <c r="AC33" s="386"/>
      <c r="AD33" s="385"/>
      <c r="AE33" s="386"/>
      <c r="AF33" s="386"/>
      <c r="AG33" s="385"/>
      <c r="AH33" s="386"/>
      <c r="AI33" s="386"/>
      <c r="AJ33" s="385"/>
      <c r="AK33" s="389"/>
      <c r="AL33" s="90">
        <v>1</v>
      </c>
      <c r="AM33" s="389"/>
      <c r="AN33" s="392"/>
      <c r="AO33" s="365"/>
      <c r="AP33" s="42" t="s">
        <v>131</v>
      </c>
      <c r="AQ33" s="45">
        <v>106911</v>
      </c>
      <c r="AR33" s="44">
        <v>0</v>
      </c>
      <c r="AS33" s="104">
        <v>106911</v>
      </c>
      <c r="AT33" s="47">
        <f t="shared" si="11"/>
        <v>106911</v>
      </c>
      <c r="AU33" s="48">
        <f t="shared" si="12"/>
        <v>0</v>
      </c>
      <c r="AV33" s="49">
        <v>0</v>
      </c>
      <c r="AW33" s="49">
        <v>0</v>
      </c>
      <c r="AX33" s="49">
        <v>0</v>
      </c>
      <c r="AY33" s="49">
        <v>0</v>
      </c>
      <c r="AZ33" s="46">
        <v>0</v>
      </c>
      <c r="BA33" s="46">
        <v>0</v>
      </c>
      <c r="BB33" s="45">
        <v>106911</v>
      </c>
      <c r="BC33" s="46">
        <v>0</v>
      </c>
      <c r="BD33" s="46">
        <v>0</v>
      </c>
      <c r="BE33" s="45">
        <v>106911</v>
      </c>
      <c r="BF33" s="46">
        <v>0</v>
      </c>
      <c r="BG33" s="46">
        <v>0</v>
      </c>
      <c r="BH33" s="15" t="s">
        <v>59</v>
      </c>
      <c r="BI33" s="58">
        <f t="shared" si="2"/>
        <v>1</v>
      </c>
      <c r="BJ33" s="78" t="s">
        <v>153</v>
      </c>
    </row>
    <row r="34" spans="1:62" ht="85.5" customHeight="1" thickBot="1" x14ac:dyDescent="0.3">
      <c r="A34" s="493"/>
      <c r="B34" s="483"/>
      <c r="C34" s="487"/>
      <c r="D34" s="500"/>
      <c r="E34" s="504"/>
      <c r="F34" s="513"/>
      <c r="G34" s="513"/>
      <c r="H34" s="513"/>
      <c r="I34" s="510"/>
      <c r="J34" s="511"/>
      <c r="K34" s="507"/>
      <c r="L34" s="70" t="s">
        <v>106</v>
      </c>
      <c r="M34" s="14">
        <v>44562</v>
      </c>
      <c r="N34" s="14">
        <v>44926</v>
      </c>
      <c r="O34" s="54">
        <f t="shared" si="10"/>
        <v>365</v>
      </c>
      <c r="P34" s="73">
        <v>18</v>
      </c>
      <c r="Q34" s="74">
        <v>1</v>
      </c>
      <c r="R34" s="74">
        <v>1</v>
      </c>
      <c r="S34" s="26" t="s">
        <v>0</v>
      </c>
      <c r="T34" s="27"/>
      <c r="U34" s="16"/>
      <c r="V34" s="70" t="s">
        <v>106</v>
      </c>
      <c r="W34" s="70" t="s">
        <v>106</v>
      </c>
      <c r="X34" s="26" t="s">
        <v>113</v>
      </c>
      <c r="Y34" s="26" t="s">
        <v>0</v>
      </c>
      <c r="Z34" s="26"/>
      <c r="AA34" s="26"/>
      <c r="AB34" s="26" t="s">
        <v>0</v>
      </c>
      <c r="AC34" s="26"/>
      <c r="AD34" s="26"/>
      <c r="AE34" s="26" t="s">
        <v>0</v>
      </c>
      <c r="AF34" s="26"/>
      <c r="AG34" s="28"/>
      <c r="AH34" s="26" t="s">
        <v>0</v>
      </c>
      <c r="AI34" s="26"/>
      <c r="AJ34" s="28"/>
      <c r="AK34" s="74">
        <v>1</v>
      </c>
      <c r="AL34" s="74">
        <v>1</v>
      </c>
      <c r="AM34" s="74">
        <v>1</v>
      </c>
      <c r="AN34" s="29">
        <v>0</v>
      </c>
      <c r="AO34" s="366"/>
      <c r="AP34" s="42" t="s">
        <v>132</v>
      </c>
      <c r="AQ34" s="31">
        <v>644031299</v>
      </c>
      <c r="AR34" s="30">
        <v>0</v>
      </c>
      <c r="AS34" s="102">
        <v>644031299</v>
      </c>
      <c r="AT34" s="33">
        <f t="shared" si="8"/>
        <v>644031299</v>
      </c>
      <c r="AU34" s="34">
        <f t="shared" si="7"/>
        <v>0</v>
      </c>
      <c r="AV34" s="35">
        <v>0</v>
      </c>
      <c r="AW34" s="35">
        <v>0</v>
      </c>
      <c r="AX34" s="35">
        <v>0</v>
      </c>
      <c r="AY34" s="35">
        <v>0</v>
      </c>
      <c r="AZ34" s="32">
        <v>0</v>
      </c>
      <c r="BA34" s="32">
        <v>0</v>
      </c>
      <c r="BB34" s="31">
        <v>644031299</v>
      </c>
      <c r="BC34" s="32">
        <v>0</v>
      </c>
      <c r="BD34" s="32">
        <v>0</v>
      </c>
      <c r="BE34" s="31">
        <v>644031299</v>
      </c>
      <c r="BF34" s="32">
        <v>0</v>
      </c>
      <c r="BG34" s="32">
        <v>0</v>
      </c>
      <c r="BH34" s="15" t="s">
        <v>59</v>
      </c>
      <c r="BI34" s="58">
        <f t="shared" si="2"/>
        <v>1</v>
      </c>
      <c r="BJ34" s="78" t="s">
        <v>153</v>
      </c>
    </row>
    <row r="35" spans="1:62" ht="15.75" thickBot="1" x14ac:dyDescent="0.3">
      <c r="A35" s="493"/>
      <c r="B35" s="12"/>
      <c r="C35" s="60"/>
      <c r="E35" s="67"/>
      <c r="X35" s="26"/>
      <c r="BH35" s="15"/>
      <c r="BI35" s="58"/>
      <c r="BJ35" s="108"/>
    </row>
    <row r="36" spans="1:62" ht="46.5" customHeight="1" thickBot="1" x14ac:dyDescent="0.3">
      <c r="A36" s="493"/>
      <c r="B36" s="484" t="s">
        <v>71</v>
      </c>
      <c r="C36" s="483" t="s">
        <v>76</v>
      </c>
      <c r="D36" s="61" t="s">
        <v>84</v>
      </c>
      <c r="E36" s="96">
        <v>14.2</v>
      </c>
      <c r="F36" s="97">
        <v>2.4</v>
      </c>
      <c r="G36" s="98">
        <f>F36/E36</f>
        <v>0.16901408450704225</v>
      </c>
      <c r="H36" s="98">
        <v>0.17</v>
      </c>
      <c r="I36" s="515" t="s">
        <v>107</v>
      </c>
      <c r="J36" s="516">
        <v>2021130010035</v>
      </c>
      <c r="K36" s="515" t="s">
        <v>108</v>
      </c>
      <c r="L36" s="515" t="s">
        <v>114</v>
      </c>
      <c r="M36" s="397">
        <v>44562</v>
      </c>
      <c r="N36" s="397">
        <v>44926</v>
      </c>
      <c r="O36" s="514">
        <v>365</v>
      </c>
      <c r="P36" s="99">
        <v>14.2</v>
      </c>
      <c r="Q36" s="100">
        <v>0.17</v>
      </c>
      <c r="R36" s="100">
        <v>0.17</v>
      </c>
      <c r="S36" s="40" t="s">
        <v>0</v>
      </c>
      <c r="T36" s="41"/>
      <c r="U36" s="16"/>
      <c r="V36" s="515" t="s">
        <v>114</v>
      </c>
      <c r="W36" s="515" t="s">
        <v>114</v>
      </c>
      <c r="X36" s="26" t="s">
        <v>113</v>
      </c>
      <c r="Y36" s="40" t="s">
        <v>0</v>
      </c>
      <c r="Z36" s="40"/>
      <c r="AA36" s="40"/>
      <c r="AB36" s="40" t="s">
        <v>0</v>
      </c>
      <c r="AC36" s="40"/>
      <c r="AD36" s="40"/>
      <c r="AE36" s="40" t="s">
        <v>0</v>
      </c>
      <c r="AF36" s="40"/>
      <c r="AG36" s="42"/>
      <c r="AH36" s="40" t="s">
        <v>0</v>
      </c>
      <c r="AI36" s="40"/>
      <c r="AJ36" s="101"/>
      <c r="AK36" s="100">
        <v>0.17</v>
      </c>
      <c r="AL36" s="100">
        <v>0.17</v>
      </c>
      <c r="AM36" s="100">
        <v>0.17</v>
      </c>
      <c r="AN36" s="43">
        <v>0</v>
      </c>
      <c r="AO36" s="364" t="s">
        <v>133</v>
      </c>
      <c r="AP36" s="367" t="s">
        <v>116</v>
      </c>
      <c r="AQ36" s="370">
        <v>159500000</v>
      </c>
      <c r="AR36" s="373">
        <v>0.96</v>
      </c>
      <c r="AS36" s="376">
        <v>159500000</v>
      </c>
      <c r="AT36" s="379">
        <f t="shared" si="8"/>
        <v>159500000</v>
      </c>
      <c r="AU36" s="382">
        <f t="shared" si="7"/>
        <v>0</v>
      </c>
      <c r="AV36" s="49">
        <v>400000000</v>
      </c>
      <c r="AW36" s="49">
        <v>105500000</v>
      </c>
      <c r="AX36" s="49">
        <v>18500000</v>
      </c>
      <c r="AY36" s="49">
        <v>400000000</v>
      </c>
      <c r="AZ36" s="46">
        <v>105500000</v>
      </c>
      <c r="BA36" s="46">
        <v>58000000</v>
      </c>
      <c r="BB36" s="50">
        <v>159500000</v>
      </c>
      <c r="BC36" s="46">
        <v>142005000</v>
      </c>
      <c r="BD36" s="46">
        <v>101500000</v>
      </c>
      <c r="BE36" s="50">
        <v>159500000</v>
      </c>
      <c r="BF36" s="50">
        <v>152505000</v>
      </c>
      <c r="BG36" s="46">
        <v>149700000</v>
      </c>
      <c r="BH36" s="367" t="s">
        <v>59</v>
      </c>
      <c r="BI36" s="522">
        <f>(AL36+AL37+AL38/3)-((BG36/BE36))</f>
        <v>0.5647753396029257</v>
      </c>
      <c r="BJ36" s="526" t="s">
        <v>137</v>
      </c>
    </row>
    <row r="37" spans="1:62" ht="42.75" customHeight="1" thickBot="1" x14ac:dyDescent="0.3">
      <c r="A37" s="493"/>
      <c r="B37" s="484"/>
      <c r="C37" s="483"/>
      <c r="D37" s="62" t="s">
        <v>85</v>
      </c>
      <c r="E37" s="63">
        <v>3.5</v>
      </c>
      <c r="F37" s="69">
        <v>3.5</v>
      </c>
      <c r="G37" s="66">
        <v>1</v>
      </c>
      <c r="H37" s="66">
        <v>1</v>
      </c>
      <c r="I37" s="515"/>
      <c r="J37" s="516"/>
      <c r="K37" s="515"/>
      <c r="L37" s="515"/>
      <c r="M37" s="398"/>
      <c r="N37" s="398"/>
      <c r="O37" s="514"/>
      <c r="P37" s="15">
        <v>3.5</v>
      </c>
      <c r="Q37" s="74">
        <v>1</v>
      </c>
      <c r="R37" s="74">
        <v>1</v>
      </c>
      <c r="S37" s="26" t="s">
        <v>0</v>
      </c>
      <c r="T37" s="27"/>
      <c r="U37" s="41"/>
      <c r="V37" s="515"/>
      <c r="W37" s="515"/>
      <c r="X37" s="26" t="s">
        <v>113</v>
      </c>
      <c r="Y37" s="26" t="s">
        <v>0</v>
      </c>
      <c r="Z37" s="26"/>
      <c r="AA37" s="26"/>
      <c r="AB37" s="26" t="s">
        <v>0</v>
      </c>
      <c r="AC37" s="26"/>
      <c r="AD37" s="26"/>
      <c r="AE37" s="26" t="s">
        <v>0</v>
      </c>
      <c r="AF37" s="26"/>
      <c r="AG37" s="28"/>
      <c r="AH37" s="26" t="s">
        <v>0</v>
      </c>
      <c r="AI37" s="26"/>
      <c r="AJ37" s="28"/>
      <c r="AK37" s="74">
        <v>1</v>
      </c>
      <c r="AL37" s="74">
        <v>1</v>
      </c>
      <c r="AM37" s="74">
        <v>1</v>
      </c>
      <c r="AN37" s="29">
        <v>0</v>
      </c>
      <c r="AO37" s="365"/>
      <c r="AP37" s="368"/>
      <c r="AQ37" s="371"/>
      <c r="AR37" s="374"/>
      <c r="AS37" s="377"/>
      <c r="AT37" s="380"/>
      <c r="AU37" s="383"/>
      <c r="AV37" s="362">
        <v>400000000</v>
      </c>
      <c r="AW37" s="362">
        <v>0</v>
      </c>
      <c r="AX37" s="362">
        <v>0</v>
      </c>
      <c r="AY37" s="362">
        <v>400000000</v>
      </c>
      <c r="AZ37" s="362">
        <v>0</v>
      </c>
      <c r="BA37" s="362">
        <v>0</v>
      </c>
      <c r="BB37" s="362">
        <v>0</v>
      </c>
      <c r="BC37" s="362">
        <v>0</v>
      </c>
      <c r="BD37" s="362">
        <v>0</v>
      </c>
      <c r="BE37" s="362">
        <v>0</v>
      </c>
      <c r="BF37" s="362">
        <v>0</v>
      </c>
      <c r="BG37" s="362">
        <v>0</v>
      </c>
      <c r="BH37" s="368"/>
      <c r="BI37" s="524"/>
      <c r="BJ37" s="526"/>
    </row>
    <row r="38" spans="1:62" ht="52.5" customHeight="1" thickBot="1" x14ac:dyDescent="0.3">
      <c r="A38" s="493"/>
      <c r="B38" s="484"/>
      <c r="C38" s="483"/>
      <c r="D38" s="85" t="s">
        <v>86</v>
      </c>
      <c r="E38" s="96">
        <v>1</v>
      </c>
      <c r="F38" s="96">
        <v>0</v>
      </c>
      <c r="G38" s="96">
        <v>0</v>
      </c>
      <c r="H38" s="96">
        <v>0</v>
      </c>
      <c r="I38" s="515"/>
      <c r="J38" s="516"/>
      <c r="K38" s="515"/>
      <c r="L38" s="515"/>
      <c r="M38" s="399"/>
      <c r="N38" s="399"/>
      <c r="O38" s="514"/>
      <c r="P38" s="73">
        <v>8</v>
      </c>
      <c r="Q38" s="74">
        <v>1</v>
      </c>
      <c r="R38" s="74">
        <v>1</v>
      </c>
      <c r="S38" s="15" t="s">
        <v>0</v>
      </c>
      <c r="T38" s="16"/>
      <c r="U38" s="16"/>
      <c r="V38" s="515"/>
      <c r="W38" s="515"/>
      <c r="X38" s="26" t="s">
        <v>113</v>
      </c>
      <c r="Y38" s="15" t="s">
        <v>0</v>
      </c>
      <c r="Z38" s="15"/>
      <c r="AA38" s="15"/>
      <c r="AB38" s="15" t="s">
        <v>0</v>
      </c>
      <c r="AC38" s="15"/>
      <c r="AD38" s="15"/>
      <c r="AE38" s="15" t="s">
        <v>0</v>
      </c>
      <c r="AF38" s="15"/>
      <c r="AG38" s="17"/>
      <c r="AH38" s="15" t="s">
        <v>0</v>
      </c>
      <c r="AI38" s="15"/>
      <c r="AJ38" s="95"/>
      <c r="AK38" s="74">
        <v>1</v>
      </c>
      <c r="AL38" s="74">
        <v>1</v>
      </c>
      <c r="AM38" s="74">
        <v>1</v>
      </c>
      <c r="AN38" s="18">
        <v>0</v>
      </c>
      <c r="AO38" s="366"/>
      <c r="AP38" s="369"/>
      <c r="AQ38" s="372"/>
      <c r="AR38" s="375"/>
      <c r="AS38" s="378"/>
      <c r="AT38" s="381"/>
      <c r="AU38" s="384"/>
      <c r="AV38" s="363"/>
      <c r="AW38" s="363"/>
      <c r="AX38" s="363"/>
      <c r="AY38" s="363"/>
      <c r="AZ38" s="363"/>
      <c r="BA38" s="363"/>
      <c r="BB38" s="363"/>
      <c r="BC38" s="363"/>
      <c r="BD38" s="363"/>
      <c r="BE38" s="363"/>
      <c r="BF38" s="363"/>
      <c r="BG38" s="363"/>
      <c r="BH38" s="369"/>
      <c r="BI38" s="525"/>
      <c r="BJ38" s="526"/>
    </row>
    <row r="39" spans="1:62" ht="21" customHeight="1" thickBot="1" x14ac:dyDescent="0.3">
      <c r="A39" s="493"/>
      <c r="B39" s="89"/>
      <c r="X39" s="87"/>
      <c r="BH39" s="15"/>
      <c r="BI39" s="58"/>
      <c r="BJ39" s="108"/>
    </row>
    <row r="40" spans="1:62" ht="150" customHeight="1" x14ac:dyDescent="0.25">
      <c r="A40" s="493"/>
      <c r="B40" s="484" t="s">
        <v>72</v>
      </c>
      <c r="C40" s="483" t="s">
        <v>77</v>
      </c>
      <c r="D40" s="494" t="s">
        <v>87</v>
      </c>
      <c r="E40" s="495">
        <v>11</v>
      </c>
      <c r="F40" s="495">
        <v>6</v>
      </c>
      <c r="G40" s="517">
        <f>F40/E40</f>
        <v>0.54545454545454541</v>
      </c>
      <c r="H40" s="517">
        <f>F40/26</f>
        <v>0.23076923076923078</v>
      </c>
      <c r="I40" s="515" t="s">
        <v>109</v>
      </c>
      <c r="J40" s="516">
        <v>2021130010121</v>
      </c>
      <c r="K40" s="515" t="s">
        <v>110</v>
      </c>
      <c r="L40" s="515" t="s">
        <v>111</v>
      </c>
      <c r="M40" s="518">
        <v>44562</v>
      </c>
      <c r="N40" s="518">
        <v>44926</v>
      </c>
      <c r="O40" s="514">
        <v>365</v>
      </c>
      <c r="P40" s="17">
        <v>11</v>
      </c>
      <c r="Q40" s="92">
        <v>0.55000000000000004</v>
      </c>
      <c r="R40" s="92">
        <v>0.55000000000000004</v>
      </c>
      <c r="S40" s="15" t="s">
        <v>0</v>
      </c>
      <c r="T40" s="16"/>
      <c r="U40" s="16"/>
      <c r="V40" s="77" t="s">
        <v>135</v>
      </c>
      <c r="W40" s="77" t="s">
        <v>135</v>
      </c>
      <c r="X40" s="15" t="s">
        <v>113</v>
      </c>
      <c r="Y40" s="15" t="s">
        <v>0</v>
      </c>
      <c r="Z40" s="15"/>
      <c r="AA40" s="15"/>
      <c r="AB40" s="15" t="s">
        <v>0</v>
      </c>
      <c r="AC40" s="15"/>
      <c r="AD40" s="15"/>
      <c r="AE40" s="15" t="s">
        <v>0</v>
      </c>
      <c r="AF40" s="15"/>
      <c r="AG40" s="17"/>
      <c r="AH40" s="15" t="s">
        <v>0</v>
      </c>
      <c r="AI40" s="15"/>
      <c r="AJ40" s="95"/>
      <c r="AK40" s="92">
        <v>0.55000000000000004</v>
      </c>
      <c r="AL40" s="92">
        <v>0.55000000000000004</v>
      </c>
      <c r="AM40" s="92">
        <v>0.55000000000000004</v>
      </c>
      <c r="AN40" s="18">
        <v>0</v>
      </c>
      <c r="AO40" s="364" t="s">
        <v>115</v>
      </c>
      <c r="AP40" s="367" t="s">
        <v>116</v>
      </c>
      <c r="AQ40" s="370">
        <v>150000000</v>
      </c>
      <c r="AR40" s="373">
        <v>0.84</v>
      </c>
      <c r="AS40" s="376">
        <v>150000000</v>
      </c>
      <c r="AT40" s="379">
        <f t="shared" si="8"/>
        <v>150000000</v>
      </c>
      <c r="AU40" s="382">
        <f t="shared" si="7"/>
        <v>0</v>
      </c>
      <c r="AV40" s="519">
        <v>150000000</v>
      </c>
      <c r="AW40" s="519">
        <v>32000000</v>
      </c>
      <c r="AX40" s="519">
        <v>8000000</v>
      </c>
      <c r="AY40" s="519">
        <v>150000000</v>
      </c>
      <c r="AZ40" s="520">
        <v>32000000</v>
      </c>
      <c r="BA40" s="520">
        <v>20000000</v>
      </c>
      <c r="BB40" s="527">
        <v>150000000</v>
      </c>
      <c r="BC40" s="520">
        <v>126257831</v>
      </c>
      <c r="BD40" s="520">
        <v>32000000</v>
      </c>
      <c r="BE40" s="527">
        <v>150000000</v>
      </c>
      <c r="BF40" s="520">
        <v>126257831</v>
      </c>
      <c r="BG40" s="520">
        <v>118028434</v>
      </c>
      <c r="BH40" s="367" t="s">
        <v>59</v>
      </c>
      <c r="BI40" s="522">
        <f>(AL40+AL41/2)-((BG40/BE40))</f>
        <v>0.26314377333333339</v>
      </c>
      <c r="BJ40" s="526" t="s">
        <v>138</v>
      </c>
    </row>
    <row r="41" spans="1:62" ht="23.25" x14ac:dyDescent="0.25">
      <c r="A41" s="493"/>
      <c r="B41" s="484"/>
      <c r="C41" s="483"/>
      <c r="D41" s="494"/>
      <c r="E41" s="495"/>
      <c r="F41" s="495"/>
      <c r="G41" s="517"/>
      <c r="H41" s="517"/>
      <c r="I41" s="515"/>
      <c r="J41" s="516"/>
      <c r="K41" s="515"/>
      <c r="L41" s="515"/>
      <c r="M41" s="518"/>
      <c r="N41" s="518"/>
      <c r="O41" s="514"/>
      <c r="P41" s="16">
        <v>1</v>
      </c>
      <c r="Q41" s="93">
        <v>1</v>
      </c>
      <c r="R41" s="93">
        <v>1</v>
      </c>
      <c r="S41" s="15" t="s">
        <v>0</v>
      </c>
      <c r="T41" s="76"/>
      <c r="U41" s="76"/>
      <c r="V41" s="94" t="s">
        <v>136</v>
      </c>
      <c r="W41" s="94" t="s">
        <v>136</v>
      </c>
      <c r="X41" s="16" t="s">
        <v>113</v>
      </c>
      <c r="Y41" s="15" t="s">
        <v>0</v>
      </c>
      <c r="Z41" s="15"/>
      <c r="AA41" s="15"/>
      <c r="AB41" s="15" t="s">
        <v>0</v>
      </c>
      <c r="AC41" s="15"/>
      <c r="AD41" s="15"/>
      <c r="AE41" s="15" t="s">
        <v>0</v>
      </c>
      <c r="AF41" s="15"/>
      <c r="AG41" s="17"/>
      <c r="AH41" s="15" t="s">
        <v>0</v>
      </c>
      <c r="AI41" s="76"/>
      <c r="AJ41" s="76"/>
      <c r="AK41" s="93">
        <v>1</v>
      </c>
      <c r="AL41" s="93">
        <v>1</v>
      </c>
      <c r="AM41" s="93">
        <v>1</v>
      </c>
      <c r="AN41" s="18">
        <v>0</v>
      </c>
      <c r="AO41" s="366"/>
      <c r="AP41" s="369"/>
      <c r="AQ41" s="372"/>
      <c r="AR41" s="375"/>
      <c r="AS41" s="378"/>
      <c r="AT41" s="381"/>
      <c r="AU41" s="384"/>
      <c r="AV41" s="363"/>
      <c r="AW41" s="363"/>
      <c r="AX41" s="363"/>
      <c r="AY41" s="363"/>
      <c r="AZ41" s="521"/>
      <c r="BA41" s="521"/>
      <c r="BB41" s="528"/>
      <c r="BC41" s="521"/>
      <c r="BD41" s="521"/>
      <c r="BE41" s="528"/>
      <c r="BF41" s="521"/>
      <c r="BG41" s="521"/>
      <c r="BH41" s="369"/>
      <c r="BI41" s="523"/>
      <c r="BJ41" s="526"/>
    </row>
  </sheetData>
  <mergeCells count="263">
    <mergeCell ref="BF40:BF41"/>
    <mergeCell ref="BG40:BG41"/>
    <mergeCell ref="BH40:BH41"/>
    <mergeCell ref="BI40:BI41"/>
    <mergeCell ref="BH36:BH38"/>
    <mergeCell ref="BI36:BI38"/>
    <mergeCell ref="BJ36:BJ38"/>
    <mergeCell ref="BJ40:BJ41"/>
    <mergeCell ref="AW40:AW41"/>
    <mergeCell ref="AX40:AX41"/>
    <mergeCell ref="AY40:AY41"/>
    <mergeCell ref="AZ40:AZ41"/>
    <mergeCell ref="BA40:BA41"/>
    <mergeCell ref="BB40:BB41"/>
    <mergeCell ref="BC40:BC41"/>
    <mergeCell ref="BD40:BD41"/>
    <mergeCell ref="BE40:BE41"/>
    <mergeCell ref="BE37:BE38"/>
    <mergeCell ref="BF37:BF38"/>
    <mergeCell ref="BG37:BG38"/>
    <mergeCell ref="O40:O41"/>
    <mergeCell ref="AO40:AO41"/>
    <mergeCell ref="AP40:AP41"/>
    <mergeCell ref="AQ40:AQ41"/>
    <mergeCell ref="AR40:AR41"/>
    <mergeCell ref="AS40:AS41"/>
    <mergeCell ref="AT40:AT41"/>
    <mergeCell ref="AU40:AU41"/>
    <mergeCell ref="AV40:AV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N36:N38"/>
    <mergeCell ref="O36:O38"/>
    <mergeCell ref="V36:V38"/>
    <mergeCell ref="W36:W38"/>
    <mergeCell ref="I36:I38"/>
    <mergeCell ref="J36:J38"/>
    <mergeCell ref="K36:K38"/>
    <mergeCell ref="L36:L38"/>
    <mergeCell ref="M36:M38"/>
    <mergeCell ref="I21:I22"/>
    <mergeCell ref="J21:J22"/>
    <mergeCell ref="K21:K22"/>
    <mergeCell ref="D9:D16"/>
    <mergeCell ref="D17:D20"/>
    <mergeCell ref="I24:I26"/>
    <mergeCell ref="J24:J26"/>
    <mergeCell ref="K24:K26"/>
    <mergeCell ref="I28:I34"/>
    <mergeCell ref="J28:J34"/>
    <mergeCell ref="K28:K34"/>
    <mergeCell ref="I9:I20"/>
    <mergeCell ref="J9:J20"/>
    <mergeCell ref="K9:K20"/>
    <mergeCell ref="F28:F34"/>
    <mergeCell ref="G28:G34"/>
    <mergeCell ref="H28:H34"/>
    <mergeCell ref="F9:F16"/>
    <mergeCell ref="F17:F20"/>
    <mergeCell ref="F25:F26"/>
    <mergeCell ref="G9:G16"/>
    <mergeCell ref="G17:G20"/>
    <mergeCell ref="H9:H16"/>
    <mergeCell ref="H17:H20"/>
    <mergeCell ref="G25:G26"/>
    <mergeCell ref="H25:H26"/>
    <mergeCell ref="F21:F22"/>
    <mergeCell ref="G21:G22"/>
    <mergeCell ref="H21:H22"/>
    <mergeCell ref="D25:D26"/>
    <mergeCell ref="D28:D34"/>
    <mergeCell ref="E9:E16"/>
    <mergeCell ref="E17:E20"/>
    <mergeCell ref="E25:E26"/>
    <mergeCell ref="E28:E34"/>
    <mergeCell ref="B9:B34"/>
    <mergeCell ref="B36:B38"/>
    <mergeCell ref="C24:C26"/>
    <mergeCell ref="C28:C34"/>
    <mergeCell ref="C36:C38"/>
    <mergeCell ref="C9:C22"/>
    <mergeCell ref="D21:D22"/>
    <mergeCell ref="E21:E22"/>
    <mergeCell ref="A9:A41"/>
    <mergeCell ref="B40:B41"/>
    <mergeCell ref="C40:C41"/>
    <mergeCell ref="D40:D41"/>
    <mergeCell ref="E40:E41"/>
    <mergeCell ref="A5:R5"/>
    <mergeCell ref="M6:M8"/>
    <mergeCell ref="N6:N8"/>
    <mergeCell ref="E6:E8"/>
    <mergeCell ref="A6:A8"/>
    <mergeCell ref="B6:B8"/>
    <mergeCell ref="C6:C8"/>
    <mergeCell ref="H6:H8"/>
    <mergeCell ref="D6:D8"/>
    <mergeCell ref="F6:F8"/>
    <mergeCell ref="I6:I8"/>
    <mergeCell ref="J6:J8"/>
    <mergeCell ref="K6:K8"/>
    <mergeCell ref="L6:L8"/>
    <mergeCell ref="P6:P8"/>
    <mergeCell ref="R6:R8"/>
    <mergeCell ref="Q6:Q8"/>
    <mergeCell ref="G6:G8"/>
    <mergeCell ref="O6:O8"/>
    <mergeCell ref="AT7:AT8"/>
    <mergeCell ref="AU7:AU8"/>
    <mergeCell ref="BE7:BG7"/>
    <mergeCell ref="AV6:BG6"/>
    <mergeCell ref="AO7:AO8"/>
    <mergeCell ref="AP7:AP8"/>
    <mergeCell ref="AQ7:AQ8"/>
    <mergeCell ref="AR7:AR8"/>
    <mergeCell ref="AS7:AS8"/>
    <mergeCell ref="S6:AN6"/>
    <mergeCell ref="AL7:AL8"/>
    <mergeCell ref="AM7:AM8"/>
    <mergeCell ref="AN7:AN8"/>
    <mergeCell ref="A1:A4"/>
    <mergeCell ref="B1:BI1"/>
    <mergeCell ref="B3:BI3"/>
    <mergeCell ref="B2:BI2"/>
    <mergeCell ref="B4:BI4"/>
    <mergeCell ref="S5:BJ5"/>
    <mergeCell ref="BH6:BI7"/>
    <mergeCell ref="AB7:AD7"/>
    <mergeCell ref="AE7:AG7"/>
    <mergeCell ref="AH7:AJ7"/>
    <mergeCell ref="AK7:AK8"/>
    <mergeCell ref="BJ6:BJ8"/>
    <mergeCell ref="Y7:AA7"/>
    <mergeCell ref="AV7:AX7"/>
    <mergeCell ref="AY7:BA7"/>
    <mergeCell ref="BB7:BD7"/>
    <mergeCell ref="AO6:AR6"/>
    <mergeCell ref="AS6:AU6"/>
    <mergeCell ref="V7:X7"/>
    <mergeCell ref="S7:U7"/>
    <mergeCell ref="L9:L15"/>
    <mergeCell ref="M9:M15"/>
    <mergeCell ref="N9:N15"/>
    <mergeCell ref="O9:O15"/>
    <mergeCell ref="P9:P15"/>
    <mergeCell ref="Q9:Q15"/>
    <mergeCell ref="R9:R15"/>
    <mergeCell ref="S9:S15"/>
    <mergeCell ref="T9:T15"/>
    <mergeCell ref="AE9:AE15"/>
    <mergeCell ref="AF9:AF15"/>
    <mergeCell ref="AG9:AG15"/>
    <mergeCell ref="AH9:AH15"/>
    <mergeCell ref="AI9:AI15"/>
    <mergeCell ref="AJ9:AJ15"/>
    <mergeCell ref="AK9:AK15"/>
    <mergeCell ref="U9:U15"/>
    <mergeCell ref="V9:V15"/>
    <mergeCell ref="W9:W15"/>
    <mergeCell ref="X9:X15"/>
    <mergeCell ref="Y9:Y15"/>
    <mergeCell ref="Z9:Z15"/>
    <mergeCell ref="AA9:AA15"/>
    <mergeCell ref="AB9:AB15"/>
    <mergeCell ref="AC9:AC15"/>
    <mergeCell ref="AM9:AM15"/>
    <mergeCell ref="AN9:AN15"/>
    <mergeCell ref="L19:L20"/>
    <mergeCell ref="L17:L18"/>
    <mergeCell ref="M17:M18"/>
    <mergeCell ref="N17:N18"/>
    <mergeCell ref="O17:O18"/>
    <mergeCell ref="P17:P18"/>
    <mergeCell ref="M19:M20"/>
    <mergeCell ref="N19:N20"/>
    <mergeCell ref="O19:O20"/>
    <mergeCell ref="P19:P20"/>
    <mergeCell ref="Q17:Q18"/>
    <mergeCell ref="R17:R18"/>
    <mergeCell ref="Q19:Q20"/>
    <mergeCell ref="R19:R20"/>
    <mergeCell ref="S17:S18"/>
    <mergeCell ref="T17:T18"/>
    <mergeCell ref="U17:U18"/>
    <mergeCell ref="S19:S20"/>
    <mergeCell ref="T19:T20"/>
    <mergeCell ref="U19:U20"/>
    <mergeCell ref="V17:V18"/>
    <mergeCell ref="AD9:AD15"/>
    <mergeCell ref="V19:V20"/>
    <mergeCell ref="W17:W18"/>
    <mergeCell ref="W19:W20"/>
    <mergeCell ref="X17:X18"/>
    <mergeCell ref="X19:X20"/>
    <mergeCell ref="Y17:Y18"/>
    <mergeCell ref="Y19:Y20"/>
    <mergeCell ref="AB17:AB18"/>
    <mergeCell ref="AB19:AB20"/>
    <mergeCell ref="AE17:AE18"/>
    <mergeCell ref="AE19:AE20"/>
    <mergeCell ref="AH17:AH18"/>
    <mergeCell ref="AH19:AH20"/>
    <mergeCell ref="AK17:AK18"/>
    <mergeCell ref="AM17:AM18"/>
    <mergeCell ref="AN17:AN18"/>
    <mergeCell ref="AK19:AK20"/>
    <mergeCell ref="AM19:AM20"/>
    <mergeCell ref="AN19:AN20"/>
    <mergeCell ref="AO9:AO20"/>
    <mergeCell ref="AO24:AO26"/>
    <mergeCell ref="L28:L33"/>
    <mergeCell ref="M28:M33"/>
    <mergeCell ref="N28:N33"/>
    <mergeCell ref="O28:O33"/>
    <mergeCell ref="P28:P33"/>
    <mergeCell ref="Q28:Q33"/>
    <mergeCell ref="R28:R33"/>
    <mergeCell ref="S28:S33"/>
    <mergeCell ref="T28:T33"/>
    <mergeCell ref="U28:U33"/>
    <mergeCell ref="V28:V33"/>
    <mergeCell ref="W28:W33"/>
    <mergeCell ref="X28:X33"/>
    <mergeCell ref="Y28:Y33"/>
    <mergeCell ref="AB28:AB33"/>
    <mergeCell ref="Z28:Z33"/>
    <mergeCell ref="AA28:AA33"/>
    <mergeCell ref="AC28:AC33"/>
    <mergeCell ref="AD28:AD33"/>
    <mergeCell ref="AE28:AE33"/>
    <mergeCell ref="AF28:AF33"/>
    <mergeCell ref="AG28:AG33"/>
    <mergeCell ref="AO36:AO38"/>
    <mergeCell ref="AP36:AP38"/>
    <mergeCell ref="AQ36:AQ38"/>
    <mergeCell ref="AR36:AR38"/>
    <mergeCell ref="AS36:AS38"/>
    <mergeCell ref="AT36:AT38"/>
    <mergeCell ref="AU36:AU38"/>
    <mergeCell ref="AO21:AO22"/>
    <mergeCell ref="AH28:AH33"/>
    <mergeCell ref="AI28:AI33"/>
    <mergeCell ref="AJ28:AJ33"/>
    <mergeCell ref="AK28:AK33"/>
    <mergeCell ref="AM28:AM33"/>
    <mergeCell ref="AN28:AN33"/>
    <mergeCell ref="AO28:AO34"/>
    <mergeCell ref="AV37:AV38"/>
    <mergeCell ref="AW37:AW38"/>
    <mergeCell ref="AX37:AX38"/>
    <mergeCell ref="AY37:AY38"/>
    <mergeCell ref="AZ37:AZ38"/>
    <mergeCell ref="BA37:BA38"/>
    <mergeCell ref="BB37:BB38"/>
    <mergeCell ref="BC37:BC38"/>
    <mergeCell ref="BD37:BD38"/>
  </mergeCells>
  <dataValidations count="1">
    <dataValidation type="list" allowBlank="1" showInputMessage="1" showErrorMessage="1" sqref="AE24:AF26 AE36:AF38 AE40:AF41 AH24:AI26 AH36:AI38 AH40:AI40 AB24:AC26 AB36:AC38 AB40:AC41 S40:T40 AH21:AH22 S36:T38 S24:T26 Y24:Z26 Y36:Z38 Y40:Z41 AE21:AE22 S9:T9 Y9:Z9 Y21:Y22 AB9:AC9 AB21:AB22 AE9:AF9 AH9:AI9 S21:T22 S16:T17 S19:T19 Z16:Z22 Y16:Y17 Y19 AC16:AC22 AB16:AB17 AB19 AF16:AF22 AE16:AE17 AE19 AI16:AI22 AH16:AH17 AH19 S34:T34 S28:T28 AB34:AC34 Y34:Z34 Y28:Z28 AB28:AC28 AE34:AF34 AE28:AF28 AH28:AI28 AH34:AI34 S41 AH41">
      <formula1>$XFC$6:$XFD$7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8"/>
  <sheetViews>
    <sheetView topLeftCell="A2" zoomScale="71" zoomScaleNormal="71" workbookViewId="0">
      <pane ySplit="1" topLeftCell="A3" activePane="bottomLeft" state="frozen"/>
      <selection activeCell="A2" sqref="A2"/>
      <selection pane="bottomLeft" activeCell="AW39" sqref="AW39"/>
    </sheetView>
  </sheetViews>
  <sheetFormatPr baseColWidth="10" defaultColWidth="11.42578125" defaultRowHeight="18.75" x14ac:dyDescent="0.25"/>
  <cols>
    <col min="1" max="1" width="16.5703125" customWidth="1"/>
    <col min="2" max="2" width="18" customWidth="1"/>
    <col min="3" max="3" width="20.28515625" customWidth="1"/>
    <col min="4" max="4" width="20.140625" customWidth="1"/>
    <col min="5" max="5" width="21" customWidth="1"/>
    <col min="6" max="6" width="19.7109375" customWidth="1"/>
    <col min="7" max="7" width="27.140625" customWidth="1"/>
    <col min="8" max="8" width="23.140625" customWidth="1"/>
    <col min="9" max="9" width="22.7109375" customWidth="1"/>
    <col min="10" max="10" width="23.28515625" style="138" customWidth="1"/>
    <col min="11" max="11" width="23.7109375" style="216" customWidth="1"/>
    <col min="12" max="13" width="29.140625" style="217" customWidth="1"/>
    <col min="14" max="19" width="23.5703125" style="218" customWidth="1"/>
    <col min="20" max="20" width="23.28515625" style="213" customWidth="1"/>
    <col min="21" max="21" width="18.85546875" style="214" customWidth="1"/>
    <col min="22" max="22" width="21.7109375" style="215" customWidth="1"/>
    <col min="23" max="23" width="23.85546875" style="143" customWidth="1"/>
    <col min="24" max="25" width="24.140625" style="139" customWidth="1"/>
    <col min="26" max="28" width="29.140625" style="219" customWidth="1"/>
    <col min="29" max="29" width="23.5703125" customWidth="1"/>
    <col min="30" max="30" width="26.28515625" customWidth="1"/>
    <col min="31" max="31" width="20.42578125" style="137" customWidth="1"/>
    <col min="32" max="32" width="18.85546875" style="212" customWidth="1"/>
    <col min="33" max="33" width="24.28515625" customWidth="1"/>
    <col min="34" max="34" width="32.140625" style="141" customWidth="1"/>
    <col min="35" max="35" width="33.42578125" customWidth="1"/>
    <col min="36" max="36" width="20.28515625" customWidth="1"/>
    <col min="37" max="37" width="23.28515625" customWidth="1"/>
    <col min="38" max="38" width="31.7109375" customWidth="1"/>
    <col min="39" max="39" width="40.140625" customWidth="1"/>
    <col min="40" max="41" width="36.7109375" customWidth="1"/>
    <col min="42" max="42" width="44.85546875" hidden="1" customWidth="1"/>
    <col min="43" max="43" width="36.7109375" hidden="1" customWidth="1"/>
    <col min="44" max="45" width="36.7109375" customWidth="1"/>
    <col min="46" max="46" width="21.7109375" customWidth="1"/>
    <col min="47" max="47" width="25.5703125" customWidth="1"/>
    <col min="48" max="48" width="26" customWidth="1"/>
    <col min="49" max="49" width="58.28515625" customWidth="1"/>
  </cols>
  <sheetData>
    <row r="1" spans="1:49" s="144" customFormat="1" ht="15.75" hidden="1" thickBot="1" x14ac:dyDescent="0.3">
      <c r="A1" s="537" t="s">
        <v>269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/>
      <c r="AS1" s="538"/>
      <c r="AT1" s="538"/>
      <c r="AU1" s="538"/>
      <c r="AV1" s="538"/>
      <c r="AW1" s="538"/>
    </row>
    <row r="2" spans="1:49" s="155" customFormat="1" ht="63.75" thickBot="1" x14ac:dyDescent="0.25">
      <c r="A2" s="145" t="s">
        <v>155</v>
      </c>
      <c r="B2" s="145" t="s">
        <v>156</v>
      </c>
      <c r="C2" s="145" t="s">
        <v>157</v>
      </c>
      <c r="D2" s="145" t="s">
        <v>158</v>
      </c>
      <c r="E2" s="145" t="s">
        <v>159</v>
      </c>
      <c r="F2" s="145" t="s">
        <v>160</v>
      </c>
      <c r="G2" s="145" t="s">
        <v>161</v>
      </c>
      <c r="H2" s="145" t="s">
        <v>162</v>
      </c>
      <c r="I2" s="145" t="s">
        <v>270</v>
      </c>
      <c r="J2" s="146" t="s">
        <v>163</v>
      </c>
      <c r="K2" s="145" t="s">
        <v>164</v>
      </c>
      <c r="L2" s="147" t="s">
        <v>165</v>
      </c>
      <c r="M2" s="147" t="s">
        <v>271</v>
      </c>
      <c r="N2" s="147" t="s">
        <v>166</v>
      </c>
      <c r="O2" s="147" t="s">
        <v>167</v>
      </c>
      <c r="P2" s="147" t="s">
        <v>168</v>
      </c>
      <c r="Q2" s="147" t="s">
        <v>169</v>
      </c>
      <c r="R2" s="147" t="s">
        <v>276</v>
      </c>
      <c r="S2" s="147" t="s">
        <v>170</v>
      </c>
      <c r="T2" s="148" t="s">
        <v>171</v>
      </c>
      <c r="U2" s="149" t="s">
        <v>172</v>
      </c>
      <c r="V2" s="150" t="s">
        <v>173</v>
      </c>
      <c r="W2" s="148" t="s">
        <v>174</v>
      </c>
      <c r="X2" s="151" t="s">
        <v>175</v>
      </c>
      <c r="Y2" s="151" t="s">
        <v>176</v>
      </c>
      <c r="Z2" s="151" t="s">
        <v>177</v>
      </c>
      <c r="AA2" s="151" t="s">
        <v>279</v>
      </c>
      <c r="AB2" s="151" t="s">
        <v>277</v>
      </c>
      <c r="AC2" s="152" t="s">
        <v>178</v>
      </c>
      <c r="AD2" s="152" t="s">
        <v>179</v>
      </c>
      <c r="AE2" s="152" t="s">
        <v>180</v>
      </c>
      <c r="AF2" s="153" t="s">
        <v>181</v>
      </c>
      <c r="AG2" s="152" t="s">
        <v>182</v>
      </c>
      <c r="AH2" s="145" t="s">
        <v>183</v>
      </c>
      <c r="AI2" s="145" t="s">
        <v>184</v>
      </c>
      <c r="AJ2" s="145" t="s">
        <v>7</v>
      </c>
      <c r="AK2" s="154" t="s">
        <v>272</v>
      </c>
      <c r="AL2" s="154" t="s">
        <v>186</v>
      </c>
      <c r="AM2" s="145" t="s">
        <v>187</v>
      </c>
      <c r="AN2" s="145" t="s">
        <v>188</v>
      </c>
      <c r="AO2" s="145" t="s">
        <v>185</v>
      </c>
      <c r="AP2" s="145" t="s">
        <v>273</v>
      </c>
      <c r="AQ2" s="145" t="s">
        <v>274</v>
      </c>
      <c r="AR2" s="145" t="s">
        <v>189</v>
      </c>
      <c r="AS2" s="145" t="s">
        <v>190</v>
      </c>
      <c r="AT2" s="145" t="s">
        <v>191</v>
      </c>
      <c r="AU2" s="145" t="s">
        <v>192</v>
      </c>
      <c r="AV2" s="145" t="s">
        <v>193</v>
      </c>
      <c r="AW2" s="145" t="s">
        <v>194</v>
      </c>
    </row>
    <row r="3" spans="1:49" ht="30.75" customHeight="1" thickBot="1" x14ac:dyDescent="0.3">
      <c r="A3" s="485" t="s">
        <v>69</v>
      </c>
      <c r="B3" s="483" t="s">
        <v>70</v>
      </c>
      <c r="C3" s="485" t="s">
        <v>195</v>
      </c>
      <c r="D3" s="575">
        <v>0.72</v>
      </c>
      <c r="E3" s="485" t="s">
        <v>196</v>
      </c>
      <c r="F3" s="485" t="s">
        <v>73</v>
      </c>
      <c r="G3" s="499" t="s">
        <v>197</v>
      </c>
      <c r="H3" s="484" t="s">
        <v>198</v>
      </c>
      <c r="I3" s="586">
        <v>1330.39</v>
      </c>
      <c r="J3" s="499" t="s">
        <v>78</v>
      </c>
      <c r="K3" s="589">
        <v>32</v>
      </c>
      <c r="L3" s="495">
        <v>6</v>
      </c>
      <c r="M3" s="490">
        <v>20.39</v>
      </c>
      <c r="N3" s="574">
        <v>5.56</v>
      </c>
      <c r="O3" s="570">
        <v>9.15</v>
      </c>
      <c r="P3" s="570"/>
      <c r="Q3" s="570">
        <v>8.31</v>
      </c>
      <c r="R3" s="496">
        <v>1</v>
      </c>
      <c r="S3" s="496">
        <v>1</v>
      </c>
      <c r="T3" s="635" t="s">
        <v>89</v>
      </c>
      <c r="U3" s="638">
        <v>2021130010155</v>
      </c>
      <c r="V3" s="597" t="s">
        <v>90</v>
      </c>
      <c r="W3" s="411" t="s">
        <v>91</v>
      </c>
      <c r="X3" s="416">
        <v>6</v>
      </c>
      <c r="Y3" s="595">
        <v>23.2</v>
      </c>
      <c r="Z3" s="595">
        <v>23.2</v>
      </c>
      <c r="AA3" s="595">
        <v>23.2</v>
      </c>
      <c r="AB3" s="606">
        <v>1</v>
      </c>
      <c r="AC3" s="367" t="s">
        <v>199</v>
      </c>
      <c r="AD3" s="367" t="s">
        <v>200</v>
      </c>
      <c r="AE3" s="364">
        <v>1057445</v>
      </c>
      <c r="AF3" s="600">
        <v>361520</v>
      </c>
      <c r="AG3" s="603">
        <v>0.93</v>
      </c>
      <c r="AH3" s="124" t="s">
        <v>201</v>
      </c>
      <c r="AI3" s="124" t="s">
        <v>202</v>
      </c>
      <c r="AJ3" s="120" t="s">
        <v>203</v>
      </c>
      <c r="AK3" s="556">
        <v>20634306907</v>
      </c>
      <c r="AL3" s="26" t="s">
        <v>116</v>
      </c>
      <c r="AM3" s="484" t="s">
        <v>117</v>
      </c>
      <c r="AN3" s="140" t="s">
        <v>204</v>
      </c>
      <c r="AO3" s="31">
        <v>9024511395</v>
      </c>
      <c r="AP3" s="156">
        <v>7146505405.3999996</v>
      </c>
      <c r="AQ3" s="156">
        <v>7163226238.3999996</v>
      </c>
      <c r="AR3" s="32">
        <v>8609081652</v>
      </c>
      <c r="AS3" s="157">
        <f>+AR3/AO3</f>
        <v>0.95396651133598576</v>
      </c>
      <c r="AT3" s="120" t="s">
        <v>59</v>
      </c>
      <c r="AU3" s="76"/>
      <c r="AV3" s="76"/>
      <c r="AW3" s="108"/>
    </row>
    <row r="4" spans="1:49" ht="30.75" thickBot="1" x14ac:dyDescent="0.3">
      <c r="A4" s="486"/>
      <c r="B4" s="483"/>
      <c r="C4" s="486"/>
      <c r="D4" s="575"/>
      <c r="E4" s="486"/>
      <c r="F4" s="486"/>
      <c r="G4" s="501"/>
      <c r="H4" s="484"/>
      <c r="I4" s="587"/>
      <c r="J4" s="501"/>
      <c r="K4" s="590"/>
      <c r="L4" s="495"/>
      <c r="M4" s="573"/>
      <c r="N4" s="574"/>
      <c r="O4" s="571"/>
      <c r="P4" s="571"/>
      <c r="Q4" s="571"/>
      <c r="R4" s="582"/>
      <c r="S4" s="582"/>
      <c r="T4" s="636"/>
      <c r="U4" s="639"/>
      <c r="V4" s="598"/>
      <c r="W4" s="412"/>
      <c r="X4" s="417"/>
      <c r="Y4" s="596"/>
      <c r="Z4" s="596"/>
      <c r="AA4" s="596"/>
      <c r="AB4" s="608"/>
      <c r="AC4" s="369"/>
      <c r="AD4" s="369"/>
      <c r="AE4" s="365"/>
      <c r="AF4" s="601"/>
      <c r="AG4" s="604"/>
      <c r="AH4" s="124" t="s">
        <v>201</v>
      </c>
      <c r="AI4" s="124" t="s">
        <v>202</v>
      </c>
      <c r="AJ4" s="120" t="s">
        <v>203</v>
      </c>
      <c r="AK4" s="556"/>
      <c r="AL4" s="112" t="s">
        <v>119</v>
      </c>
      <c r="AM4" s="484"/>
      <c r="AN4" s="140" t="s">
        <v>205</v>
      </c>
      <c r="AO4" s="31">
        <v>671180179</v>
      </c>
      <c r="AP4" s="158">
        <v>0</v>
      </c>
      <c r="AQ4" s="158">
        <v>0</v>
      </c>
      <c r="AR4" s="32">
        <v>637621169</v>
      </c>
      <c r="AS4" s="157">
        <f>+AR4/AO4</f>
        <v>0.94999999843559146</v>
      </c>
      <c r="AT4" s="120"/>
      <c r="AU4" s="76"/>
      <c r="AV4" s="76"/>
      <c r="AW4" s="108"/>
    </row>
    <row r="5" spans="1:49" ht="75.75" thickBot="1" x14ac:dyDescent="0.3">
      <c r="A5" s="486"/>
      <c r="B5" s="483"/>
      <c r="C5" s="486"/>
      <c r="D5" s="575"/>
      <c r="E5" s="486"/>
      <c r="F5" s="486"/>
      <c r="G5" s="500"/>
      <c r="H5" s="484"/>
      <c r="I5" s="588"/>
      <c r="J5" s="500"/>
      <c r="K5" s="591"/>
      <c r="L5" s="495"/>
      <c r="M5" s="491"/>
      <c r="N5" s="574"/>
      <c r="O5" s="572"/>
      <c r="P5" s="572"/>
      <c r="Q5" s="572"/>
      <c r="R5" s="497"/>
      <c r="S5" s="497"/>
      <c r="T5" s="636"/>
      <c r="U5" s="639"/>
      <c r="V5" s="598"/>
      <c r="W5" s="71" t="s">
        <v>92</v>
      </c>
      <c r="X5" s="73">
        <v>2</v>
      </c>
      <c r="Y5" s="159">
        <v>2</v>
      </c>
      <c r="Z5" s="159">
        <v>2</v>
      </c>
      <c r="AA5" s="159">
        <v>2</v>
      </c>
      <c r="AB5" s="242">
        <v>1</v>
      </c>
      <c r="AC5" s="120" t="s">
        <v>199</v>
      </c>
      <c r="AD5" s="120" t="s">
        <v>200</v>
      </c>
      <c r="AE5" s="365"/>
      <c r="AF5" s="601"/>
      <c r="AG5" s="604"/>
      <c r="AH5" s="124" t="s">
        <v>201</v>
      </c>
      <c r="AI5" s="124" t="s">
        <v>202</v>
      </c>
      <c r="AJ5" s="120" t="s">
        <v>203</v>
      </c>
      <c r="AK5" s="556"/>
      <c r="AL5" s="112" t="s">
        <v>118</v>
      </c>
      <c r="AM5" s="513"/>
      <c r="AN5" s="140" t="s">
        <v>206</v>
      </c>
      <c r="AO5" s="31">
        <v>1738403519</v>
      </c>
      <c r="AP5" s="160">
        <v>0</v>
      </c>
      <c r="AQ5" s="160">
        <v>774299317</v>
      </c>
      <c r="AR5" s="32">
        <v>901242123</v>
      </c>
      <c r="AS5" s="157">
        <f>+AR5/AO5</f>
        <v>0.51843091270226538</v>
      </c>
      <c r="AT5" s="120" t="s">
        <v>59</v>
      </c>
      <c r="AU5" s="76" t="s">
        <v>113</v>
      </c>
      <c r="AV5" s="161"/>
      <c r="AW5" s="108" t="s">
        <v>207</v>
      </c>
    </row>
    <row r="6" spans="1:49" ht="60.75" thickBot="1" x14ac:dyDescent="0.3">
      <c r="A6" s="486"/>
      <c r="B6" s="483"/>
      <c r="C6" s="486"/>
      <c r="D6" s="575"/>
      <c r="E6" s="486"/>
      <c r="F6" s="486"/>
      <c r="G6" s="499" t="s">
        <v>208</v>
      </c>
      <c r="H6" s="484" t="s">
        <v>209</v>
      </c>
      <c r="I6" s="567">
        <v>196</v>
      </c>
      <c r="J6" s="499" t="s">
        <v>79</v>
      </c>
      <c r="K6" s="579">
        <v>8</v>
      </c>
      <c r="L6" s="495">
        <v>2</v>
      </c>
      <c r="M6" s="490">
        <v>4</v>
      </c>
      <c r="N6" s="554">
        <v>0</v>
      </c>
      <c r="O6" s="592">
        <v>0</v>
      </c>
      <c r="P6" s="592">
        <v>5</v>
      </c>
      <c r="Q6" s="592">
        <v>0</v>
      </c>
      <c r="R6" s="496">
        <v>1</v>
      </c>
      <c r="S6" s="496">
        <v>1</v>
      </c>
      <c r="T6" s="636"/>
      <c r="U6" s="639"/>
      <c r="V6" s="598"/>
      <c r="W6" s="411" t="s">
        <v>93</v>
      </c>
      <c r="X6" s="416">
        <v>64</v>
      </c>
      <c r="Y6" s="583">
        <v>64</v>
      </c>
      <c r="Z6" s="583">
        <v>64</v>
      </c>
      <c r="AA6" s="583">
        <v>64</v>
      </c>
      <c r="AB6" s="606">
        <v>1</v>
      </c>
      <c r="AC6" s="367" t="s">
        <v>199</v>
      </c>
      <c r="AD6" s="367" t="s">
        <v>200</v>
      </c>
      <c r="AE6" s="365"/>
      <c r="AF6" s="601"/>
      <c r="AG6" s="604"/>
      <c r="AH6" s="124" t="s">
        <v>201</v>
      </c>
      <c r="AI6" s="124" t="s">
        <v>202</v>
      </c>
      <c r="AJ6" s="120" t="s">
        <v>210</v>
      </c>
      <c r="AK6" s="556"/>
      <c r="AL6" s="112" t="s">
        <v>120</v>
      </c>
      <c r="AM6" s="513"/>
      <c r="AN6" s="140" t="s">
        <v>211</v>
      </c>
      <c r="AO6" s="31">
        <v>1</v>
      </c>
      <c r="AP6" s="162"/>
      <c r="AQ6" s="162"/>
      <c r="AR6" s="32">
        <v>0</v>
      </c>
      <c r="AS6" s="157">
        <f>AR6/AO6</f>
        <v>0</v>
      </c>
      <c r="AT6" s="120" t="s">
        <v>59</v>
      </c>
      <c r="AU6" s="76"/>
      <c r="AV6" s="161"/>
      <c r="AW6" s="108" t="s">
        <v>212</v>
      </c>
    </row>
    <row r="7" spans="1:49" ht="15.75" thickBot="1" x14ac:dyDescent="0.3">
      <c r="A7" s="486"/>
      <c r="B7" s="483"/>
      <c r="C7" s="486"/>
      <c r="D7" s="575"/>
      <c r="E7" s="486"/>
      <c r="F7" s="486"/>
      <c r="G7" s="501"/>
      <c r="H7" s="484"/>
      <c r="I7" s="568"/>
      <c r="J7" s="501"/>
      <c r="K7" s="580"/>
      <c r="L7" s="495"/>
      <c r="M7" s="573"/>
      <c r="N7" s="554"/>
      <c r="O7" s="593"/>
      <c r="P7" s="593"/>
      <c r="Q7" s="593"/>
      <c r="R7" s="582"/>
      <c r="S7" s="582"/>
      <c r="T7" s="636"/>
      <c r="U7" s="639"/>
      <c r="V7" s="598"/>
      <c r="W7" s="420"/>
      <c r="X7" s="423"/>
      <c r="Y7" s="584"/>
      <c r="Z7" s="584"/>
      <c r="AA7" s="584"/>
      <c r="AB7" s="607"/>
      <c r="AC7" s="368"/>
      <c r="AD7" s="368"/>
      <c r="AE7" s="365"/>
      <c r="AF7" s="601"/>
      <c r="AG7" s="604"/>
      <c r="AH7" s="124"/>
      <c r="AI7" s="124"/>
      <c r="AJ7" s="120"/>
      <c r="AK7" s="556"/>
      <c r="AL7" s="112" t="s">
        <v>121</v>
      </c>
      <c r="AM7" s="513"/>
      <c r="AN7" s="140" t="s">
        <v>213</v>
      </c>
      <c r="AO7" s="31">
        <v>218050</v>
      </c>
      <c r="AP7" s="162"/>
      <c r="AQ7" s="162"/>
      <c r="AR7" s="32">
        <v>0</v>
      </c>
      <c r="AS7" s="157">
        <f>AR7/AO7</f>
        <v>0</v>
      </c>
      <c r="AT7" s="120"/>
      <c r="AU7" s="76"/>
      <c r="AV7" s="161"/>
      <c r="AW7" s="108"/>
    </row>
    <row r="8" spans="1:49" ht="15.75" thickBot="1" x14ac:dyDescent="0.3">
      <c r="A8" s="486"/>
      <c r="B8" s="483"/>
      <c r="C8" s="486"/>
      <c r="D8" s="575"/>
      <c r="E8" s="486"/>
      <c r="F8" s="486"/>
      <c r="G8" s="501"/>
      <c r="H8" s="484"/>
      <c r="I8" s="568"/>
      <c r="J8" s="501"/>
      <c r="K8" s="580"/>
      <c r="L8" s="495"/>
      <c r="M8" s="573"/>
      <c r="N8" s="554"/>
      <c r="O8" s="593"/>
      <c r="P8" s="593"/>
      <c r="Q8" s="593"/>
      <c r="R8" s="582"/>
      <c r="S8" s="582"/>
      <c r="T8" s="636"/>
      <c r="U8" s="639"/>
      <c r="V8" s="598"/>
      <c r="W8" s="412"/>
      <c r="X8" s="417"/>
      <c r="Y8" s="585"/>
      <c r="Z8" s="585"/>
      <c r="AA8" s="585"/>
      <c r="AB8" s="608"/>
      <c r="AC8" s="369"/>
      <c r="AD8" s="369"/>
      <c r="AE8" s="365"/>
      <c r="AF8" s="601"/>
      <c r="AG8" s="604"/>
      <c r="AH8" s="124"/>
      <c r="AI8" s="124"/>
      <c r="AJ8" s="120"/>
      <c r="AK8" s="556"/>
      <c r="AL8" s="112" t="s">
        <v>122</v>
      </c>
      <c r="AM8" s="513"/>
      <c r="AN8" s="140" t="s">
        <v>214</v>
      </c>
      <c r="AO8" s="31">
        <v>13653212596</v>
      </c>
      <c r="AP8" s="163">
        <v>342288365</v>
      </c>
      <c r="AQ8" s="163">
        <v>342288365</v>
      </c>
      <c r="AR8" s="32">
        <v>0</v>
      </c>
      <c r="AS8" s="157">
        <f t="shared" ref="AS8:AS18" si="0">AR8/AO8</f>
        <v>0</v>
      </c>
      <c r="AT8" s="120"/>
      <c r="AU8" s="76"/>
      <c r="AV8" s="161"/>
      <c r="AW8" s="108"/>
    </row>
    <row r="9" spans="1:49" ht="15" x14ac:dyDescent="0.25">
      <c r="A9" s="486"/>
      <c r="B9" s="483"/>
      <c r="C9" s="486"/>
      <c r="D9" s="575"/>
      <c r="E9" s="486"/>
      <c r="F9" s="486"/>
      <c r="G9" s="501"/>
      <c r="H9" s="484"/>
      <c r="I9" s="568"/>
      <c r="J9" s="501"/>
      <c r="K9" s="580"/>
      <c r="L9" s="495"/>
      <c r="M9" s="573"/>
      <c r="N9" s="554"/>
      <c r="O9" s="593"/>
      <c r="P9" s="593"/>
      <c r="Q9" s="593"/>
      <c r="R9" s="582"/>
      <c r="S9" s="582"/>
      <c r="T9" s="636"/>
      <c r="U9" s="639"/>
      <c r="V9" s="598"/>
      <c r="W9" s="411" t="s">
        <v>94</v>
      </c>
      <c r="X9" s="416">
        <v>12</v>
      </c>
      <c r="Y9" s="583">
        <v>12</v>
      </c>
      <c r="Z9" s="583">
        <v>12</v>
      </c>
      <c r="AA9" s="583">
        <v>12</v>
      </c>
      <c r="AB9" s="606">
        <v>1</v>
      </c>
      <c r="AC9" s="367" t="s">
        <v>199</v>
      </c>
      <c r="AD9" s="367" t="s">
        <v>200</v>
      </c>
      <c r="AE9" s="365"/>
      <c r="AF9" s="601"/>
      <c r="AG9" s="604"/>
      <c r="AH9" s="124"/>
      <c r="AI9" s="124"/>
      <c r="AJ9" s="120"/>
      <c r="AK9" s="556"/>
      <c r="AL9" s="112" t="s">
        <v>123</v>
      </c>
      <c r="AM9" s="513"/>
      <c r="AN9" s="140" t="s">
        <v>215</v>
      </c>
      <c r="AO9" s="31">
        <v>774299317</v>
      </c>
      <c r="AP9" s="163">
        <v>63135418</v>
      </c>
      <c r="AQ9" s="163">
        <v>63135418</v>
      </c>
      <c r="AR9" s="32">
        <v>750355341</v>
      </c>
      <c r="AS9" s="157">
        <f t="shared" si="0"/>
        <v>0.969076589021452</v>
      </c>
      <c r="AT9" s="120"/>
      <c r="AU9" s="76"/>
      <c r="AV9" s="161"/>
      <c r="AW9" s="108"/>
    </row>
    <row r="10" spans="1:49" ht="15" x14ac:dyDescent="0.25">
      <c r="A10" s="486"/>
      <c r="B10" s="483"/>
      <c r="C10" s="486"/>
      <c r="D10" s="575"/>
      <c r="E10" s="486"/>
      <c r="F10" s="486"/>
      <c r="G10" s="501"/>
      <c r="H10" s="484"/>
      <c r="I10" s="568"/>
      <c r="J10" s="501"/>
      <c r="K10" s="580"/>
      <c r="L10" s="495"/>
      <c r="M10" s="573"/>
      <c r="N10" s="554"/>
      <c r="O10" s="593"/>
      <c r="P10" s="593"/>
      <c r="Q10" s="593"/>
      <c r="R10" s="582"/>
      <c r="S10" s="582"/>
      <c r="T10" s="636"/>
      <c r="U10" s="639"/>
      <c r="V10" s="598"/>
      <c r="W10" s="420"/>
      <c r="X10" s="423"/>
      <c r="Y10" s="584"/>
      <c r="Z10" s="584"/>
      <c r="AA10" s="584"/>
      <c r="AB10" s="607"/>
      <c r="AC10" s="368"/>
      <c r="AD10" s="368"/>
      <c r="AE10" s="365"/>
      <c r="AF10" s="601"/>
      <c r="AG10" s="604"/>
      <c r="AH10" s="124"/>
      <c r="AI10" s="124"/>
      <c r="AJ10" s="120"/>
      <c r="AK10" s="556"/>
      <c r="AL10" s="112" t="s">
        <v>123</v>
      </c>
      <c r="AM10" s="513"/>
      <c r="AN10" s="140" t="s">
        <v>216</v>
      </c>
      <c r="AO10" s="20">
        <v>5218171422</v>
      </c>
      <c r="AP10" s="163">
        <v>21411060</v>
      </c>
      <c r="AQ10" s="163">
        <v>21411060</v>
      </c>
      <c r="AR10" s="21">
        <v>466022904</v>
      </c>
      <c r="AS10" s="157">
        <f t="shared" si="0"/>
        <v>8.9307703084500159E-2</v>
      </c>
      <c r="AT10" s="120"/>
      <c r="AU10" s="76"/>
      <c r="AV10" s="161"/>
      <c r="AW10" s="108"/>
    </row>
    <row r="11" spans="1:49" ht="30.75" thickBot="1" x14ac:dyDescent="0.3">
      <c r="A11" s="486"/>
      <c r="B11" s="483"/>
      <c r="C11" s="486"/>
      <c r="D11" s="575"/>
      <c r="E11" s="486"/>
      <c r="F11" s="486"/>
      <c r="G11" s="500"/>
      <c r="H11" s="484"/>
      <c r="I11" s="569"/>
      <c r="J11" s="500"/>
      <c r="K11" s="581"/>
      <c r="L11" s="495"/>
      <c r="M11" s="491"/>
      <c r="N11" s="554"/>
      <c r="O11" s="164"/>
      <c r="P11" s="594"/>
      <c r="Q11" s="594"/>
      <c r="R11" s="497"/>
      <c r="S11" s="497"/>
      <c r="T11" s="636"/>
      <c r="U11" s="639"/>
      <c r="V11" s="598"/>
      <c r="W11" s="420"/>
      <c r="X11" s="423"/>
      <c r="Y11" s="584"/>
      <c r="Z11" s="584"/>
      <c r="AA11" s="584"/>
      <c r="AB11" s="607"/>
      <c r="AC11" s="368"/>
      <c r="AD11" s="368"/>
      <c r="AE11" s="365"/>
      <c r="AF11" s="601"/>
      <c r="AG11" s="604"/>
      <c r="AH11" s="364" t="s">
        <v>201</v>
      </c>
      <c r="AI11" s="364" t="s">
        <v>202</v>
      </c>
      <c r="AJ11" s="367" t="s">
        <v>203</v>
      </c>
      <c r="AK11" s="556"/>
      <c r="AL11" s="42" t="s">
        <v>124</v>
      </c>
      <c r="AM11" s="513"/>
      <c r="AN11" s="140" t="s">
        <v>217</v>
      </c>
      <c r="AO11" s="45">
        <v>342288365</v>
      </c>
      <c r="AP11" s="163">
        <v>774299317</v>
      </c>
      <c r="AQ11" s="163">
        <v>774299317</v>
      </c>
      <c r="AR11" s="46">
        <v>342022904</v>
      </c>
      <c r="AS11" s="157">
        <f t="shared" si="0"/>
        <v>0.99922445216623124</v>
      </c>
      <c r="AT11" s="120" t="s">
        <v>59</v>
      </c>
      <c r="AU11" s="76" t="s">
        <v>218</v>
      </c>
      <c r="AV11" s="76"/>
      <c r="AW11" s="76"/>
    </row>
    <row r="12" spans="1:49" ht="30.75" thickBot="1" x14ac:dyDescent="0.3">
      <c r="A12" s="486"/>
      <c r="B12" s="483"/>
      <c r="C12" s="486"/>
      <c r="D12" s="575"/>
      <c r="E12" s="486"/>
      <c r="F12" s="486"/>
      <c r="G12" s="122"/>
      <c r="H12" s="124"/>
      <c r="I12" s="165"/>
      <c r="J12" s="122"/>
      <c r="K12" s="166"/>
      <c r="L12" s="113"/>
      <c r="M12" s="127"/>
      <c r="N12" s="167"/>
      <c r="O12" s="164"/>
      <c r="P12" s="164"/>
      <c r="Q12" s="164"/>
      <c r="R12" s="121"/>
      <c r="S12" s="121"/>
      <c r="T12" s="636"/>
      <c r="U12" s="639"/>
      <c r="V12" s="598"/>
      <c r="W12" s="420"/>
      <c r="X12" s="423"/>
      <c r="Y12" s="584"/>
      <c r="Z12" s="584"/>
      <c r="AA12" s="584"/>
      <c r="AB12" s="607"/>
      <c r="AC12" s="368"/>
      <c r="AD12" s="368"/>
      <c r="AE12" s="365"/>
      <c r="AF12" s="601"/>
      <c r="AG12" s="604"/>
      <c r="AH12" s="365"/>
      <c r="AI12" s="365"/>
      <c r="AJ12" s="368"/>
      <c r="AK12" s="556"/>
      <c r="AL12" s="42" t="s">
        <v>124</v>
      </c>
      <c r="AM12" s="513"/>
      <c r="AN12" s="140" t="s">
        <v>219</v>
      </c>
      <c r="AO12" s="31">
        <v>63135418</v>
      </c>
      <c r="AP12" s="163"/>
      <c r="AQ12" s="163"/>
      <c r="AR12" s="46">
        <v>0</v>
      </c>
      <c r="AS12" s="157">
        <f>AR12/AO12</f>
        <v>0</v>
      </c>
      <c r="AT12" s="120"/>
      <c r="AU12" s="76"/>
      <c r="AV12" s="76"/>
      <c r="AW12" s="76"/>
    </row>
    <row r="13" spans="1:49" ht="45.75" thickBot="1" x14ac:dyDescent="0.3">
      <c r="A13" s="486"/>
      <c r="B13" s="483"/>
      <c r="C13" s="486"/>
      <c r="D13" s="575"/>
      <c r="E13" s="486"/>
      <c r="F13" s="486"/>
      <c r="G13" s="122"/>
      <c r="H13" s="124"/>
      <c r="I13" s="165"/>
      <c r="J13" s="122"/>
      <c r="K13" s="166"/>
      <c r="L13" s="113"/>
      <c r="M13" s="127"/>
      <c r="N13" s="167"/>
      <c r="O13" s="164"/>
      <c r="P13" s="164"/>
      <c r="Q13" s="164"/>
      <c r="R13" s="121"/>
      <c r="S13" s="121"/>
      <c r="T13" s="636"/>
      <c r="U13" s="639"/>
      <c r="V13" s="598"/>
      <c r="W13" s="420"/>
      <c r="X13" s="423"/>
      <c r="Y13" s="584"/>
      <c r="Z13" s="584"/>
      <c r="AA13" s="584"/>
      <c r="AB13" s="607"/>
      <c r="AC13" s="368"/>
      <c r="AD13" s="368"/>
      <c r="AE13" s="365"/>
      <c r="AF13" s="601"/>
      <c r="AG13" s="604"/>
      <c r="AH13" s="365"/>
      <c r="AI13" s="365"/>
      <c r="AJ13" s="368"/>
      <c r="AK13" s="556"/>
      <c r="AL13" s="42" t="s">
        <v>125</v>
      </c>
      <c r="AM13" s="513"/>
      <c r="AN13" s="140" t="s">
        <v>220</v>
      </c>
      <c r="AO13" s="131">
        <v>21411060</v>
      </c>
      <c r="AP13" s="163"/>
      <c r="AQ13" s="163"/>
      <c r="AR13" s="131">
        <v>21411059</v>
      </c>
      <c r="AS13" s="157">
        <f t="shared" si="0"/>
        <v>0.99999995329516611</v>
      </c>
      <c r="AT13" s="120"/>
      <c r="AU13" s="76"/>
      <c r="AV13" s="76"/>
      <c r="AW13" s="76"/>
    </row>
    <row r="14" spans="1:49" ht="45.75" thickBot="1" x14ac:dyDescent="0.3">
      <c r="A14" s="486"/>
      <c r="B14" s="483"/>
      <c r="C14" s="486"/>
      <c r="D14" s="575"/>
      <c r="E14" s="486"/>
      <c r="F14" s="486"/>
      <c r="G14" s="122"/>
      <c r="H14" s="124"/>
      <c r="I14" s="165"/>
      <c r="J14" s="122"/>
      <c r="K14" s="166"/>
      <c r="L14" s="113"/>
      <c r="M14" s="127"/>
      <c r="N14" s="167"/>
      <c r="O14" s="164"/>
      <c r="P14" s="164"/>
      <c r="Q14" s="164"/>
      <c r="R14" s="121"/>
      <c r="S14" s="121"/>
      <c r="T14" s="637"/>
      <c r="U14" s="640"/>
      <c r="V14" s="599"/>
      <c r="W14" s="412"/>
      <c r="X14" s="417"/>
      <c r="Y14" s="585"/>
      <c r="Z14" s="585"/>
      <c r="AA14" s="585"/>
      <c r="AB14" s="608"/>
      <c r="AC14" s="369"/>
      <c r="AD14" s="369"/>
      <c r="AE14" s="366"/>
      <c r="AF14" s="602"/>
      <c r="AG14" s="605"/>
      <c r="AH14" s="366"/>
      <c r="AI14" s="366"/>
      <c r="AJ14" s="369"/>
      <c r="AK14" s="556"/>
      <c r="AL14" s="42" t="s">
        <v>126</v>
      </c>
      <c r="AM14" s="513"/>
      <c r="AN14" s="140" t="s">
        <v>221</v>
      </c>
      <c r="AO14" s="31">
        <v>100000000</v>
      </c>
      <c r="AP14" s="163">
        <v>5218171422</v>
      </c>
      <c r="AQ14" s="163">
        <v>5218171422</v>
      </c>
      <c r="AR14" s="32">
        <v>0</v>
      </c>
      <c r="AS14" s="157">
        <f t="shared" si="0"/>
        <v>0</v>
      </c>
      <c r="AT14" s="120"/>
      <c r="AU14" s="76"/>
      <c r="AV14" s="76"/>
      <c r="AW14" s="76"/>
    </row>
    <row r="15" spans="1:49" ht="15.75" thickBot="1" x14ac:dyDescent="0.3">
      <c r="A15" s="486"/>
      <c r="B15" s="483"/>
      <c r="C15" s="486"/>
      <c r="D15" s="575"/>
      <c r="E15" s="486"/>
      <c r="F15" s="486"/>
      <c r="G15" s="122"/>
      <c r="H15" s="124"/>
      <c r="I15" s="165"/>
      <c r="J15" s="122"/>
      <c r="K15" s="166"/>
      <c r="L15" s="113"/>
      <c r="M15" s="127"/>
      <c r="N15" s="167"/>
      <c r="O15" s="164"/>
      <c r="P15" s="164"/>
      <c r="Q15" s="164"/>
      <c r="R15" s="121"/>
      <c r="S15" s="121"/>
      <c r="T15" s="231"/>
      <c r="U15" s="232"/>
      <c r="V15" s="233"/>
      <c r="W15" s="234"/>
      <c r="X15" s="235"/>
      <c r="Y15" s="236"/>
      <c r="Z15" s="236"/>
      <c r="AA15" s="236"/>
      <c r="AB15" s="243">
        <f>AVERAGE(AB9)</f>
        <v>1</v>
      </c>
      <c r="AC15" s="237"/>
      <c r="AD15" s="237"/>
      <c r="AE15" s="238"/>
      <c r="AF15" s="239"/>
      <c r="AG15" s="240"/>
      <c r="AH15" s="238"/>
      <c r="AI15" s="238"/>
      <c r="AJ15" s="241"/>
      <c r="AK15" s="556"/>
      <c r="AL15" s="245"/>
      <c r="AM15" s="513"/>
      <c r="AN15" s="246"/>
      <c r="AO15" s="247">
        <f>SUM(AO3:AO14)</f>
        <v>31606831322</v>
      </c>
      <c r="AP15" s="248"/>
      <c r="AQ15" s="248"/>
      <c r="AR15" s="249">
        <f>SUM(AR3:AR14)</f>
        <v>11727757152</v>
      </c>
      <c r="AS15" s="250">
        <f>+AR15/AO15</f>
        <v>0.37105134116487248</v>
      </c>
      <c r="AT15" s="241"/>
      <c r="AU15" s="251"/>
      <c r="AV15" s="251"/>
      <c r="AW15" s="251"/>
    </row>
    <row r="16" spans="1:49" ht="15.75" thickBot="1" x14ac:dyDescent="0.3">
      <c r="A16" s="486"/>
      <c r="B16" s="483"/>
      <c r="C16" s="486"/>
      <c r="D16" s="575"/>
      <c r="E16" s="486"/>
      <c r="F16" s="486"/>
      <c r="G16" s="122"/>
      <c r="H16" s="124"/>
      <c r="I16" s="165"/>
      <c r="J16" s="122"/>
      <c r="K16" s="166"/>
      <c r="L16" s="113"/>
      <c r="M16" s="127"/>
      <c r="N16" s="167"/>
      <c r="O16" s="164"/>
      <c r="P16" s="164"/>
      <c r="Q16" s="164"/>
      <c r="R16" s="121"/>
      <c r="S16" s="121"/>
      <c r="T16" s="117"/>
      <c r="U16" s="118"/>
      <c r="V16" s="116"/>
      <c r="W16" s="129"/>
      <c r="X16" s="130"/>
      <c r="Y16" s="168"/>
      <c r="Z16" s="168"/>
      <c r="AA16" s="168"/>
      <c r="AB16" s="168"/>
      <c r="AC16" s="110"/>
      <c r="AD16" s="110"/>
      <c r="AE16" s="124"/>
      <c r="AF16" s="169"/>
      <c r="AG16" s="170"/>
      <c r="AH16" s="124"/>
      <c r="AI16" s="124"/>
      <c r="AJ16" s="120"/>
      <c r="AK16" s="556"/>
      <c r="AL16" s="42"/>
      <c r="AM16" s="513"/>
      <c r="AN16" s="140"/>
      <c r="AO16" s="131"/>
      <c r="AP16" s="163"/>
      <c r="AQ16" s="163"/>
      <c r="AR16" s="244"/>
      <c r="AS16" s="157"/>
      <c r="AT16" s="120"/>
      <c r="AU16" s="76"/>
      <c r="AV16" s="76"/>
      <c r="AW16" s="76"/>
    </row>
    <row r="17" spans="1:49" ht="15.75" thickBot="1" x14ac:dyDescent="0.3">
      <c r="A17" s="486"/>
      <c r="B17" s="483"/>
      <c r="C17" s="486"/>
      <c r="D17" s="575"/>
      <c r="E17" s="486"/>
      <c r="F17" s="486"/>
      <c r="G17" s="122"/>
      <c r="H17" s="124"/>
      <c r="I17" s="165"/>
      <c r="J17" s="122"/>
      <c r="K17" s="166"/>
      <c r="L17" s="113"/>
      <c r="M17" s="127"/>
      <c r="N17" s="167"/>
      <c r="O17" s="164"/>
      <c r="P17" s="164"/>
      <c r="Q17" s="164"/>
      <c r="R17" s="121"/>
      <c r="S17" s="121"/>
      <c r="T17" s="117"/>
      <c r="U17" s="118"/>
      <c r="V17" s="116"/>
      <c r="W17" s="129"/>
      <c r="X17" s="130"/>
      <c r="Y17" s="168"/>
      <c r="Z17" s="168"/>
      <c r="AA17" s="168"/>
      <c r="AB17" s="168"/>
      <c r="AC17" s="110"/>
      <c r="AD17" s="110"/>
      <c r="AE17" s="124"/>
      <c r="AF17" s="169"/>
      <c r="AG17" s="170"/>
      <c r="AH17" s="124"/>
      <c r="AI17" s="124"/>
      <c r="AJ17" s="120"/>
      <c r="AK17" s="556"/>
      <c r="AL17" s="42" t="s">
        <v>116</v>
      </c>
      <c r="AM17" s="513"/>
      <c r="AN17" s="140" t="s">
        <v>222</v>
      </c>
      <c r="AO17" s="131">
        <v>2384290325</v>
      </c>
      <c r="AP17" s="163"/>
      <c r="AQ17" s="163"/>
      <c r="AR17" s="131">
        <v>2190528152</v>
      </c>
      <c r="AS17" s="157">
        <f t="shared" si="0"/>
        <v>0.91873381736764792</v>
      </c>
      <c r="AT17" s="120"/>
      <c r="AU17" s="76"/>
      <c r="AV17" s="76"/>
      <c r="AW17" s="76"/>
    </row>
    <row r="18" spans="1:49" ht="109.5" thickBot="1" x14ac:dyDescent="0.3">
      <c r="A18" s="486"/>
      <c r="B18" s="483"/>
      <c r="C18" s="487"/>
      <c r="D18" s="575"/>
      <c r="E18" s="487"/>
      <c r="F18" s="487"/>
      <c r="G18" s="128" t="s">
        <v>223</v>
      </c>
      <c r="H18" s="124" t="s">
        <v>224</v>
      </c>
      <c r="I18" s="171" t="s">
        <v>225</v>
      </c>
      <c r="J18" s="128" t="s">
        <v>80</v>
      </c>
      <c r="K18" s="172">
        <v>8</v>
      </c>
      <c r="L18" s="113">
        <v>4</v>
      </c>
      <c r="M18" s="113">
        <v>1</v>
      </c>
      <c r="N18" s="167">
        <v>0</v>
      </c>
      <c r="O18" s="167">
        <v>1</v>
      </c>
      <c r="P18" s="167">
        <v>6</v>
      </c>
      <c r="Q18" s="167">
        <v>2</v>
      </c>
      <c r="R18" s="68">
        <v>1</v>
      </c>
      <c r="S18" s="68">
        <f>(M18+O18+P18)/K18</f>
        <v>1</v>
      </c>
      <c r="T18" s="173" t="s">
        <v>95</v>
      </c>
      <c r="U18" s="118">
        <v>2021130010215</v>
      </c>
      <c r="V18" s="116" t="s">
        <v>96</v>
      </c>
      <c r="W18" s="70">
        <v>0</v>
      </c>
      <c r="X18" s="73">
        <v>7</v>
      </c>
      <c r="Y18" s="159">
        <v>9</v>
      </c>
      <c r="Z18" s="159">
        <v>9</v>
      </c>
      <c r="AA18" s="174">
        <v>1</v>
      </c>
      <c r="AB18" s="174">
        <v>1</v>
      </c>
      <c r="AC18" s="120" t="s">
        <v>199</v>
      </c>
      <c r="AD18" s="120" t="s">
        <v>200</v>
      </c>
      <c r="AE18" s="124">
        <v>1057445</v>
      </c>
      <c r="AF18" s="169">
        <v>361520</v>
      </c>
      <c r="AG18" s="119">
        <v>1</v>
      </c>
      <c r="AH18" s="124" t="s">
        <v>201</v>
      </c>
      <c r="AI18" s="124" t="s">
        <v>202</v>
      </c>
      <c r="AJ18" s="120" t="s">
        <v>203</v>
      </c>
      <c r="AK18" s="556"/>
      <c r="AL18" s="42" t="s">
        <v>118</v>
      </c>
      <c r="AM18" s="513"/>
      <c r="AN18" s="140" t="s">
        <v>226</v>
      </c>
      <c r="AO18" s="31">
        <v>296615906</v>
      </c>
      <c r="AP18" s="163"/>
      <c r="AQ18" s="163"/>
      <c r="AR18" s="32">
        <v>0</v>
      </c>
      <c r="AS18" s="157">
        <f t="shared" si="0"/>
        <v>0</v>
      </c>
      <c r="AT18" s="120" t="s">
        <v>59</v>
      </c>
      <c r="AU18" s="76"/>
      <c r="AV18" s="76"/>
      <c r="AW18" s="76"/>
    </row>
    <row r="19" spans="1:49" ht="15" x14ac:dyDescent="0.25">
      <c r="A19" s="486"/>
      <c r="B19" s="483"/>
      <c r="C19" s="125"/>
      <c r="D19" s="175"/>
      <c r="E19" s="125"/>
      <c r="F19" s="125"/>
      <c r="G19" s="220"/>
      <c r="H19" s="221"/>
      <c r="I19" s="222"/>
      <c r="J19" s="223"/>
      <c r="K19" s="224"/>
      <c r="L19" s="225"/>
      <c r="M19" s="225"/>
      <c r="N19" s="226"/>
      <c r="O19" s="226"/>
      <c r="P19" s="227"/>
      <c r="Q19" s="227"/>
      <c r="R19" s="68"/>
      <c r="S19" s="68"/>
      <c r="T19" s="252"/>
      <c r="U19" s="253"/>
      <c r="V19" s="254"/>
      <c r="W19" s="255"/>
      <c r="X19" s="256"/>
      <c r="Y19" s="257"/>
      <c r="Z19" s="257"/>
      <c r="AA19" s="257"/>
      <c r="AB19" s="257">
        <v>1</v>
      </c>
      <c r="AC19" s="241"/>
      <c r="AD19" s="241"/>
      <c r="AE19" s="238"/>
      <c r="AF19" s="239"/>
      <c r="AG19" s="258">
        <v>1</v>
      </c>
      <c r="AH19" s="238"/>
      <c r="AI19" s="238"/>
      <c r="AJ19" s="241"/>
      <c r="AK19" s="259"/>
      <c r="AL19" s="260"/>
      <c r="AM19" s="241"/>
      <c r="AN19" s="246"/>
      <c r="AO19" s="261">
        <f>SUM(AO17:AO18)</f>
        <v>2680906231</v>
      </c>
      <c r="AP19" s="248"/>
      <c r="AQ19" s="248"/>
      <c r="AR19" s="262">
        <f>SUM(AR17:AR18)</f>
        <v>2190528152</v>
      </c>
      <c r="AS19" s="250">
        <f t="shared" ref="AS19:AS24" si="1">+AR19/AO19</f>
        <v>0.81708495682182625</v>
      </c>
      <c r="AT19" s="241"/>
      <c r="AU19" s="251"/>
      <c r="AV19" s="251"/>
      <c r="AW19" s="251"/>
    </row>
    <row r="20" spans="1:49" ht="21" x14ac:dyDescent="0.25">
      <c r="A20" s="486"/>
      <c r="B20" s="483"/>
      <c r="C20" s="229"/>
      <c r="D20" s="230"/>
      <c r="E20" s="229"/>
      <c r="F20" s="229"/>
      <c r="G20" s="545" t="s">
        <v>278</v>
      </c>
      <c r="H20" s="546"/>
      <c r="I20" s="546"/>
      <c r="J20" s="546"/>
      <c r="K20" s="546"/>
      <c r="L20" s="546"/>
      <c r="M20" s="546"/>
      <c r="N20" s="546"/>
      <c r="O20" s="546"/>
      <c r="P20" s="547"/>
      <c r="Q20" s="263"/>
      <c r="R20" s="264">
        <v>1</v>
      </c>
      <c r="S20" s="265">
        <v>1</v>
      </c>
      <c r="T20" s="609"/>
      <c r="U20" s="610"/>
      <c r="V20" s="610"/>
      <c r="W20" s="610"/>
      <c r="X20" s="611"/>
      <c r="Y20" s="266"/>
      <c r="Z20" s="266"/>
      <c r="AA20" s="266"/>
      <c r="AB20" s="266"/>
      <c r="AC20" s="267"/>
      <c r="AD20" s="267"/>
      <c r="AE20" s="268"/>
      <c r="AF20" s="269"/>
      <c r="AG20" s="270"/>
      <c r="AH20" s="268"/>
      <c r="AI20" s="268"/>
      <c r="AJ20" s="267"/>
      <c r="AK20" s="271"/>
      <c r="AL20" s="268"/>
      <c r="AM20" s="267"/>
      <c r="AN20" s="268"/>
      <c r="AO20" s="268">
        <f>+(AO15+AO19)</f>
        <v>34287737553</v>
      </c>
      <c r="AP20" s="268"/>
      <c r="AQ20" s="268"/>
      <c r="AR20" s="273">
        <f>+AR15+AR19</f>
        <v>13918285304</v>
      </c>
      <c r="AS20" s="274">
        <f t="shared" si="1"/>
        <v>0.40592603354146423</v>
      </c>
      <c r="AT20" s="267"/>
      <c r="AU20" s="272"/>
      <c r="AV20" s="272"/>
      <c r="AW20" s="272"/>
    </row>
    <row r="21" spans="1:49" ht="60" x14ac:dyDescent="0.25">
      <c r="A21" s="486"/>
      <c r="B21" s="483"/>
      <c r="C21" s="485" t="s">
        <v>227</v>
      </c>
      <c r="D21" s="575">
        <v>0.05</v>
      </c>
      <c r="E21" s="485" t="s">
        <v>228</v>
      </c>
      <c r="F21" s="485" t="s">
        <v>74</v>
      </c>
      <c r="G21" s="128" t="s">
        <v>229</v>
      </c>
      <c r="H21" s="124" t="s">
        <v>230</v>
      </c>
      <c r="I21" s="177" t="s">
        <v>231</v>
      </c>
      <c r="J21" s="128" t="s">
        <v>81</v>
      </c>
      <c r="K21" s="64">
        <v>520212</v>
      </c>
      <c r="L21" s="64">
        <v>246434.59</v>
      </c>
      <c r="M21" s="64">
        <v>36815.910000000003</v>
      </c>
      <c r="N21" s="178">
        <v>1490.6</v>
      </c>
      <c r="O21" s="178">
        <v>1218.4000000000001</v>
      </c>
      <c r="P21" s="179">
        <v>76820</v>
      </c>
      <c r="Q21" s="179">
        <v>11100.58</v>
      </c>
      <c r="R21" s="68">
        <f>(N21+O21+P21+Q21)/L21</f>
        <v>0.36776322674507667</v>
      </c>
      <c r="S21" s="68">
        <f>(M21+N21+O21+P21+Q21)/K21</f>
        <v>0.244987601208738</v>
      </c>
      <c r="T21" s="612" t="s">
        <v>98</v>
      </c>
      <c r="U21" s="511">
        <v>2021130010141</v>
      </c>
      <c r="V21" s="507" t="s">
        <v>99</v>
      </c>
      <c r="W21" s="70" t="s">
        <v>100</v>
      </c>
      <c r="X21" s="356" t="s">
        <v>112</v>
      </c>
      <c r="Y21" s="180">
        <v>2709</v>
      </c>
      <c r="Z21" s="180">
        <v>79529</v>
      </c>
      <c r="AA21" s="180">
        <v>90629.58</v>
      </c>
      <c r="AB21" s="242">
        <v>0.7</v>
      </c>
      <c r="AC21" s="120" t="s">
        <v>199</v>
      </c>
      <c r="AD21" s="120" t="s">
        <v>200</v>
      </c>
      <c r="AE21" s="484">
        <v>1057445</v>
      </c>
      <c r="AF21" s="555">
        <v>275992</v>
      </c>
      <c r="AG21" s="512">
        <v>0.9</v>
      </c>
      <c r="AH21" s="124" t="s">
        <v>201</v>
      </c>
      <c r="AI21" s="124" t="s">
        <v>202</v>
      </c>
      <c r="AJ21" s="120" t="s">
        <v>203</v>
      </c>
      <c r="AK21" s="556">
        <v>4416227511</v>
      </c>
      <c r="AL21" s="140" t="s">
        <v>232</v>
      </c>
      <c r="AM21" s="484" t="s">
        <v>127</v>
      </c>
      <c r="AN21" s="140" t="s">
        <v>233</v>
      </c>
      <c r="AO21" s="181">
        <v>1263392236</v>
      </c>
      <c r="AP21" s="181">
        <f>939961000</f>
        <v>939961000</v>
      </c>
      <c r="AQ21" s="181">
        <v>579054074</v>
      </c>
      <c r="AR21" s="182">
        <v>1006295369.01</v>
      </c>
      <c r="AS21" s="183">
        <f t="shared" si="1"/>
        <v>0.79650273314644626</v>
      </c>
      <c r="AT21" s="120" t="s">
        <v>59</v>
      </c>
      <c r="AU21" s="76" t="s">
        <v>234</v>
      </c>
      <c r="AV21" s="76"/>
      <c r="AW21" s="108" t="s">
        <v>235</v>
      </c>
    </row>
    <row r="22" spans="1:49" ht="60" x14ac:dyDescent="0.25">
      <c r="A22" s="486"/>
      <c r="B22" s="483"/>
      <c r="C22" s="486"/>
      <c r="D22" s="575"/>
      <c r="E22" s="486"/>
      <c r="F22" s="486"/>
      <c r="G22" s="565" t="s">
        <v>236</v>
      </c>
      <c r="H22" s="484" t="s">
        <v>237</v>
      </c>
      <c r="I22" s="613" t="s">
        <v>238</v>
      </c>
      <c r="J22" s="565" t="s">
        <v>82</v>
      </c>
      <c r="K22" s="579">
        <v>6.3</v>
      </c>
      <c r="L22" s="495" t="s">
        <v>88</v>
      </c>
      <c r="M22" s="490">
        <v>6.3045400000000003</v>
      </c>
      <c r="N22" s="644">
        <v>0</v>
      </c>
      <c r="O22" s="560">
        <v>0</v>
      </c>
      <c r="P22" s="560" t="s">
        <v>88</v>
      </c>
      <c r="Q22" s="560">
        <v>0</v>
      </c>
      <c r="R22" s="496">
        <v>1</v>
      </c>
      <c r="S22" s="496">
        <f>+M22/K22</f>
        <v>1.000720634920635</v>
      </c>
      <c r="T22" s="612"/>
      <c r="U22" s="511"/>
      <c r="V22" s="507"/>
      <c r="W22" s="70" t="s">
        <v>101</v>
      </c>
      <c r="X22" s="73" t="s">
        <v>88</v>
      </c>
      <c r="Y22" s="180" t="s">
        <v>88</v>
      </c>
      <c r="Z22" s="180" t="s">
        <v>88</v>
      </c>
      <c r="AA22" s="180" t="s">
        <v>88</v>
      </c>
      <c r="AB22" s="279">
        <v>1</v>
      </c>
      <c r="AC22" s="120" t="s">
        <v>199</v>
      </c>
      <c r="AD22" s="120" t="s">
        <v>200</v>
      </c>
      <c r="AE22" s="484"/>
      <c r="AF22" s="555"/>
      <c r="AG22" s="513"/>
      <c r="AH22" s="124" t="s">
        <v>201</v>
      </c>
      <c r="AI22" s="124" t="s">
        <v>202</v>
      </c>
      <c r="AJ22" s="120" t="s">
        <v>203</v>
      </c>
      <c r="AK22" s="556"/>
      <c r="AL22" s="140" t="s">
        <v>239</v>
      </c>
      <c r="AM22" s="513"/>
      <c r="AN22" s="140" t="s">
        <v>240</v>
      </c>
      <c r="AO22" s="181">
        <v>2067081637</v>
      </c>
      <c r="AP22" s="181">
        <v>0</v>
      </c>
      <c r="AQ22" s="181">
        <v>0</v>
      </c>
      <c r="AR22" s="182">
        <v>1288806838.8299999</v>
      </c>
      <c r="AS22" s="183">
        <f t="shared" si="1"/>
        <v>0.62349102026781733</v>
      </c>
      <c r="AT22" s="120" t="s">
        <v>59</v>
      </c>
      <c r="AU22" s="76"/>
      <c r="AV22" s="76"/>
      <c r="AW22" s="108" t="s">
        <v>241</v>
      </c>
    </row>
    <row r="23" spans="1:49" ht="45" x14ac:dyDescent="0.25">
      <c r="A23" s="486"/>
      <c r="B23" s="483"/>
      <c r="C23" s="487"/>
      <c r="D23" s="575"/>
      <c r="E23" s="487"/>
      <c r="F23" s="487"/>
      <c r="G23" s="566"/>
      <c r="H23" s="484"/>
      <c r="I23" s="614"/>
      <c r="J23" s="566"/>
      <c r="K23" s="581"/>
      <c r="L23" s="495"/>
      <c r="M23" s="491"/>
      <c r="N23" s="644"/>
      <c r="O23" s="561"/>
      <c r="P23" s="561"/>
      <c r="Q23" s="561"/>
      <c r="R23" s="497"/>
      <c r="S23" s="497"/>
      <c r="T23" s="612"/>
      <c r="U23" s="511"/>
      <c r="V23" s="507"/>
      <c r="W23" s="70" t="s">
        <v>102</v>
      </c>
      <c r="X23" s="73">
        <v>23</v>
      </c>
      <c r="Y23" s="180">
        <v>23</v>
      </c>
      <c r="Z23" s="180">
        <v>23</v>
      </c>
      <c r="AA23" s="180">
        <v>23</v>
      </c>
      <c r="AB23" s="242">
        <f>+AA23/X23</f>
        <v>1</v>
      </c>
      <c r="AC23" s="120" t="s">
        <v>199</v>
      </c>
      <c r="AD23" s="120" t="s">
        <v>200</v>
      </c>
      <c r="AE23" s="484"/>
      <c r="AF23" s="555"/>
      <c r="AG23" s="513"/>
      <c r="AH23" s="124" t="s">
        <v>201</v>
      </c>
      <c r="AI23" s="124" t="s">
        <v>202</v>
      </c>
      <c r="AJ23" s="120" t="s">
        <v>203</v>
      </c>
      <c r="AK23" s="556"/>
      <c r="AL23" s="140" t="s">
        <v>242</v>
      </c>
      <c r="AM23" s="513"/>
      <c r="AN23" s="140" t="s">
        <v>243</v>
      </c>
      <c r="AO23" s="182">
        <v>1085753638.8099999</v>
      </c>
      <c r="AP23" s="184"/>
      <c r="AQ23" s="184"/>
      <c r="AR23" s="182">
        <v>1085753638.8099999</v>
      </c>
      <c r="AS23" s="183">
        <f t="shared" si="1"/>
        <v>1</v>
      </c>
      <c r="AT23" s="120" t="s">
        <v>59</v>
      </c>
      <c r="AU23" s="76" t="s">
        <v>218</v>
      </c>
      <c r="AV23" s="76"/>
      <c r="AW23" s="76"/>
    </row>
    <row r="24" spans="1:49" ht="15" x14ac:dyDescent="0.25">
      <c r="A24" s="486"/>
      <c r="B24" s="483"/>
      <c r="C24" s="125"/>
      <c r="D24" s="175"/>
      <c r="E24" s="125"/>
      <c r="F24" s="125"/>
      <c r="G24" s="562"/>
      <c r="H24" s="563"/>
      <c r="I24" s="563"/>
      <c r="J24" s="563"/>
      <c r="K24" s="563"/>
      <c r="L24" s="563"/>
      <c r="M24" s="563"/>
      <c r="N24" s="563"/>
      <c r="O24" s="563"/>
      <c r="P24" s="564"/>
      <c r="Q24" s="185"/>
      <c r="R24" s="186">
        <f>AVERAGE(R21:R23)</f>
        <v>0.68388161337253828</v>
      </c>
      <c r="S24" s="187">
        <f>AVERAGE(S21:S23)</f>
        <v>0.62285411806468649</v>
      </c>
      <c r="T24" s="557"/>
      <c r="U24" s="558"/>
      <c r="V24" s="558"/>
      <c r="W24" s="558"/>
      <c r="X24" s="559"/>
      <c r="Y24" s="288"/>
      <c r="Z24" s="288"/>
      <c r="AA24" s="288"/>
      <c r="AB24" s="288">
        <f>AVERAGE(AB21:AB23)</f>
        <v>0.9</v>
      </c>
      <c r="AC24" s="241"/>
      <c r="AD24" s="241"/>
      <c r="AE24" s="238"/>
      <c r="AF24" s="239"/>
      <c r="AG24" s="258">
        <f>AVERAGE(AG21)</f>
        <v>0.9</v>
      </c>
      <c r="AH24" s="238"/>
      <c r="AI24" s="238"/>
      <c r="AJ24" s="241"/>
      <c r="AK24" s="259"/>
      <c r="AL24" s="238"/>
      <c r="AM24" s="241"/>
      <c r="AN24" s="238"/>
      <c r="AO24" s="289">
        <f>SUM(AO21:AO23)</f>
        <v>4416227511.8099995</v>
      </c>
      <c r="AP24" s="238"/>
      <c r="AQ24" s="238"/>
      <c r="AR24" s="289">
        <f>SUM(AR21:AR23)</f>
        <v>3380855846.6500001</v>
      </c>
      <c r="AS24" s="250">
        <f t="shared" si="1"/>
        <v>0.76555291538056425</v>
      </c>
      <c r="AT24" s="241"/>
      <c r="AU24" s="251"/>
      <c r="AV24" s="251"/>
      <c r="AW24" s="251"/>
    </row>
    <row r="25" spans="1:49" ht="15" x14ac:dyDescent="0.25">
      <c r="A25" s="486"/>
      <c r="B25" s="483"/>
      <c r="C25" s="125"/>
      <c r="D25" s="175"/>
      <c r="E25" s="125"/>
      <c r="F25" s="280"/>
      <c r="G25" s="281"/>
      <c r="H25" s="282"/>
      <c r="I25" s="283"/>
      <c r="J25" s="283"/>
      <c r="K25" s="283"/>
      <c r="L25" s="282"/>
      <c r="M25" s="283"/>
      <c r="N25" s="282"/>
      <c r="O25" s="283"/>
      <c r="P25" s="284"/>
      <c r="Q25" s="284"/>
      <c r="R25" s="285">
        <f>AVERAGE(R24)</f>
        <v>0.68388161337253828</v>
      </c>
      <c r="S25" s="286">
        <f>AVERAGE(S24)</f>
        <v>0.62285411806468649</v>
      </c>
      <c r="T25" s="275"/>
      <c r="U25" s="276"/>
      <c r="V25" s="276"/>
      <c r="W25" s="276"/>
      <c r="X25" s="277"/>
      <c r="Y25" s="266"/>
      <c r="Z25" s="266"/>
      <c r="AA25" s="266"/>
      <c r="AB25" s="266"/>
      <c r="AC25" s="267"/>
      <c r="AD25" s="267"/>
      <c r="AE25" s="268"/>
      <c r="AF25" s="269"/>
      <c r="AG25" s="267"/>
      <c r="AH25" s="268"/>
      <c r="AI25" s="268"/>
      <c r="AJ25" s="267"/>
      <c r="AK25" s="271"/>
      <c r="AL25" s="268"/>
      <c r="AM25" s="267"/>
      <c r="AN25" s="268"/>
      <c r="AO25" s="268"/>
      <c r="AP25" s="268"/>
      <c r="AQ25" s="268"/>
      <c r="AR25" s="268"/>
      <c r="AS25" s="268"/>
      <c r="AT25" s="267"/>
      <c r="AU25" s="272"/>
      <c r="AV25" s="272"/>
      <c r="AW25" s="287"/>
    </row>
    <row r="26" spans="1:49" ht="30" x14ac:dyDescent="0.25">
      <c r="A26" s="486"/>
      <c r="B26" s="483"/>
      <c r="C26" s="485" t="s">
        <v>244</v>
      </c>
      <c r="D26" s="575">
        <v>0.39</v>
      </c>
      <c r="E26" s="576" t="s">
        <v>245</v>
      </c>
      <c r="F26" s="485" t="s">
        <v>75</v>
      </c>
      <c r="G26" s="565" t="s">
        <v>246</v>
      </c>
      <c r="H26" s="484" t="s">
        <v>247</v>
      </c>
      <c r="I26" s="613" t="s">
        <v>248</v>
      </c>
      <c r="J26" s="565" t="s">
        <v>83</v>
      </c>
      <c r="K26" s="641">
        <v>0.2</v>
      </c>
      <c r="L26" s="498">
        <v>0.1</v>
      </c>
      <c r="M26" s="551">
        <v>0.11</v>
      </c>
      <c r="N26" s="554">
        <v>0</v>
      </c>
      <c r="O26" s="592">
        <v>0</v>
      </c>
      <c r="P26" s="592">
        <v>6.5000000000000002E-2</v>
      </c>
      <c r="Q26" s="592">
        <v>0</v>
      </c>
      <c r="R26" s="496">
        <v>0</v>
      </c>
      <c r="S26" s="496">
        <f>(M26)/20%</f>
        <v>0.54999999999999993</v>
      </c>
      <c r="T26" s="625" t="s">
        <v>103</v>
      </c>
      <c r="U26" s="511">
        <v>2021130010184</v>
      </c>
      <c r="V26" s="507" t="s">
        <v>104</v>
      </c>
      <c r="W26" s="70" t="s">
        <v>105</v>
      </c>
      <c r="X26" s="188">
        <v>0.09</v>
      </c>
      <c r="Y26" s="174">
        <v>0</v>
      </c>
      <c r="Z26" s="174">
        <v>0.04</v>
      </c>
      <c r="AA26" s="174">
        <v>0</v>
      </c>
      <c r="AB26" s="242">
        <f>+Z26/X26</f>
        <v>0.44444444444444448</v>
      </c>
      <c r="AC26" s="120" t="s">
        <v>199</v>
      </c>
      <c r="AD26" s="120" t="s">
        <v>200</v>
      </c>
      <c r="AE26" s="484">
        <v>1057445</v>
      </c>
      <c r="AF26" s="555">
        <v>275992</v>
      </c>
      <c r="AG26" s="623">
        <v>0.72</v>
      </c>
      <c r="AH26" s="124" t="s">
        <v>201</v>
      </c>
      <c r="AI26" s="124" t="s">
        <v>202</v>
      </c>
      <c r="AJ26" s="120" t="s">
        <v>203</v>
      </c>
      <c r="AK26" s="556">
        <v>17984416304</v>
      </c>
      <c r="AL26" s="140" t="s">
        <v>232</v>
      </c>
      <c r="AM26" s="484" t="s">
        <v>130</v>
      </c>
      <c r="AN26" s="140" t="s">
        <v>249</v>
      </c>
      <c r="AO26" s="189">
        <v>1171652768</v>
      </c>
      <c r="AP26" s="190">
        <v>468102074.00999999</v>
      </c>
      <c r="AQ26" s="190">
        <v>468102074.00999999</v>
      </c>
      <c r="AR26" s="189">
        <v>571955074.00999999</v>
      </c>
      <c r="AS26" s="191">
        <f>+AR26/AO26</f>
        <v>0.4881609036662985</v>
      </c>
      <c r="AT26" s="120" t="s">
        <v>59</v>
      </c>
      <c r="AU26" s="76"/>
      <c r="AV26" s="76"/>
      <c r="AW26" s="615" t="s">
        <v>250</v>
      </c>
    </row>
    <row r="27" spans="1:49" ht="30" x14ac:dyDescent="0.25">
      <c r="A27" s="486"/>
      <c r="B27" s="483"/>
      <c r="C27" s="486"/>
      <c r="D27" s="575"/>
      <c r="E27" s="577"/>
      <c r="F27" s="486"/>
      <c r="G27" s="626"/>
      <c r="H27" s="484"/>
      <c r="I27" s="627"/>
      <c r="J27" s="626"/>
      <c r="K27" s="642"/>
      <c r="L27" s="498"/>
      <c r="M27" s="552"/>
      <c r="N27" s="554"/>
      <c r="O27" s="593"/>
      <c r="P27" s="593"/>
      <c r="Q27" s="593"/>
      <c r="R27" s="582"/>
      <c r="S27" s="582"/>
      <c r="T27" s="625"/>
      <c r="U27" s="511"/>
      <c r="V27" s="507"/>
      <c r="W27" s="70"/>
      <c r="X27" s="188"/>
      <c r="Y27" s="174"/>
      <c r="Z27" s="174"/>
      <c r="AA27" s="174"/>
      <c r="AB27" s="242"/>
      <c r="AC27" s="136"/>
      <c r="AD27" s="136"/>
      <c r="AE27" s="484"/>
      <c r="AF27" s="555"/>
      <c r="AG27" s="623"/>
      <c r="AH27" s="133"/>
      <c r="AI27" s="133"/>
      <c r="AJ27" s="136"/>
      <c r="AK27" s="556"/>
      <c r="AL27" s="140" t="s">
        <v>128</v>
      </c>
      <c r="AM27" s="484"/>
      <c r="AN27" s="140" t="s">
        <v>281</v>
      </c>
      <c r="AO27" s="189">
        <v>600000000</v>
      </c>
      <c r="AP27" s="190"/>
      <c r="AQ27" s="190"/>
      <c r="AR27" s="307">
        <v>932158</v>
      </c>
      <c r="AS27" s="191"/>
      <c r="AT27" s="136"/>
      <c r="AU27" s="76"/>
      <c r="AV27" s="76"/>
      <c r="AW27" s="616"/>
    </row>
    <row r="28" spans="1:49" ht="30" x14ac:dyDescent="0.25">
      <c r="A28" s="486"/>
      <c r="B28" s="483"/>
      <c r="C28" s="486"/>
      <c r="D28" s="575"/>
      <c r="E28" s="577"/>
      <c r="F28" s="486"/>
      <c r="G28" s="626"/>
      <c r="H28" s="484"/>
      <c r="I28" s="627"/>
      <c r="J28" s="626"/>
      <c r="K28" s="642"/>
      <c r="L28" s="498"/>
      <c r="M28" s="552"/>
      <c r="N28" s="554"/>
      <c r="O28" s="593"/>
      <c r="P28" s="593"/>
      <c r="Q28" s="593"/>
      <c r="R28" s="582"/>
      <c r="S28" s="582"/>
      <c r="T28" s="625"/>
      <c r="U28" s="511"/>
      <c r="V28" s="507"/>
      <c r="W28" s="70"/>
      <c r="X28" s="188"/>
      <c r="Y28" s="174"/>
      <c r="Z28" s="174"/>
      <c r="AA28" s="174"/>
      <c r="AB28" s="242"/>
      <c r="AC28" s="136"/>
      <c r="AD28" s="136"/>
      <c r="AE28" s="484"/>
      <c r="AF28" s="555"/>
      <c r="AG28" s="623"/>
      <c r="AH28" s="133"/>
      <c r="AI28" s="133"/>
      <c r="AJ28" s="136"/>
      <c r="AK28" s="556"/>
      <c r="AL28" s="140" t="s">
        <v>282</v>
      </c>
      <c r="AM28" s="484"/>
      <c r="AN28" s="140" t="s">
        <v>283</v>
      </c>
      <c r="AO28" s="307">
        <v>14999983683</v>
      </c>
      <c r="AP28" s="190"/>
      <c r="AQ28" s="190"/>
      <c r="AR28" s="307">
        <v>9918779967</v>
      </c>
      <c r="AS28" s="191"/>
      <c r="AT28" s="136"/>
      <c r="AU28" s="76"/>
      <c r="AV28" s="76"/>
      <c r="AW28" s="616"/>
    </row>
    <row r="29" spans="1:49" ht="45" x14ac:dyDescent="0.25">
      <c r="A29" s="486"/>
      <c r="B29" s="483"/>
      <c r="C29" s="487"/>
      <c r="D29" s="575"/>
      <c r="E29" s="578"/>
      <c r="F29" s="487"/>
      <c r="G29" s="566"/>
      <c r="H29" s="484"/>
      <c r="I29" s="614"/>
      <c r="J29" s="566"/>
      <c r="K29" s="643"/>
      <c r="L29" s="495"/>
      <c r="M29" s="553"/>
      <c r="N29" s="554"/>
      <c r="O29" s="594"/>
      <c r="P29" s="594"/>
      <c r="Q29" s="594"/>
      <c r="R29" s="497"/>
      <c r="S29" s="497"/>
      <c r="T29" s="625"/>
      <c r="U29" s="511"/>
      <c r="V29" s="507"/>
      <c r="W29" s="70" t="s">
        <v>106</v>
      </c>
      <c r="X29" s="73">
        <v>10</v>
      </c>
      <c r="Y29" s="192">
        <v>10</v>
      </c>
      <c r="Z29" s="192">
        <v>10</v>
      </c>
      <c r="AA29" s="192">
        <v>10</v>
      </c>
      <c r="AB29" s="242">
        <f>+AA29/X29</f>
        <v>1</v>
      </c>
      <c r="AC29" s="120" t="s">
        <v>199</v>
      </c>
      <c r="AD29" s="120" t="s">
        <v>200</v>
      </c>
      <c r="AE29" s="484"/>
      <c r="AF29" s="555"/>
      <c r="AG29" s="624"/>
      <c r="AH29" s="124" t="s">
        <v>201</v>
      </c>
      <c r="AI29" s="124" t="s">
        <v>202</v>
      </c>
      <c r="AJ29" s="120" t="s">
        <v>203</v>
      </c>
      <c r="AK29" s="556"/>
      <c r="AL29" s="140" t="s">
        <v>284</v>
      </c>
      <c r="AM29" s="513"/>
      <c r="AN29" s="140" t="s">
        <v>285</v>
      </c>
      <c r="AO29" s="307">
        <v>106911</v>
      </c>
      <c r="AP29" s="189">
        <v>0</v>
      </c>
      <c r="AQ29" s="189"/>
      <c r="AR29" s="189">
        <v>0</v>
      </c>
      <c r="AS29" s="193">
        <f>+AR29/AO29</f>
        <v>0</v>
      </c>
      <c r="AT29" s="120" t="s">
        <v>59</v>
      </c>
      <c r="AU29" s="76" t="s">
        <v>218</v>
      </c>
      <c r="AV29" s="76"/>
      <c r="AW29" s="617"/>
    </row>
    <row r="30" spans="1:49" ht="15" x14ac:dyDescent="0.25">
      <c r="A30" s="486"/>
      <c r="B30" s="132"/>
      <c r="C30" s="134"/>
      <c r="D30" s="175"/>
      <c r="E30" s="194"/>
      <c r="F30" s="134"/>
      <c r="G30" s="290"/>
      <c r="H30" s="221"/>
      <c r="I30" s="291"/>
      <c r="J30" s="291"/>
      <c r="K30" s="292"/>
      <c r="L30" s="225"/>
      <c r="M30" s="293"/>
      <c r="N30" s="226"/>
      <c r="O30" s="294"/>
      <c r="P30" s="295"/>
      <c r="Q30" s="295"/>
      <c r="R30" s="135"/>
      <c r="S30" s="135"/>
      <c r="T30" s="252"/>
      <c r="U30" s="253"/>
      <c r="V30" s="254"/>
      <c r="W30" s="255"/>
      <c r="X30" s="256"/>
      <c r="Y30" s="296"/>
      <c r="Z30" s="296"/>
      <c r="AA30" s="296"/>
      <c r="AB30" s="300">
        <f>AVERAGE(AB26:AB29)</f>
        <v>0.72222222222222221</v>
      </c>
      <c r="AC30" s="241"/>
      <c r="AD30" s="241"/>
      <c r="AE30" s="238"/>
      <c r="AF30" s="239"/>
      <c r="AG30" s="258">
        <f>AVERAGE(AG26)</f>
        <v>0.72</v>
      </c>
      <c r="AH30" s="238"/>
      <c r="AI30" s="238"/>
      <c r="AJ30" s="241"/>
      <c r="AK30" s="259"/>
      <c r="AL30" s="246"/>
      <c r="AM30" s="241"/>
      <c r="AN30" s="246"/>
      <c r="AO30" s="297">
        <f>SUM(AO26:AO29)</f>
        <v>16771743362</v>
      </c>
      <c r="AP30" s="248"/>
      <c r="AQ30" s="248"/>
      <c r="AR30" s="248">
        <f>SUM(AR26:AR29)</f>
        <v>10491667199.01</v>
      </c>
      <c r="AS30" s="298">
        <f>+AR30/AO30</f>
        <v>0.62555614956410155</v>
      </c>
      <c r="AT30" s="241"/>
      <c r="AU30" s="251"/>
      <c r="AV30" s="251"/>
      <c r="AW30" s="299"/>
    </row>
    <row r="31" spans="1:49" x14ac:dyDescent="0.25">
      <c r="A31" s="486"/>
      <c r="B31" s="123"/>
      <c r="C31" s="126"/>
      <c r="D31" s="175"/>
      <c r="E31" s="194"/>
      <c r="F31" s="301"/>
      <c r="G31" s="618" t="s">
        <v>280</v>
      </c>
      <c r="H31" s="619"/>
      <c r="I31" s="619"/>
      <c r="J31" s="619"/>
      <c r="K31" s="619"/>
      <c r="L31" s="619"/>
      <c r="M31" s="619"/>
      <c r="N31" s="619"/>
      <c r="O31" s="619"/>
      <c r="P31" s="620"/>
      <c r="Q31" s="302"/>
      <c r="R31" s="303">
        <f>AVERAGE(R26:R30)</f>
        <v>0</v>
      </c>
      <c r="S31" s="303">
        <f>AVERAGE(S26:S30)</f>
        <v>0.54999999999999993</v>
      </c>
      <c r="T31" s="548"/>
      <c r="U31" s="549"/>
      <c r="V31" s="549"/>
      <c r="W31" s="549"/>
      <c r="X31" s="550"/>
      <c r="Y31" s="266"/>
      <c r="Z31" s="266"/>
      <c r="AA31" s="266"/>
      <c r="AB31" s="266"/>
      <c r="AC31" s="267"/>
      <c r="AD31" s="267"/>
      <c r="AE31" s="268"/>
      <c r="AF31" s="269"/>
      <c r="AG31" s="267"/>
      <c r="AH31" s="268"/>
      <c r="AI31" s="268"/>
      <c r="AJ31" s="267"/>
      <c r="AK31" s="271"/>
      <c r="AL31" s="268"/>
      <c r="AM31" s="267"/>
      <c r="AN31" s="268"/>
      <c r="AO31" s="278">
        <f>AVERAGE(AO30)</f>
        <v>16771743362</v>
      </c>
      <c r="AP31" s="268"/>
      <c r="AQ31" s="268"/>
      <c r="AR31" s="278">
        <f>AVERAGE(AR30)</f>
        <v>10491667199.01</v>
      </c>
      <c r="AS31" s="308">
        <f>AVERAGE(AS30)</f>
        <v>0.62555614956410155</v>
      </c>
      <c r="AT31" s="267"/>
      <c r="AU31" s="272"/>
      <c r="AV31" s="272"/>
      <c r="AW31" s="272"/>
    </row>
    <row r="32" spans="1:49" ht="18.75" customHeight="1" x14ac:dyDescent="0.25">
      <c r="A32" s="486"/>
      <c r="B32" s="539" t="s">
        <v>286</v>
      </c>
      <c r="C32" s="540"/>
      <c r="D32" s="540"/>
      <c r="E32" s="540"/>
      <c r="F32" s="540"/>
      <c r="G32" s="540"/>
      <c r="H32" s="540"/>
      <c r="I32" s="540"/>
      <c r="J32" s="540"/>
      <c r="K32" s="540"/>
      <c r="L32" s="540"/>
      <c r="M32" s="540"/>
      <c r="N32" s="540"/>
      <c r="O32" s="540"/>
      <c r="P32" s="540"/>
      <c r="Q32" s="540"/>
      <c r="R32" s="541"/>
      <c r="S32" s="315">
        <f>+(S31+S25+S20)/3</f>
        <v>0.72428470602156214</v>
      </c>
      <c r="T32" s="316"/>
      <c r="U32" s="317"/>
      <c r="V32" s="317"/>
      <c r="W32" s="317"/>
      <c r="X32" s="318"/>
      <c r="Y32" s="319"/>
      <c r="Z32" s="319"/>
      <c r="AA32" s="319"/>
      <c r="AB32" s="319"/>
      <c r="AC32" s="320"/>
      <c r="AD32" s="320"/>
      <c r="AE32" s="321"/>
      <c r="AF32" s="322"/>
      <c r="AG32" s="320"/>
      <c r="AH32" s="321"/>
      <c r="AI32" s="321"/>
      <c r="AJ32" s="320"/>
      <c r="AK32" s="323"/>
      <c r="AL32" s="321"/>
      <c r="AM32" s="320"/>
      <c r="AN32" s="321"/>
      <c r="AO32" s="324"/>
      <c r="AP32" s="321"/>
      <c r="AQ32" s="321"/>
      <c r="AR32" s="324"/>
      <c r="AS32" s="325"/>
      <c r="AT32" s="320"/>
      <c r="AU32" s="326"/>
      <c r="AV32" s="326"/>
      <c r="AW32" s="326"/>
    </row>
    <row r="33" spans="1:49" ht="72" x14ac:dyDescent="0.25">
      <c r="A33" s="486"/>
      <c r="B33" s="484" t="s">
        <v>71</v>
      </c>
      <c r="C33" s="621" t="s">
        <v>251</v>
      </c>
      <c r="D33" s="622">
        <v>0.6</v>
      </c>
      <c r="E33" s="483" t="s">
        <v>252</v>
      </c>
      <c r="F33" s="483" t="s">
        <v>76</v>
      </c>
      <c r="G33" s="128" t="s">
        <v>253</v>
      </c>
      <c r="H33" s="124" t="s">
        <v>224</v>
      </c>
      <c r="I33" s="177" t="s">
        <v>254</v>
      </c>
      <c r="J33" s="128" t="s">
        <v>84</v>
      </c>
      <c r="K33" s="111">
        <v>14.2</v>
      </c>
      <c r="L33" s="197">
        <v>14.2</v>
      </c>
      <c r="M33" s="113">
        <v>2.4</v>
      </c>
      <c r="N33" s="198">
        <v>0</v>
      </c>
      <c r="O33" s="198">
        <v>0</v>
      </c>
      <c r="P33" s="198">
        <v>0</v>
      </c>
      <c r="Q33" s="198">
        <v>0</v>
      </c>
      <c r="R33" s="68">
        <f>(+P33)/L33</f>
        <v>0</v>
      </c>
      <c r="S33" s="361">
        <f>+M33/L33</f>
        <v>0.16901408450704225</v>
      </c>
      <c r="T33" s="515" t="s">
        <v>107</v>
      </c>
      <c r="U33" s="516">
        <v>2021130010035</v>
      </c>
      <c r="V33" s="515" t="s">
        <v>108</v>
      </c>
      <c r="W33" s="515" t="s">
        <v>255</v>
      </c>
      <c r="X33" s="73">
        <v>14</v>
      </c>
      <c r="Y33" s="199">
        <v>0</v>
      </c>
      <c r="Z33" s="199">
        <v>0</v>
      </c>
      <c r="AA33" s="199">
        <v>0</v>
      </c>
      <c r="AB33" s="199">
        <v>0</v>
      </c>
      <c r="AC33" s="120" t="s">
        <v>199</v>
      </c>
      <c r="AD33" s="120" t="s">
        <v>200</v>
      </c>
      <c r="AE33" s="484">
        <v>286320</v>
      </c>
      <c r="AF33" s="555">
        <v>286321</v>
      </c>
      <c r="AG33" s="512">
        <v>0.33</v>
      </c>
      <c r="AH33" s="124" t="s">
        <v>201</v>
      </c>
      <c r="AI33" s="124" t="s">
        <v>202</v>
      </c>
      <c r="AJ33" s="120" t="s">
        <v>203</v>
      </c>
      <c r="AK33" s="556">
        <v>159500000</v>
      </c>
      <c r="AL33" s="140" t="s">
        <v>232</v>
      </c>
      <c r="AM33" s="484" t="s">
        <v>133</v>
      </c>
      <c r="AN33" s="140" t="s">
        <v>256</v>
      </c>
      <c r="AO33" s="200">
        <v>159500000</v>
      </c>
      <c r="AP33" s="201">
        <v>159500000</v>
      </c>
      <c r="AQ33" s="201">
        <v>105500000</v>
      </c>
      <c r="AR33" s="309">
        <v>149700000</v>
      </c>
      <c r="AS33" s="202">
        <f>+AR33/(AO33+AO34)</f>
        <v>0.93855799373040749</v>
      </c>
      <c r="AT33" s="120" t="s">
        <v>59</v>
      </c>
      <c r="AU33" s="76"/>
      <c r="AV33" s="76"/>
      <c r="AW33" s="108" t="s">
        <v>257</v>
      </c>
    </row>
    <row r="34" spans="1:49" ht="36" x14ac:dyDescent="0.25">
      <c r="A34" s="486"/>
      <c r="B34" s="484"/>
      <c r="C34" s="621"/>
      <c r="D34" s="622"/>
      <c r="E34" s="483"/>
      <c r="F34" s="483"/>
      <c r="G34" s="203" t="s">
        <v>258</v>
      </c>
      <c r="H34" s="124" t="s">
        <v>259</v>
      </c>
      <c r="I34" s="204">
        <v>0</v>
      </c>
      <c r="J34" s="203" t="s">
        <v>85</v>
      </c>
      <c r="K34" s="205">
        <v>3.5</v>
      </c>
      <c r="L34" s="113">
        <v>3.5</v>
      </c>
      <c r="M34" s="113">
        <v>3.5</v>
      </c>
      <c r="N34" s="167">
        <v>0</v>
      </c>
      <c r="O34" s="167">
        <v>0</v>
      </c>
      <c r="P34" s="179">
        <v>3.5</v>
      </c>
      <c r="Q34" s="178">
        <v>6.62</v>
      </c>
      <c r="R34" s="68">
        <v>1</v>
      </c>
      <c r="S34" s="68">
        <f>+M34/K34</f>
        <v>1</v>
      </c>
      <c r="T34" s="515"/>
      <c r="U34" s="516"/>
      <c r="V34" s="515"/>
      <c r="W34" s="515"/>
      <c r="X34" s="73">
        <v>3.5</v>
      </c>
      <c r="Y34" s="206">
        <v>3.5</v>
      </c>
      <c r="Z34" s="206">
        <v>3.5</v>
      </c>
      <c r="AA34" s="206">
        <v>3.5</v>
      </c>
      <c r="AB34" s="242">
        <f>+AA34/X34</f>
        <v>1</v>
      </c>
      <c r="AC34" s="120" t="s">
        <v>199</v>
      </c>
      <c r="AD34" s="120" t="s">
        <v>200</v>
      </c>
      <c r="AE34" s="484"/>
      <c r="AF34" s="555"/>
      <c r="AG34" s="513"/>
      <c r="AH34" s="124" t="s">
        <v>201</v>
      </c>
      <c r="AI34" s="124" t="s">
        <v>202</v>
      </c>
      <c r="AJ34" s="120" t="s">
        <v>203</v>
      </c>
      <c r="AK34" s="556"/>
      <c r="AL34" s="140" t="s">
        <v>275</v>
      </c>
      <c r="AM34" s="513"/>
      <c r="AN34" s="140" t="s">
        <v>260</v>
      </c>
      <c r="AO34" s="207">
        <v>0</v>
      </c>
      <c r="AP34" s="208">
        <v>0</v>
      </c>
      <c r="AQ34" s="208">
        <v>0</v>
      </c>
      <c r="AR34" s="208">
        <v>0</v>
      </c>
      <c r="AS34" s="157">
        <v>0</v>
      </c>
      <c r="AT34" s="120" t="s">
        <v>59</v>
      </c>
      <c r="AU34" s="76"/>
      <c r="AV34" s="76"/>
      <c r="AW34" s="76"/>
    </row>
    <row r="35" spans="1:49" ht="30" x14ac:dyDescent="0.25">
      <c r="A35" s="486"/>
      <c r="B35" s="484"/>
      <c r="C35" s="621"/>
      <c r="D35" s="622"/>
      <c r="E35" s="483"/>
      <c r="F35" s="483"/>
      <c r="G35" s="128" t="s">
        <v>261</v>
      </c>
      <c r="H35" s="124" t="s">
        <v>259</v>
      </c>
      <c r="I35" s="171">
        <v>0</v>
      </c>
      <c r="J35" s="128" t="s">
        <v>86</v>
      </c>
      <c r="K35" s="111">
        <v>7</v>
      </c>
      <c r="L35" s="113">
        <v>1</v>
      </c>
      <c r="M35" s="113">
        <v>0</v>
      </c>
      <c r="N35" s="167">
        <v>0</v>
      </c>
      <c r="O35" s="167">
        <v>0</v>
      </c>
      <c r="P35" s="167">
        <v>0</v>
      </c>
      <c r="Q35" s="167">
        <v>0</v>
      </c>
      <c r="R35" s="68">
        <f>+N35/L35</f>
        <v>0</v>
      </c>
      <c r="S35" s="68">
        <f>+M35/K35</f>
        <v>0</v>
      </c>
      <c r="T35" s="515"/>
      <c r="U35" s="516"/>
      <c r="V35" s="515"/>
      <c r="W35" s="515"/>
      <c r="X35" s="73">
        <v>7</v>
      </c>
      <c r="Y35" s="192">
        <v>0</v>
      </c>
      <c r="Z35" s="192">
        <v>0</v>
      </c>
      <c r="AA35" s="192">
        <v>0</v>
      </c>
      <c r="AB35" s="192">
        <v>0</v>
      </c>
      <c r="AC35" s="120" t="s">
        <v>199</v>
      </c>
      <c r="AD35" s="120" t="s">
        <v>200</v>
      </c>
      <c r="AE35" s="484"/>
      <c r="AF35" s="555"/>
      <c r="AG35" s="513"/>
      <c r="AH35" s="124" t="s">
        <v>201</v>
      </c>
      <c r="AI35" s="124" t="s">
        <v>202</v>
      </c>
      <c r="AJ35" s="120" t="s">
        <v>203</v>
      </c>
      <c r="AK35" s="556"/>
      <c r="AL35" s="140"/>
      <c r="AM35" s="513"/>
      <c r="AN35" s="140"/>
      <c r="AO35" s="124"/>
      <c r="AP35" s="124"/>
      <c r="AQ35" s="124"/>
      <c r="AR35" s="124"/>
      <c r="AS35" s="124"/>
      <c r="AT35" s="120" t="s">
        <v>59</v>
      </c>
      <c r="AU35" s="76"/>
      <c r="AV35" s="76"/>
      <c r="AW35" s="76"/>
    </row>
    <row r="36" spans="1:49" ht="15" x14ac:dyDescent="0.25">
      <c r="A36" s="486"/>
      <c r="B36" s="133"/>
      <c r="C36" s="196"/>
      <c r="D36" s="209"/>
      <c r="E36" s="132"/>
      <c r="F36" s="132"/>
      <c r="G36" s="220"/>
      <c r="H36" s="221"/>
      <c r="I36" s="222"/>
      <c r="J36" s="223"/>
      <c r="K36" s="222"/>
      <c r="L36" s="225"/>
      <c r="M36" s="225"/>
      <c r="N36" s="226"/>
      <c r="O36" s="226"/>
      <c r="P36" s="227"/>
      <c r="Q36" s="227"/>
      <c r="R36" s="68">
        <f>AVERAGE(R33:R35)</f>
        <v>0.33333333333333331</v>
      </c>
      <c r="S36" s="68"/>
      <c r="T36" s="304"/>
      <c r="U36" s="305"/>
      <c r="V36" s="306"/>
      <c r="W36" s="306"/>
      <c r="X36" s="256"/>
      <c r="Y36" s="296"/>
      <c r="Z36" s="296"/>
      <c r="AA36" s="296"/>
      <c r="AB36" s="296">
        <v>0.33</v>
      </c>
      <c r="AC36" s="241"/>
      <c r="AD36" s="241"/>
      <c r="AE36" s="238"/>
      <c r="AF36" s="239"/>
      <c r="AG36" s="258">
        <f>AVERAGE(AG33)</f>
        <v>0.33</v>
      </c>
      <c r="AH36" s="238"/>
      <c r="AI36" s="238"/>
      <c r="AJ36" s="241"/>
      <c r="AK36" s="259"/>
      <c r="AL36" s="246"/>
      <c r="AM36" s="241"/>
      <c r="AN36" s="246"/>
      <c r="AO36" s="289">
        <f>SUM(AO33:AO35)</f>
        <v>159500000</v>
      </c>
      <c r="AP36" s="238"/>
      <c r="AQ36" s="238"/>
      <c r="AR36" s="289">
        <f>SUM(AR33:AR35)</f>
        <v>149700000</v>
      </c>
      <c r="AS36" s="310">
        <f>SUM(AS33:AS35)</f>
        <v>0.93855799373040749</v>
      </c>
      <c r="AT36" s="241"/>
      <c r="AU36" s="251"/>
      <c r="AV36" s="251"/>
      <c r="AW36" s="251"/>
    </row>
    <row r="37" spans="1:49" ht="21" x14ac:dyDescent="0.25">
      <c r="A37" s="486"/>
      <c r="B37" s="124"/>
      <c r="C37" s="142"/>
      <c r="D37" s="209"/>
      <c r="E37" s="123"/>
      <c r="F37" s="311"/>
      <c r="G37" s="545"/>
      <c r="H37" s="546"/>
      <c r="I37" s="546"/>
      <c r="J37" s="546"/>
      <c r="K37" s="546"/>
      <c r="L37" s="546"/>
      <c r="M37" s="546"/>
      <c r="N37" s="546"/>
      <c r="O37" s="546"/>
      <c r="P37" s="547"/>
      <c r="Q37" s="228"/>
      <c r="R37" s="312">
        <v>0.33</v>
      </c>
      <c r="S37" s="312">
        <f>+(S33+S34+S35)/3</f>
        <v>0.38967136150234744</v>
      </c>
      <c r="T37" s="548"/>
      <c r="U37" s="549"/>
      <c r="V37" s="549"/>
      <c r="W37" s="549"/>
      <c r="X37" s="550"/>
      <c r="Y37" s="266"/>
      <c r="Z37" s="266"/>
      <c r="AA37" s="266"/>
      <c r="AB37" s="266"/>
      <c r="AC37" s="267"/>
      <c r="AD37" s="267"/>
      <c r="AE37" s="268"/>
      <c r="AF37" s="269"/>
      <c r="AG37" s="267"/>
      <c r="AH37" s="268"/>
      <c r="AI37" s="268"/>
      <c r="AJ37" s="267"/>
      <c r="AK37" s="271"/>
      <c r="AL37" s="268"/>
      <c r="AM37" s="267"/>
      <c r="AN37" s="268"/>
      <c r="AO37" s="268"/>
      <c r="AP37" s="268"/>
      <c r="AQ37" s="268"/>
      <c r="AR37" s="268"/>
      <c r="AS37" s="268"/>
      <c r="AT37" s="267"/>
      <c r="AU37" s="272"/>
      <c r="AV37" s="272"/>
      <c r="AW37" s="272"/>
    </row>
    <row r="38" spans="1:49" ht="21" customHeight="1" x14ac:dyDescent="0.25">
      <c r="A38" s="486"/>
      <c r="B38" s="542" t="s">
        <v>287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4"/>
      <c r="S38" s="312"/>
      <c r="T38" s="313"/>
      <c r="U38" s="282"/>
      <c r="V38" s="282"/>
      <c r="W38" s="282"/>
      <c r="X38" s="314"/>
      <c r="Y38" s="266"/>
      <c r="Z38" s="266"/>
      <c r="AA38" s="266"/>
      <c r="AB38" s="266">
        <f>AVERAGE(AB33:AB36)</f>
        <v>0.33250000000000002</v>
      </c>
      <c r="AC38" s="267"/>
      <c r="AD38" s="267"/>
      <c r="AE38" s="268"/>
      <c r="AF38" s="269"/>
      <c r="AG38" s="267"/>
      <c r="AH38" s="268"/>
      <c r="AI38" s="268"/>
      <c r="AJ38" s="267"/>
      <c r="AK38" s="271"/>
      <c r="AL38" s="268"/>
      <c r="AM38" s="267"/>
      <c r="AN38" s="268"/>
      <c r="AO38" s="268"/>
      <c r="AP38" s="268"/>
      <c r="AQ38" s="268"/>
      <c r="AR38" s="268"/>
      <c r="AS38" s="268"/>
      <c r="AT38" s="267"/>
      <c r="AU38" s="272"/>
      <c r="AV38" s="272"/>
      <c r="AW38" s="272"/>
    </row>
    <row r="39" spans="1:49" ht="240" x14ac:dyDescent="0.25">
      <c r="A39" s="487"/>
      <c r="B39" s="124" t="s">
        <v>72</v>
      </c>
      <c r="C39" s="124" t="s">
        <v>262</v>
      </c>
      <c r="D39" s="119" t="s">
        <v>263</v>
      </c>
      <c r="E39" s="124" t="s">
        <v>264</v>
      </c>
      <c r="F39" s="123" t="s">
        <v>77</v>
      </c>
      <c r="G39" s="128" t="s">
        <v>265</v>
      </c>
      <c r="H39" s="124" t="s">
        <v>224</v>
      </c>
      <c r="I39" s="171">
        <v>0</v>
      </c>
      <c r="J39" s="128" t="s">
        <v>87</v>
      </c>
      <c r="K39" s="111">
        <v>26</v>
      </c>
      <c r="L39" s="113">
        <v>11</v>
      </c>
      <c r="M39" s="113">
        <v>4</v>
      </c>
      <c r="N39" s="167">
        <v>0</v>
      </c>
      <c r="O39" s="167">
        <v>2</v>
      </c>
      <c r="P39" s="167">
        <v>4</v>
      </c>
      <c r="Q39" s="167">
        <v>0</v>
      </c>
      <c r="R39" s="68">
        <f>(O39+P39)/L39</f>
        <v>0.54545454545454541</v>
      </c>
      <c r="S39" s="210">
        <f>(M39+O39+P39)/K39</f>
        <v>0.38461538461538464</v>
      </c>
      <c r="T39" s="114" t="s">
        <v>109</v>
      </c>
      <c r="U39" s="115">
        <v>2021130010121</v>
      </c>
      <c r="V39" s="114" t="s">
        <v>110</v>
      </c>
      <c r="W39" s="114" t="s">
        <v>266</v>
      </c>
      <c r="X39" s="73">
        <v>11</v>
      </c>
      <c r="Y39" s="159">
        <v>2</v>
      </c>
      <c r="Z39" s="159">
        <v>4</v>
      </c>
      <c r="AA39" s="159">
        <v>0</v>
      </c>
      <c r="AB39" s="242">
        <f>+(Z39+Y39)/X39</f>
        <v>0.54545454545454541</v>
      </c>
      <c r="AC39" s="120" t="s">
        <v>199</v>
      </c>
      <c r="AD39" s="120" t="s">
        <v>200</v>
      </c>
      <c r="AE39" s="124">
        <v>3559</v>
      </c>
      <c r="AF39" s="169">
        <v>3559</v>
      </c>
      <c r="AG39" s="119">
        <v>0.55000000000000004</v>
      </c>
      <c r="AH39" s="124" t="s">
        <v>201</v>
      </c>
      <c r="AI39" s="124" t="s">
        <v>202</v>
      </c>
      <c r="AJ39" s="120" t="s">
        <v>203</v>
      </c>
      <c r="AK39" s="176">
        <v>150000000</v>
      </c>
      <c r="AL39" s="120" t="s">
        <v>116</v>
      </c>
      <c r="AM39" s="124" t="s">
        <v>115</v>
      </c>
      <c r="AN39" s="124" t="s">
        <v>267</v>
      </c>
      <c r="AO39" s="207">
        <v>150000000</v>
      </c>
      <c r="AP39" s="207">
        <v>44000000</v>
      </c>
      <c r="AQ39" s="207">
        <v>32000000</v>
      </c>
      <c r="AR39" s="335">
        <v>118028434.22</v>
      </c>
      <c r="AS39" s="157">
        <f>+AR39/AO39</f>
        <v>0.78685622813333334</v>
      </c>
      <c r="AT39" s="120" t="s">
        <v>59</v>
      </c>
      <c r="AU39" s="76"/>
      <c r="AV39" s="76"/>
      <c r="AW39" s="140" t="s">
        <v>268</v>
      </c>
    </row>
    <row r="40" spans="1:49" ht="15.75" x14ac:dyDescent="0.25">
      <c r="G40" s="628"/>
      <c r="H40" s="629"/>
      <c r="I40" s="629"/>
      <c r="J40" s="629"/>
      <c r="K40" s="629"/>
      <c r="L40" s="629"/>
      <c r="M40" s="629"/>
      <c r="N40" s="629"/>
      <c r="O40" s="629"/>
      <c r="P40" s="630"/>
      <c r="Q40" s="211"/>
      <c r="R40" s="195">
        <v>0.55000000000000004</v>
      </c>
      <c r="S40" s="195">
        <v>0.38500000000000001</v>
      </c>
      <c r="T40" s="631"/>
      <c r="U40" s="631"/>
      <c r="V40" s="631"/>
      <c r="W40" s="631"/>
      <c r="X40" s="631"/>
      <c r="Y40" s="288"/>
      <c r="Z40" s="288"/>
      <c r="AA40" s="327"/>
      <c r="AB40" s="327">
        <v>0.55000000000000004</v>
      </c>
      <c r="AC40" s="328"/>
      <c r="AD40" s="328"/>
      <c r="AE40" s="329"/>
      <c r="AF40" s="330"/>
      <c r="AG40" s="331"/>
      <c r="AH40" s="332"/>
      <c r="AI40" s="328"/>
      <c r="AJ40" s="328"/>
      <c r="AK40" s="328"/>
      <c r="AL40" s="328"/>
      <c r="AM40" s="328"/>
      <c r="AN40" s="333"/>
      <c r="AO40" s="297">
        <v>150000000</v>
      </c>
      <c r="AP40" s="334"/>
      <c r="AQ40" s="334"/>
      <c r="AR40" s="352">
        <v>118028434.22</v>
      </c>
      <c r="AS40" s="353">
        <v>0.79</v>
      </c>
      <c r="AT40" s="328"/>
      <c r="AU40" s="328"/>
      <c r="AV40" s="328"/>
      <c r="AW40" s="328"/>
    </row>
    <row r="41" spans="1:49" x14ac:dyDescent="0.25">
      <c r="G41" s="336"/>
      <c r="H41" s="336"/>
      <c r="I41" s="336"/>
      <c r="J41" s="337"/>
      <c r="K41" s="338"/>
      <c r="L41" s="632"/>
      <c r="M41" s="633"/>
      <c r="N41" s="634"/>
      <c r="O41" s="339"/>
      <c r="P41" s="339"/>
      <c r="Q41" s="339"/>
      <c r="R41" s="340">
        <v>0.55000000000000004</v>
      </c>
      <c r="S41" s="340">
        <v>0.39</v>
      </c>
      <c r="T41" s="341"/>
      <c r="U41" s="342"/>
      <c r="V41" s="343"/>
      <c r="W41" s="344"/>
      <c r="X41" s="345"/>
      <c r="Y41" s="345"/>
      <c r="Z41" s="346"/>
      <c r="AA41" s="347"/>
      <c r="AB41" s="347">
        <f>AVERAGE(AB33:AB36)</f>
        <v>0.33250000000000002</v>
      </c>
      <c r="AC41" s="348"/>
      <c r="AD41" s="348"/>
      <c r="AE41" s="349"/>
      <c r="AF41" s="350"/>
      <c r="AG41" s="348"/>
      <c r="AH41" s="351"/>
      <c r="AI41" s="348"/>
      <c r="AJ41" s="348"/>
      <c r="AK41" s="348"/>
      <c r="AL41" s="348"/>
      <c r="AM41" s="348"/>
      <c r="AN41" s="348"/>
      <c r="AO41" s="355">
        <f>SUM(AO40)</f>
        <v>150000000</v>
      </c>
      <c r="AP41" s="348"/>
      <c r="AQ41" s="348"/>
      <c r="AR41" s="355">
        <f>SUM(AR40)</f>
        <v>118028434.22</v>
      </c>
      <c r="AS41" s="354">
        <v>0.79</v>
      </c>
      <c r="AT41" s="348"/>
      <c r="AU41" s="348"/>
      <c r="AV41" s="348"/>
      <c r="AW41" s="348"/>
    </row>
    <row r="43" spans="1:49" x14ac:dyDescent="0.25">
      <c r="Q43" s="533" t="s">
        <v>288</v>
      </c>
      <c r="R43" s="533"/>
      <c r="S43" s="533"/>
      <c r="T43" s="533"/>
      <c r="U43" s="534">
        <v>56997881370.459991</v>
      </c>
      <c r="V43" s="534"/>
      <c r="W43" s="358"/>
      <c r="AB43" s="219">
        <f>+(AB40+AB38+AB30+AB24+AB19+AB15)/6</f>
        <v>0.75078703703703698</v>
      </c>
    </row>
    <row r="44" spans="1:49" x14ac:dyDescent="0.25">
      <c r="Q44" s="533" t="s">
        <v>289</v>
      </c>
      <c r="R44" s="533"/>
      <c r="S44" s="533"/>
      <c r="T44" s="533"/>
      <c r="U44" s="534">
        <v>27291119425.27</v>
      </c>
      <c r="V44" s="534"/>
      <c r="W44" s="358"/>
    </row>
    <row r="45" spans="1:49" x14ac:dyDescent="0.25">
      <c r="Q45" s="533" t="s">
        <v>290</v>
      </c>
      <c r="R45" s="533"/>
      <c r="S45" s="533"/>
      <c r="T45" s="533"/>
      <c r="U45" s="535">
        <v>0.4788093657006352</v>
      </c>
      <c r="V45" s="535"/>
      <c r="W45" s="359">
        <v>0.48</v>
      </c>
      <c r="AB45" s="357">
        <f>+(AB40+AB38+AB30+AB24+AB19+AB15)/6</f>
        <v>0.75078703703703698</v>
      </c>
    </row>
    <row r="46" spans="1:49" x14ac:dyDescent="0.25">
      <c r="Q46" s="533" t="s">
        <v>294</v>
      </c>
      <c r="R46" s="533"/>
      <c r="S46" s="533"/>
      <c r="T46" s="533"/>
      <c r="U46" s="536">
        <f>+(R41+R37+R31+R25+R20)/5</f>
        <v>0.51277632267450768</v>
      </c>
      <c r="V46" s="536"/>
      <c r="W46" s="359">
        <v>0.75</v>
      </c>
    </row>
    <row r="47" spans="1:49" x14ac:dyDescent="0.25">
      <c r="Q47" s="533" t="s">
        <v>291</v>
      </c>
      <c r="R47" s="533"/>
      <c r="S47" s="533"/>
      <c r="T47" s="533"/>
      <c r="U47" s="535">
        <f>+U46+U45/2</f>
        <v>0.75218100552482525</v>
      </c>
      <c r="V47" s="535"/>
      <c r="W47" s="360">
        <f>+(W46+W45)/2</f>
        <v>0.61499999999999999</v>
      </c>
    </row>
    <row r="48" spans="1:49" x14ac:dyDescent="0.25">
      <c r="Q48" s="530" t="s">
        <v>293</v>
      </c>
      <c r="R48" s="531"/>
      <c r="S48" s="531"/>
      <c r="T48" s="532"/>
      <c r="U48" s="529" t="s">
        <v>292</v>
      </c>
      <c r="V48" s="529"/>
      <c r="W48" s="358" t="s">
        <v>171</v>
      </c>
    </row>
  </sheetData>
  <mergeCells count="158">
    <mergeCell ref="AK33:AK35"/>
    <mergeCell ref="AM33:AM35"/>
    <mergeCell ref="G40:P40"/>
    <mergeCell ref="T40:X40"/>
    <mergeCell ref="L41:N41"/>
    <mergeCell ref="AB3:AB4"/>
    <mergeCell ref="AB6:AB8"/>
    <mergeCell ref="T3:T14"/>
    <mergeCell ref="U3:U14"/>
    <mergeCell ref="U33:U35"/>
    <mergeCell ref="V33:V35"/>
    <mergeCell ref="W33:W35"/>
    <mergeCell ref="AE33:AE35"/>
    <mergeCell ref="AF33:AF35"/>
    <mergeCell ref="AG33:AG35"/>
    <mergeCell ref="AM26:AM29"/>
    <mergeCell ref="J26:J29"/>
    <mergeCell ref="K26:K29"/>
    <mergeCell ref="L26:L29"/>
    <mergeCell ref="K22:K23"/>
    <mergeCell ref="L22:L23"/>
    <mergeCell ref="M22:M23"/>
    <mergeCell ref="N22:N23"/>
    <mergeCell ref="O22:O23"/>
    <mergeCell ref="AW26:AW29"/>
    <mergeCell ref="G31:P31"/>
    <mergeCell ref="T31:X31"/>
    <mergeCell ref="B33:B35"/>
    <mergeCell ref="C33:C35"/>
    <mergeCell ref="D33:D35"/>
    <mergeCell ref="E33:E35"/>
    <mergeCell ref="F33:F35"/>
    <mergeCell ref="T33:T35"/>
    <mergeCell ref="U26:U29"/>
    <mergeCell ref="V26:V29"/>
    <mergeCell ref="AE26:AE29"/>
    <mergeCell ref="AF26:AF29"/>
    <mergeCell ref="AG26:AG29"/>
    <mergeCell ref="AK26:AK29"/>
    <mergeCell ref="O26:O29"/>
    <mergeCell ref="P26:P29"/>
    <mergeCell ref="Q26:Q29"/>
    <mergeCell ref="R26:R29"/>
    <mergeCell ref="S26:S29"/>
    <mergeCell ref="T26:T29"/>
    <mergeCell ref="G26:G29"/>
    <mergeCell ref="H26:H29"/>
    <mergeCell ref="I26:I29"/>
    <mergeCell ref="T20:X20"/>
    <mergeCell ref="C21:C23"/>
    <mergeCell ref="D21:D23"/>
    <mergeCell ref="E21:E23"/>
    <mergeCell ref="F21:F23"/>
    <mergeCell ref="T21:T23"/>
    <mergeCell ref="U21:U23"/>
    <mergeCell ref="V21:V23"/>
    <mergeCell ref="H22:H23"/>
    <mergeCell ref="I22:I23"/>
    <mergeCell ref="J22:J23"/>
    <mergeCell ref="AK3:AK18"/>
    <mergeCell ref="AM3:AM18"/>
    <mergeCell ref="AA6:AA8"/>
    <mergeCell ref="AC6:AC8"/>
    <mergeCell ref="AD6:AD8"/>
    <mergeCell ref="AA3:AA4"/>
    <mergeCell ref="AC3:AC4"/>
    <mergeCell ref="AD3:AD4"/>
    <mergeCell ref="AJ11:AJ14"/>
    <mergeCell ref="AD9:AD14"/>
    <mergeCell ref="AE3:AE14"/>
    <mergeCell ref="AF3:AF14"/>
    <mergeCell ref="AG3:AG14"/>
    <mergeCell ref="AH11:AH14"/>
    <mergeCell ref="AI11:AI14"/>
    <mergeCell ref="AA9:AA14"/>
    <mergeCell ref="AB9:AB14"/>
    <mergeCell ref="AC9:AC14"/>
    <mergeCell ref="W9:W14"/>
    <mergeCell ref="M6:M11"/>
    <mergeCell ref="N6:N11"/>
    <mergeCell ref="O6:O10"/>
    <mergeCell ref="P6:P11"/>
    <mergeCell ref="W3:W4"/>
    <mergeCell ref="X3:X4"/>
    <mergeCell ref="Y3:Y4"/>
    <mergeCell ref="Z3:Z4"/>
    <mergeCell ref="Q6:Q11"/>
    <mergeCell ref="R6:R11"/>
    <mergeCell ref="S6:S11"/>
    <mergeCell ref="W6:W8"/>
    <mergeCell ref="X6:X8"/>
    <mergeCell ref="Y6:Y8"/>
    <mergeCell ref="V3:V14"/>
    <mergeCell ref="X9:X14"/>
    <mergeCell ref="Y9:Y14"/>
    <mergeCell ref="Z9:Z14"/>
    <mergeCell ref="R3:R5"/>
    <mergeCell ref="S3:S5"/>
    <mergeCell ref="Z6:Z8"/>
    <mergeCell ref="G3:G5"/>
    <mergeCell ref="H3:H5"/>
    <mergeCell ref="I3:I5"/>
    <mergeCell ref="J3:J5"/>
    <mergeCell ref="K3:K5"/>
    <mergeCell ref="L3:L5"/>
    <mergeCell ref="P3:P5"/>
    <mergeCell ref="Q3:Q5"/>
    <mergeCell ref="M3:M5"/>
    <mergeCell ref="N3:N5"/>
    <mergeCell ref="A3:A39"/>
    <mergeCell ref="B3:B29"/>
    <mergeCell ref="C3:C18"/>
    <mergeCell ref="D3:D18"/>
    <mergeCell ref="E3:E18"/>
    <mergeCell ref="F3:F18"/>
    <mergeCell ref="C26:C29"/>
    <mergeCell ref="D26:D29"/>
    <mergeCell ref="E26:E29"/>
    <mergeCell ref="F26:F29"/>
    <mergeCell ref="K6:K11"/>
    <mergeCell ref="L6:L11"/>
    <mergeCell ref="P22:P23"/>
    <mergeCell ref="G20:P20"/>
    <mergeCell ref="A1:AW1"/>
    <mergeCell ref="B32:R32"/>
    <mergeCell ref="B38:R38"/>
    <mergeCell ref="Q43:T43"/>
    <mergeCell ref="G37:P37"/>
    <mergeCell ref="T37:X37"/>
    <mergeCell ref="M26:M29"/>
    <mergeCell ref="N26:N29"/>
    <mergeCell ref="AF21:AF23"/>
    <mergeCell ref="AG21:AG23"/>
    <mergeCell ref="AK21:AK23"/>
    <mergeCell ref="AM21:AM23"/>
    <mergeCell ref="AE21:AE23"/>
    <mergeCell ref="S22:S23"/>
    <mergeCell ref="T24:X24"/>
    <mergeCell ref="Q22:Q23"/>
    <mergeCell ref="R22:R23"/>
    <mergeCell ref="G24:P24"/>
    <mergeCell ref="G22:G23"/>
    <mergeCell ref="G6:G11"/>
    <mergeCell ref="H6:H11"/>
    <mergeCell ref="I6:I11"/>
    <mergeCell ref="J6:J11"/>
    <mergeCell ref="O3:O5"/>
    <mergeCell ref="U48:V48"/>
    <mergeCell ref="Q48:T48"/>
    <mergeCell ref="Q44:T44"/>
    <mergeCell ref="Q45:T45"/>
    <mergeCell ref="Q46:T46"/>
    <mergeCell ref="Q47:T47"/>
    <mergeCell ref="U43:V43"/>
    <mergeCell ref="U44:V44"/>
    <mergeCell ref="U45:V45"/>
    <mergeCell ref="U46:V46"/>
    <mergeCell ref="U47:V4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SEGUIMIENTO PA INFRAESTRUCTURA</vt:lpstr>
      <vt:lpstr>SEGUIMIENTO PLAN DE ACCION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ligia puello romero</dc:creator>
  <cp:lastModifiedBy>Maria Mernarda Perez Carmona</cp:lastModifiedBy>
  <dcterms:created xsi:type="dcterms:W3CDTF">2022-09-16T20:55:16Z</dcterms:created>
  <dcterms:modified xsi:type="dcterms:W3CDTF">2023-01-31T16:22:47Z</dcterms:modified>
</cp:coreProperties>
</file>