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bperez\Desktop\SEGUIMIENTOS PLANES DE ACCION A DIC.31 DE 2022\"/>
    </mc:Choice>
  </mc:AlternateContent>
  <bookViews>
    <workbookView xWindow="0" yWindow="0" windowWidth="20490" windowHeight="7155"/>
  </bookViews>
  <sheets>
    <sheet name="SEG. P. A. HACIENDA DIC 2022" sheetId="1" r:id="rId1"/>
    <sheet name="MATRIZ CONTROL INTERNO- HACIEND" sheetId="3"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73" i="3" l="1"/>
  <c r="AV72" i="3"/>
  <c r="AS72" i="3"/>
  <c r="AP72" i="3"/>
  <c r="AM72" i="3"/>
  <c r="I72" i="3"/>
  <c r="H72" i="3"/>
  <c r="AM71" i="3"/>
  <c r="AV70" i="3"/>
  <c r="AS70" i="3"/>
  <c r="AP70" i="3"/>
  <c r="AO70" i="3"/>
  <c r="AM70" i="3"/>
  <c r="I70" i="3"/>
  <c r="H70" i="3"/>
  <c r="AV69" i="3"/>
  <c r="AS69" i="3"/>
  <c r="AP69" i="3"/>
  <c r="AM69" i="3"/>
  <c r="I69" i="3"/>
  <c r="H69" i="3"/>
  <c r="AO68" i="3"/>
  <c r="AM68" i="3"/>
  <c r="I68" i="3"/>
  <c r="H68" i="3"/>
  <c r="AO67" i="3"/>
  <c r="I66" i="3"/>
  <c r="H66" i="3"/>
  <c r="I65" i="3"/>
  <c r="H65" i="3"/>
  <c r="I63" i="3"/>
  <c r="H63" i="3"/>
  <c r="AS61" i="3"/>
  <c r="I61" i="3"/>
  <c r="H61" i="3"/>
  <c r="AM59" i="3"/>
  <c r="AM58" i="3"/>
  <c r="AM57" i="3"/>
  <c r="AV56" i="3"/>
  <c r="AS56" i="3"/>
  <c r="AP56" i="3"/>
  <c r="AM56" i="3"/>
  <c r="AM55" i="3"/>
  <c r="AM52" i="3"/>
  <c r="AM51" i="3"/>
  <c r="AM50" i="3"/>
  <c r="AM49" i="3"/>
  <c r="I49" i="3"/>
  <c r="H49" i="3"/>
  <c r="AO48" i="3"/>
  <c r="AM48" i="3"/>
  <c r="I48" i="3"/>
  <c r="H48" i="3"/>
  <c r="AV47" i="3"/>
  <c r="AS47" i="3"/>
  <c r="AP47" i="3"/>
  <c r="AO47" i="3"/>
  <c r="AM47" i="3"/>
  <c r="I47" i="3"/>
  <c r="H47" i="3"/>
  <c r="AO46" i="3"/>
  <c r="I46" i="3"/>
  <c r="H46" i="3"/>
  <c r="AM44" i="3"/>
  <c r="AM43" i="3"/>
  <c r="AM42" i="3"/>
  <c r="I42" i="3"/>
  <c r="H42" i="3"/>
  <c r="AV41" i="3"/>
  <c r="AS41" i="3"/>
  <c r="AP41" i="3"/>
  <c r="I41" i="3"/>
  <c r="H41" i="3"/>
  <c r="AM37" i="3"/>
  <c r="I37" i="3"/>
  <c r="H37" i="3"/>
  <c r="AM35" i="3"/>
  <c r="AM34" i="3"/>
  <c r="AV33" i="3"/>
  <c r="AS33" i="3"/>
  <c r="AP33" i="3"/>
  <c r="AM33" i="3"/>
  <c r="I33" i="3"/>
  <c r="H33" i="3"/>
  <c r="I30" i="3"/>
  <c r="H30" i="3"/>
  <c r="AV28" i="3"/>
  <c r="AS28" i="3"/>
  <c r="AP28" i="3"/>
  <c r="I27" i="3"/>
  <c r="H27" i="3"/>
  <c r="I25" i="3"/>
  <c r="H25" i="3"/>
  <c r="AO23" i="3"/>
  <c r="I23" i="3"/>
  <c r="H23" i="3"/>
  <c r="AV22" i="3"/>
  <c r="AS22" i="3"/>
  <c r="AP22" i="3"/>
  <c r="I22" i="3"/>
  <c r="H22" i="3"/>
  <c r="I19" i="3"/>
  <c r="I17" i="3"/>
  <c r="H17" i="3"/>
  <c r="AM15" i="3"/>
  <c r="AM14" i="3"/>
  <c r="AM13" i="3"/>
  <c r="AV12" i="3"/>
  <c r="AS12" i="3"/>
  <c r="AM11" i="3"/>
  <c r="AU9" i="3"/>
  <c r="AV9" i="3"/>
  <c r="AM9" i="3"/>
  <c r="I9" i="3"/>
  <c r="H9" i="3"/>
  <c r="AO79" i="1"/>
  <c r="AQ78" i="1"/>
  <c r="AP78" i="1"/>
  <c r="AO78" i="1"/>
  <c r="AO76" i="1"/>
  <c r="AO39" i="1"/>
  <c r="AO24" i="1"/>
  <c r="AQ79" i="1"/>
  <c r="AP79" i="1"/>
  <c r="AO46" i="1"/>
  <c r="AR79" i="1"/>
  <c r="AJ79" i="1"/>
  <c r="T79" i="1"/>
  <c r="R79" i="1"/>
  <c r="S71" i="1"/>
  <c r="AJ78" i="1"/>
  <c r="AK78" i="1"/>
  <c r="S78" i="1"/>
  <c r="T78" i="1"/>
  <c r="AJ73" i="1"/>
  <c r="AK73" i="1"/>
  <c r="S73" i="1"/>
  <c r="T73" i="1"/>
  <c r="AJ71" i="1"/>
  <c r="T71" i="1"/>
  <c r="T62" i="1"/>
  <c r="AK56" i="1"/>
  <c r="AJ56" i="1"/>
  <c r="T56" i="1"/>
  <c r="S56" i="1"/>
  <c r="AK46" i="1"/>
  <c r="AJ46" i="1"/>
  <c r="T46" i="1"/>
  <c r="S46" i="1"/>
  <c r="AK39" i="1"/>
  <c r="AJ39" i="1"/>
  <c r="T39" i="1"/>
  <c r="S39" i="1"/>
  <c r="AJ30" i="1"/>
  <c r="AK30" i="1"/>
  <c r="S30" i="1"/>
  <c r="T30" i="1"/>
  <c r="S24" i="1"/>
  <c r="T24" i="1"/>
  <c r="AJ17" i="1"/>
  <c r="AK17" i="1"/>
  <c r="S17" i="1"/>
  <c r="T17" i="1"/>
  <c r="AJ6" i="1"/>
  <c r="AK6" i="1"/>
  <c r="S6" i="1"/>
  <c r="T6" i="1"/>
  <c r="AR74" i="1"/>
  <c r="AR72" i="1"/>
  <c r="AR63" i="1"/>
  <c r="AR57" i="1"/>
  <c r="AR47" i="1"/>
  <c r="AR40" i="1"/>
  <c r="AR31" i="1"/>
  <c r="AR25" i="1"/>
  <c r="AR18" i="1"/>
  <c r="AR7" i="1"/>
  <c r="AR3" i="1"/>
  <c r="AI76" i="1"/>
  <c r="AJ76" i="1"/>
  <c r="AJ77" i="1"/>
  <c r="AK76" i="1"/>
  <c r="AI74" i="1"/>
  <c r="AJ74" i="1"/>
  <c r="AI75" i="1"/>
  <c r="AJ75" i="1"/>
  <c r="AK74" i="1"/>
  <c r="AI72" i="1"/>
  <c r="AJ72" i="1"/>
  <c r="AK72" i="1"/>
  <c r="AI63" i="1"/>
  <c r="AJ63" i="1"/>
  <c r="AK63" i="1"/>
  <c r="AI57" i="1"/>
  <c r="AJ57" i="1"/>
  <c r="AI58" i="1"/>
  <c r="AJ58" i="1"/>
  <c r="AI59" i="1"/>
  <c r="AJ59" i="1"/>
  <c r="AI60" i="1"/>
  <c r="AJ60" i="1"/>
  <c r="AK57" i="1"/>
  <c r="AI47" i="1"/>
  <c r="AJ47" i="1"/>
  <c r="AI48" i="1"/>
  <c r="AJ48" i="1"/>
  <c r="AI49" i="1"/>
  <c r="AJ49" i="1"/>
  <c r="AI50" i="1"/>
  <c r="AJ50" i="1"/>
  <c r="AI51" i="1"/>
  <c r="AJ51" i="1"/>
  <c r="AI52" i="1"/>
  <c r="AJ52" i="1"/>
  <c r="AI53" i="1"/>
  <c r="AJ53" i="1"/>
  <c r="AI54" i="1"/>
  <c r="AJ54" i="1"/>
  <c r="AI55" i="1"/>
  <c r="AJ55" i="1"/>
  <c r="AK47" i="1"/>
  <c r="AI40" i="1"/>
  <c r="AJ40" i="1"/>
  <c r="AI41" i="1"/>
  <c r="AJ41" i="1"/>
  <c r="AI42" i="1"/>
  <c r="AJ42" i="1"/>
  <c r="AJ43" i="1"/>
  <c r="AI44" i="1"/>
  <c r="AJ44" i="1"/>
  <c r="AI45" i="1"/>
  <c r="AJ45" i="1"/>
  <c r="AK40" i="1"/>
  <c r="AI31" i="1"/>
  <c r="AJ31" i="1"/>
  <c r="AI32" i="1"/>
  <c r="AJ32" i="1"/>
  <c r="AJ33" i="1"/>
  <c r="AI34" i="1"/>
  <c r="AJ34" i="1"/>
  <c r="AI35" i="1"/>
  <c r="AJ35" i="1"/>
  <c r="AI36" i="1"/>
  <c r="AJ36" i="1"/>
  <c r="AI37" i="1"/>
  <c r="AJ37" i="1"/>
  <c r="AK31" i="1"/>
  <c r="AI25" i="1"/>
  <c r="AJ25" i="1"/>
  <c r="AI26" i="1"/>
  <c r="AJ26" i="1"/>
  <c r="AI27" i="1"/>
  <c r="AJ27" i="1"/>
  <c r="AK25" i="1"/>
  <c r="AI18" i="1"/>
  <c r="AJ18" i="1"/>
  <c r="AK18" i="1"/>
  <c r="AI7" i="1"/>
  <c r="AJ7" i="1"/>
  <c r="AI8" i="1"/>
  <c r="AJ8" i="1"/>
  <c r="AI9" i="1"/>
  <c r="AJ9" i="1"/>
  <c r="AI10" i="1"/>
  <c r="AJ10" i="1"/>
  <c r="AK7" i="1"/>
  <c r="AI43" i="1"/>
  <c r="AI33" i="1"/>
  <c r="AI4" i="1"/>
  <c r="AJ4" i="1"/>
  <c r="AI5" i="1"/>
  <c r="AJ5" i="1"/>
  <c r="AK3" i="1"/>
  <c r="AI38" i="1"/>
  <c r="AJ38" i="1"/>
  <c r="AI69" i="1"/>
  <c r="AJ69" i="1"/>
  <c r="AJ3" i="1"/>
  <c r="AI77" i="1"/>
  <c r="AI3" i="1"/>
  <c r="T76" i="1"/>
  <c r="T75" i="1"/>
  <c r="T72" i="1"/>
  <c r="T70" i="1"/>
  <c r="T69" i="1"/>
  <c r="T68" i="1"/>
  <c r="T67" i="1"/>
  <c r="T65" i="1"/>
  <c r="T63" i="1"/>
  <c r="T61" i="1"/>
  <c r="T58" i="1"/>
  <c r="T50" i="1"/>
  <c r="T49" i="1"/>
  <c r="T48" i="1"/>
  <c r="T47" i="1"/>
  <c r="T45" i="1"/>
  <c r="T41" i="1"/>
  <c r="T40" i="1"/>
  <c r="T35" i="1"/>
  <c r="T31" i="1"/>
  <c r="T29" i="1"/>
  <c r="T27" i="1"/>
  <c r="T25" i="1"/>
  <c r="T23" i="1"/>
  <c r="T21" i="1"/>
  <c r="T19" i="1"/>
  <c r="T18" i="1"/>
  <c r="T14" i="1"/>
  <c r="T12" i="1"/>
  <c r="T8" i="1"/>
  <c r="T3" i="1"/>
  <c r="S76" i="1"/>
  <c r="S74" i="1"/>
  <c r="S72" i="1"/>
  <c r="S70" i="1"/>
  <c r="S69" i="1"/>
  <c r="S68" i="1"/>
  <c r="S67" i="1"/>
  <c r="S65" i="1"/>
  <c r="S63" i="1"/>
  <c r="S49" i="1"/>
  <c r="S48" i="1"/>
  <c r="S47" i="1"/>
  <c r="S45" i="1"/>
  <c r="S41" i="1"/>
  <c r="S40" i="1"/>
  <c r="S35" i="1"/>
  <c r="S31" i="1"/>
  <c r="S29" i="1"/>
  <c r="S27" i="1"/>
  <c r="S21" i="1"/>
  <c r="S19" i="1"/>
  <c r="S18" i="1"/>
  <c r="S14" i="1"/>
  <c r="S12" i="1"/>
  <c r="S8" i="1"/>
  <c r="S23" i="1"/>
  <c r="S3" i="1"/>
  <c r="R76" i="1"/>
  <c r="R74" i="1"/>
  <c r="R72" i="1"/>
  <c r="R70" i="1"/>
  <c r="R69" i="1"/>
  <c r="R68" i="1"/>
  <c r="R67" i="1"/>
  <c r="R65" i="1"/>
  <c r="R63" i="1"/>
  <c r="R49" i="1"/>
  <c r="R48" i="1"/>
  <c r="R47" i="1"/>
  <c r="R45" i="1"/>
  <c r="R41" i="1"/>
  <c r="R40" i="1"/>
  <c r="R35" i="1"/>
  <c r="R31" i="1"/>
  <c r="R29" i="1"/>
  <c r="R27" i="1"/>
  <c r="R23" i="1"/>
  <c r="R21" i="1"/>
  <c r="R19" i="1"/>
  <c r="R18" i="1"/>
  <c r="R14" i="1"/>
  <c r="R12" i="1"/>
  <c r="R8" i="1"/>
  <c r="R3" i="1"/>
  <c r="AV3" i="1"/>
  <c r="AH27" i="1"/>
  <c r="Q27" i="1"/>
  <c r="Q3" i="1"/>
  <c r="AV76" i="1"/>
  <c r="BB76" i="1"/>
  <c r="AV74" i="1"/>
  <c r="BB74" i="1"/>
  <c r="AV72" i="1"/>
  <c r="BB72" i="1"/>
  <c r="AV63" i="1"/>
  <c r="BB63" i="1"/>
  <c r="AV57" i="1"/>
  <c r="BB57" i="1"/>
  <c r="AV47" i="1"/>
  <c r="BB47" i="1"/>
  <c r="AV40" i="1"/>
  <c r="BB40" i="1"/>
  <c r="AV31" i="1"/>
  <c r="BB31" i="1"/>
  <c r="AV25" i="1"/>
  <c r="BB25" i="1"/>
  <c r="AV18" i="1"/>
  <c r="BB18" i="1"/>
  <c r="AV7" i="1"/>
  <c r="BB7" i="1"/>
  <c r="BB3" i="1"/>
  <c r="AX74" i="1"/>
  <c r="AX72" i="1"/>
  <c r="AX76" i="1"/>
  <c r="AC76" i="1"/>
  <c r="AC74" i="1"/>
  <c r="AC72" i="1"/>
  <c r="AC63" i="1"/>
  <c r="AX57" i="1"/>
  <c r="AC57" i="1"/>
  <c r="AC47" i="1"/>
  <c r="AX47" i="1"/>
  <c r="AX40" i="1"/>
  <c r="AC40" i="1"/>
  <c r="AX31" i="1"/>
  <c r="AC31" i="1"/>
  <c r="AC25" i="1"/>
  <c r="AX25" i="1"/>
  <c r="AX18" i="1"/>
  <c r="AC18" i="1"/>
  <c r="AC7" i="1"/>
</calcChain>
</file>

<file path=xl/comments1.xml><?xml version="1.0" encoding="utf-8"?>
<comments xmlns="http://schemas.openxmlformats.org/spreadsheetml/2006/main">
  <authors>
    <author>Luz Marlene Andrade</author>
    <author>tc={0669D4B5-01C3-4E7E-B633-845E5947CC1C}</author>
    <author>tc={811B6F82-A0C8-4AFF-AF9C-EC2E65280C78}</author>
    <author>tc={BF9821E7-E1E0-4114-A912-13E630D06966}</author>
  </authors>
  <commentList>
    <comment ref="L2" authorId="0" shapeId="0">
      <text>
        <r>
          <rPr>
            <b/>
            <sz val="9"/>
            <color indexed="81"/>
            <rFont val="Tahoma"/>
            <family val="2"/>
          </rPr>
          <t>Luz Marlene Andrade:</t>
        </r>
        <r>
          <rPr>
            <sz val="9"/>
            <color indexed="81"/>
            <rFont val="Tahoma"/>
            <family val="2"/>
          </rPr>
          <t xml:space="preserve">
Corresponde a lo programado según plan indicativo, más lo alcanzado o rezagado en las vigencias anteriores (2020-2021) </t>
        </r>
      </text>
    </comment>
    <comment ref="AD2" authorId="0" shapeId="0">
      <text>
        <r>
          <rPr>
            <b/>
            <sz val="9"/>
            <color indexed="81"/>
            <rFont val="Tahoma"/>
            <family val="2"/>
          </rPr>
          <t>Luz Marlene Andrade:</t>
        </r>
        <r>
          <rPr>
            <sz val="9"/>
            <color indexed="81"/>
            <rFont val="Tahoma"/>
            <family val="2"/>
          </rPr>
          <t xml:space="preserve">
Corresponde al avance de la actividad en el proyecto</t>
        </r>
      </text>
    </comment>
    <comment ref="AS2" authorId="0" shapeId="0">
      <text>
        <r>
          <rPr>
            <b/>
            <sz val="9"/>
            <color indexed="81"/>
            <rFont val="Tahoma"/>
            <family val="2"/>
          </rPr>
          <t>Luz Marlene Andrade:</t>
        </r>
        <r>
          <rPr>
            <sz val="9"/>
            <color indexed="81"/>
            <rFont val="Tahoma"/>
            <family val="2"/>
          </rPr>
          <t xml:space="preserve">
Indicar si la actividad se financia con:
1. Inversión
2. Funcionamiento
3. Otros Recursos</t>
        </r>
      </text>
    </comment>
    <comment ref="AW2" authorId="0" shapeId="0">
      <text>
        <r>
          <rPr>
            <b/>
            <sz val="9"/>
            <color indexed="81"/>
            <rFont val="Tahoma"/>
            <family val="2"/>
          </rPr>
          <t>Luz Marlene Andrade:</t>
        </r>
        <r>
          <rPr>
            <sz val="9"/>
            <color indexed="81"/>
            <rFont val="Tahoma"/>
            <family val="2"/>
          </rPr>
          <t xml:space="preserve">
1. Recursos Propios - ICLD
2. SGP
3. Donaciones
</t>
        </r>
      </text>
    </comment>
    <comment ref="AH4" authorId="1" shapeId="0">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adelantó el proceso de gestión en su etapa precontractual. Una vez se adjudique se completa la entrega de incentivos. </t>
        </r>
      </text>
    </comment>
    <comment ref="AH34"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Etapa precontractual ccc en sus EP</t>
        </r>
      </text>
    </comment>
    <comment ref="AH53"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hizo con la CIENTECH a través del bootcamp "Crearlo no es suficiente"</t>
        </r>
      </text>
    </comment>
  </commentList>
</comments>
</file>

<file path=xl/comments2.xml><?xml version="1.0" encoding="utf-8"?>
<comments xmlns="http://schemas.openxmlformats.org/spreadsheetml/2006/main">
  <authors>
    <author>Usuario de Windows</author>
  </authors>
  <commentList>
    <comment ref="G6" authorId="0" shapeId="0">
      <text>
        <r>
          <rPr>
            <b/>
            <sz val="9"/>
            <color indexed="81"/>
            <rFont val="Tahoma"/>
            <family val="2"/>
          </rPr>
          <t>VALOR NÚMERICO</t>
        </r>
      </text>
    </comment>
    <comment ref="H6" authorId="0" shapeId="0">
      <text>
        <r>
          <rPr>
            <b/>
            <sz val="9"/>
            <color indexed="81"/>
            <rFont val="Tahoma"/>
            <family val="2"/>
          </rPr>
          <t xml:space="preserve">VALOR EN PORCENTAJE
</t>
        </r>
      </text>
    </comment>
    <comment ref="I6" authorId="0" shapeId="0">
      <text>
        <r>
          <rPr>
            <b/>
            <sz val="9"/>
            <color indexed="81"/>
            <rFont val="Tahoma"/>
            <family val="2"/>
          </rPr>
          <t xml:space="preserve">VALOR EN PORCENTAJE
</t>
        </r>
      </text>
    </comment>
    <comment ref="M6" authorId="0" shapeId="0">
      <text>
        <r>
          <rPr>
            <b/>
            <sz val="9"/>
            <color indexed="81"/>
            <rFont val="Tahoma"/>
            <family val="2"/>
          </rPr>
          <t>INCLUIR EVIDENCIA ORGANIZADA POR PROGRAMA PROYECTO Y ACTIVIDAD</t>
        </r>
      </text>
    </comment>
    <comment ref="N6" authorId="0" shapeId="0">
      <text>
        <r>
          <rPr>
            <b/>
            <sz val="9"/>
            <color indexed="81"/>
            <rFont val="Tahoma"/>
            <family val="2"/>
          </rPr>
          <t xml:space="preserve">SE DEBE ESPECIFICAR LA FECHA Y PERIODICIDAD DE LA ACTIVIDAD
</t>
        </r>
      </text>
    </comment>
    <comment ref="O6" authorId="0" shapeId="0">
      <text>
        <r>
          <rPr>
            <b/>
            <sz val="9"/>
            <color indexed="81"/>
            <rFont val="Tahoma"/>
            <family val="2"/>
          </rPr>
          <t xml:space="preserve">SE DEBE ESPECIFICAR LA FECHA Y PERIODICIDAD DE LA ACTIVIDAD
</t>
        </r>
      </text>
    </comment>
    <comment ref="Q6" authorId="0" shapeId="0">
      <text>
        <r>
          <rPr>
            <b/>
            <sz val="9"/>
            <color indexed="81"/>
            <rFont val="Tahoma"/>
            <family val="2"/>
          </rPr>
          <t>VALOR NÚMERICO</t>
        </r>
      </text>
    </comment>
    <comment ref="R6" authorId="0" shapeId="0">
      <text>
        <r>
          <rPr>
            <b/>
            <sz val="9"/>
            <color indexed="81"/>
            <rFont val="Tahoma"/>
            <family val="2"/>
          </rPr>
          <t xml:space="preserve">VALOR EN PORCENTAJE
</t>
        </r>
      </text>
    </comment>
    <comment ref="S6" authorId="0" shapeId="0">
      <text>
        <r>
          <rPr>
            <b/>
            <sz val="9"/>
            <color indexed="81"/>
            <rFont val="Tahoma"/>
            <family val="2"/>
          </rPr>
          <t xml:space="preserve">VALOR EN PORCENTAJE
</t>
        </r>
      </text>
    </comment>
    <comment ref="T7" authorId="0" shapeId="0">
      <text>
        <r>
          <rPr>
            <b/>
            <sz val="9"/>
            <color indexed="81"/>
            <rFont val="Tahoma"/>
            <family val="2"/>
          </rPr>
          <t xml:space="preserve">INCLUIR EL OBJETIVO Y LAS ACTIVIDADES DEL PROYECTO
</t>
        </r>
      </text>
    </comment>
    <comment ref="W7" authorId="0" shapeId="0">
      <text>
        <r>
          <rPr>
            <b/>
            <sz val="9"/>
            <color indexed="81"/>
            <rFont val="Tahoma"/>
            <family val="2"/>
          </rPr>
          <t>RELACIONAR LAS ACTIVIDADES ESPECIFICAS DEL PROYECTO</t>
        </r>
      </text>
    </comment>
    <comment ref="AL7" authorId="0" shapeId="0">
      <text>
        <r>
          <rPr>
            <b/>
            <sz val="9"/>
            <color indexed="81"/>
            <rFont val="Tahoma"/>
            <family val="2"/>
          </rPr>
          <t>VERIFICAR AVANCE EN LAS EVIDENCIAS
VALOR EN PORCENTAJE</t>
        </r>
      </text>
    </comment>
    <comment ref="AM7" authorId="0" shapeId="0">
      <text>
        <r>
          <rPr>
            <b/>
            <sz val="9"/>
            <color indexed="81"/>
            <rFont val="Tahoma"/>
            <family val="2"/>
          </rPr>
          <t>TENER EN CUENTA EL PORCENTAJE DE PARTICIPACIÓN DE LA ACTIVIDAD DENTRO DEL AVANCE DEL PROYECTO (NO PROMEDIAR)</t>
        </r>
      </text>
    </comment>
    <comment ref="AN7" authorId="0" shapeId="0">
      <text>
        <r>
          <rPr>
            <b/>
            <sz val="9"/>
            <color indexed="81"/>
            <rFont val="Tahoma"/>
            <family val="2"/>
          </rPr>
          <t>TENER EN CUENTA LA PARTICIPACIÓN DEL PROYECTO DENTRO DE LA META PRODUCTO (NO PROMEDIAR)</t>
        </r>
      </text>
    </comment>
    <comment ref="AQ7" authorId="0" shapeId="0">
      <text>
        <r>
          <rPr>
            <b/>
            <sz val="9"/>
            <color indexed="81"/>
            <rFont val="Tahoma"/>
            <family val="2"/>
          </rPr>
          <t>ICLD
SGP
SGR
ENTRE OTROS
(ESPECIFICAR OTROS)</t>
        </r>
      </text>
    </comment>
    <comment ref="AR7" authorId="0" shapeId="0">
      <text>
        <r>
          <rPr>
            <b/>
            <sz val="9"/>
            <color indexed="81"/>
            <rFont val="Tahoma"/>
            <family val="2"/>
          </rPr>
          <t>VALOR NÚMERICO</t>
        </r>
      </text>
    </comment>
    <comment ref="AS7" authorId="0" shapeId="0">
      <text>
        <r>
          <rPr>
            <b/>
            <sz val="9"/>
            <color indexed="81"/>
            <rFont val="Tahoma"/>
            <family val="2"/>
          </rPr>
          <t>VALOR EN PORCENTAJE</t>
        </r>
      </text>
    </comment>
    <comment ref="AT7" authorId="0" shapeId="0">
      <text>
        <r>
          <rPr>
            <b/>
            <sz val="9"/>
            <color indexed="81"/>
            <rFont val="Tahoma"/>
            <family val="2"/>
          </rPr>
          <t>VALOR ASIGNADO PARA LA VIGENCIA A EVALUAR</t>
        </r>
      </text>
    </comment>
    <comment ref="AU7" authorId="0" shapeId="0">
      <text>
        <r>
          <rPr>
            <b/>
            <sz val="9"/>
            <color indexed="81"/>
            <rFont val="Tahoma"/>
            <family val="2"/>
          </rPr>
          <t>VALOR ASIGNADO PARA LA VIGENCIA A EVALUAR</t>
        </r>
      </text>
    </comment>
    <comment ref="AW7" authorId="0" shapeId="0">
      <text>
        <r>
          <rPr>
            <b/>
            <sz val="9"/>
            <color indexed="81"/>
            <rFont val="Tahoma"/>
            <family val="2"/>
          </rPr>
          <t>INFORMACIÓN DEL INFORME DE EJECUCION DEL PRESUPUESTO DE GASTOS E INVERSIONES (PREDIS)</t>
        </r>
      </text>
    </comment>
    <comment ref="AZ7" authorId="0" shapeId="0">
      <text>
        <r>
          <rPr>
            <b/>
            <sz val="9"/>
            <color indexed="81"/>
            <rFont val="Tahoma"/>
            <family val="2"/>
          </rPr>
          <t>INFORMACIÓN DEL INFORME DE EJECUCION DEL PRESUPUESTO DE GASTOS E INVERSIONES (PREDIS)</t>
        </r>
      </text>
    </comment>
    <comment ref="BC7" authorId="0" shapeId="0">
      <text>
        <r>
          <rPr>
            <b/>
            <sz val="9"/>
            <color indexed="81"/>
            <rFont val="Tahoma"/>
            <family val="2"/>
          </rPr>
          <t>INFORMACIÓN DEL INFORME DE EJECUCION DEL PRESUPUESTO DE GASTOS E INVERSIONES (PREDIS)</t>
        </r>
      </text>
    </comment>
    <comment ref="BF7" authorId="0" shapeId="0">
      <text>
        <r>
          <rPr>
            <b/>
            <sz val="9"/>
            <color indexed="81"/>
            <rFont val="Tahoma"/>
            <family val="2"/>
          </rPr>
          <t>INFORMACIÓN DEL INFORME DE EJECUCION DEL PRESUPUESTO DE GASTOS E INVERSIONES (PREDIS)</t>
        </r>
      </text>
    </comment>
    <comment ref="AW8" authorId="0" shapeId="0">
      <text>
        <r>
          <rPr>
            <b/>
            <sz val="9"/>
            <color indexed="81"/>
            <rFont val="Tahoma"/>
            <family val="2"/>
          </rPr>
          <t>HACE REFERENCIA AL PRESUPUESTO ASIGNADO</t>
        </r>
      </text>
    </comment>
    <comment ref="AX8" authorId="0" shapeId="0">
      <text>
        <r>
          <rPr>
            <b/>
            <sz val="9"/>
            <color indexed="81"/>
            <rFont val="Tahoma"/>
            <family val="2"/>
          </rPr>
          <t>HACE REFERENCIA AL REGISTRO PRESUPUESTAL</t>
        </r>
      </text>
    </comment>
    <comment ref="AZ8" authorId="0" shapeId="0">
      <text>
        <r>
          <rPr>
            <b/>
            <sz val="9"/>
            <color indexed="81"/>
            <rFont val="Tahoma"/>
            <family val="2"/>
          </rPr>
          <t>HACE REFERENCIA AL PRESUPUESTO ASIGNADO</t>
        </r>
      </text>
    </comment>
    <comment ref="BA8" authorId="0" shapeId="0">
      <text>
        <r>
          <rPr>
            <b/>
            <sz val="9"/>
            <color indexed="81"/>
            <rFont val="Tahoma"/>
            <family val="2"/>
          </rPr>
          <t>HACE REFERENCIA AL REGISTRO PRESUPUESTAL</t>
        </r>
      </text>
    </comment>
    <comment ref="BC8" authorId="0" shapeId="0">
      <text>
        <r>
          <rPr>
            <b/>
            <sz val="9"/>
            <color indexed="81"/>
            <rFont val="Tahoma"/>
            <family val="2"/>
          </rPr>
          <t>HACE REFERENCIA AL PRESUPUESTO ASIGNADO</t>
        </r>
      </text>
    </comment>
    <comment ref="BD8" authorId="0" shapeId="0">
      <text>
        <r>
          <rPr>
            <b/>
            <sz val="9"/>
            <color indexed="81"/>
            <rFont val="Tahoma"/>
            <family val="2"/>
          </rPr>
          <t>HACE REFERENCIA AL REGISTRO PRESUPUESTAL</t>
        </r>
      </text>
    </comment>
    <comment ref="BF8" authorId="0" shapeId="0">
      <text>
        <r>
          <rPr>
            <b/>
            <sz val="9"/>
            <color indexed="81"/>
            <rFont val="Tahoma"/>
            <family val="2"/>
          </rPr>
          <t>HACE REFERENCIA AL PRESUPUESTO ASIGNADO</t>
        </r>
      </text>
    </comment>
    <comment ref="BG8" authorId="0" shapeId="0">
      <text>
        <r>
          <rPr>
            <b/>
            <sz val="9"/>
            <color indexed="81"/>
            <rFont val="Tahoma"/>
            <family val="2"/>
          </rPr>
          <t>HACE REFERENCIA AL REGISTRO PRESUPUESTAL</t>
        </r>
      </text>
    </comment>
    <comment ref="BI8" authorId="0" shapeId="0">
      <text>
        <r>
          <rPr>
            <b/>
            <sz val="9"/>
            <color indexed="81"/>
            <rFont val="Tahoma"/>
            <family val="2"/>
          </rPr>
          <t>COHERENCIA ENTRE LA EJECUCIÓN PRESUPUESTAL Y EL CUMPLIMIENTO DE LAS METAS</t>
        </r>
      </text>
    </comment>
  </commentList>
</comments>
</file>

<file path=xl/sharedStrings.xml><?xml version="1.0" encoding="utf-8"?>
<sst xmlns="http://schemas.openxmlformats.org/spreadsheetml/2006/main" count="1179" uniqueCount="413">
  <si>
    <t>¿Requiere contratación?</t>
  </si>
  <si>
    <t>Código Presupuestal</t>
  </si>
  <si>
    <t>Rubro Presupuestal</t>
  </si>
  <si>
    <t>Fuente Presupuestal</t>
  </si>
  <si>
    <t>Fuente de Financiación</t>
  </si>
  <si>
    <t>Nombre del Responable</t>
  </si>
  <si>
    <t xml:space="preserve">Dependencia Responsable </t>
  </si>
  <si>
    <t xml:space="preserve">Fecha de inicio </t>
  </si>
  <si>
    <t>Actividades de Proyecto</t>
  </si>
  <si>
    <t>Objetivo del Proyecto</t>
  </si>
  <si>
    <t>PROYECTO</t>
  </si>
  <si>
    <t>PROGRAMACIÓN META A 2022</t>
  </si>
  <si>
    <t>Descripción de la Meta Producto 2020-2023</t>
  </si>
  <si>
    <t>Línea Base 2019 
Según PDD</t>
  </si>
  <si>
    <t>UNIDAD DE MEDIDA DEL INDICADOR DE PRODUCTO</t>
  </si>
  <si>
    <t>Indicador de Producto</t>
  </si>
  <si>
    <t xml:space="preserve">PROGRAMA </t>
  </si>
  <si>
    <t>Meta de Bienestar 2020-2023</t>
  </si>
  <si>
    <t>Línea Base 2019</t>
  </si>
  <si>
    <t>Indicador de Bienestar</t>
  </si>
  <si>
    <t>LINEA ESTRATEGICA</t>
  </si>
  <si>
    <t>PILAR</t>
  </si>
  <si>
    <t>FORMATO PLAN DE ACCIÓN
DEPENDENCIA: XXXXXXX
VIGENCIA 2022</t>
  </si>
  <si>
    <t>Fecha de Inicio Contratación</t>
  </si>
  <si>
    <t>Beneficiarios Programados</t>
  </si>
  <si>
    <t>Beneficiarios Cubiertos</t>
  </si>
  <si>
    <t>ACUMULADO DE META PRODUCTO 2020- 2021</t>
  </si>
  <si>
    <t>Porcentaje de Participación de la Actividad en el Proyecto</t>
  </si>
  <si>
    <t>Apropiación Inicial
(en pesos)</t>
  </si>
  <si>
    <t>Tipo de Contratación</t>
  </si>
  <si>
    <t>Código de proyecto BPIN</t>
  </si>
  <si>
    <t>Tiempo de Ejecución
(número de días)</t>
  </si>
  <si>
    <t>Valor de  la Meta Producto 2020-2023</t>
  </si>
  <si>
    <t>Valor de la Actividad del  Proyecto 2022</t>
  </si>
  <si>
    <t>Cartagena Contingente</t>
  </si>
  <si>
    <t>Desarrollo Económico y Empleabilidad</t>
  </si>
  <si>
    <t>No de Plataforma de inclusión productiva Distrital en funcionamiento</t>
  </si>
  <si>
    <t>Diseñar e implementar 1 plataforma de inclusión productiva Distrital</t>
  </si>
  <si>
    <t>Empleo Inclusivo Para Los Jóvenes</t>
  </si>
  <si>
    <t>Encadenamientos productivos</t>
  </si>
  <si>
    <t>Cartagena facilita el emprendimiento</t>
  </si>
  <si>
    <t>Zonas de aglomeración productiva</t>
  </si>
  <si>
    <t>Cierre de brechas de Empleabilidad</t>
  </si>
  <si>
    <t>Cierre de brechas de Capital Humano</t>
  </si>
  <si>
    <t>Competitividad e Innovación</t>
  </si>
  <si>
    <t>No de puesto en Índice de competitividad entre ciudades. Posición de Colombia</t>
  </si>
  <si>
    <t>Puesto 12</t>
  </si>
  <si>
    <t>Posicionar en 8º puesto Cartagena dentro del índice de competitividad entre ciudades</t>
  </si>
  <si>
    <t>Cartagena ciudad Innovadora</t>
  </si>
  <si>
    <t>Cartagena destino de inversión</t>
  </si>
  <si>
    <t>Cartagena Transparente</t>
  </si>
  <si>
    <t xml:space="preserve">Finanzas públicas para salvar a Cartagena </t>
  </si>
  <si>
    <t>%IPU – Vigencia Actual</t>
  </si>
  <si>
    <t xml:space="preserve">Aumentar en 4,5% El recaudo de Impuesto predial Unificado vigencia actual </t>
  </si>
  <si>
    <t xml:space="preserve">Finanzas Sostenibles para salvar a Cartagena  </t>
  </si>
  <si>
    <t>%IPU – Vigencias Anteriores</t>
  </si>
  <si>
    <t xml:space="preserve">Aumentar en un 3% el recaudo de Impuesto Predial Unificado Vigencias anteriores </t>
  </si>
  <si>
    <t>%ICA – Vigencia Actual</t>
  </si>
  <si>
    <t>Aumentar en un 4,5% El recaudo de Impuesto de Industria y comercio vigencia actual</t>
  </si>
  <si>
    <t>%ICA – Vigencias anteriores</t>
  </si>
  <si>
    <t xml:space="preserve">Aumentar en un 1% El recaudo de Impuesto de Industria y comercio vigencias anteriores </t>
  </si>
  <si>
    <t>%Delineación Urbana</t>
  </si>
  <si>
    <t>Aumentar en un 5% el recaudo de Delineación Urbana</t>
  </si>
  <si>
    <t>%Sobretasa a la gasolina</t>
  </si>
  <si>
    <t xml:space="preserve">Aumentar en un 5% el recaudo de Sobretasa a la Gasolina </t>
  </si>
  <si>
    <t>% del Déficit fiscal presupuestal y de tesorería disminuido</t>
  </si>
  <si>
    <t>Disminuir el déficit presupuestal en un 100 %</t>
  </si>
  <si>
    <t>Saneamiento Fiscal y Financiero</t>
  </si>
  <si>
    <t>Cartagena Transversal</t>
  </si>
  <si>
    <t>Línea estratégica para la equidad e inclusión de los negros, afros, palenqueros e indígenas</t>
  </si>
  <si>
    <t>Porcentaje de la población Afro, Negra, raizal, palenquera e Indígena que habita el Distrito de Cartagena con  reconocimiento de sus derechos, diversidad étnica y cultural como un principio fundamental del Estado Social y Democrático de Derecho</t>
  </si>
  <si>
    <t>NA</t>
  </si>
  <si>
    <t>Lograr que el 100% de la población Afro, Negra, raizal, palenquera e Indígena que habita el Distrito de Cartagena se le sean reconocidos sus derechos de  la diversidad étnica y cultural como un principio fundamental del Estado Social y Democrático de Derecho.</t>
  </si>
  <si>
    <t>Fortalecimiento e Inclusión Productiva para Población Negra, Afrocolombiana, Raizal y Palenquera en el Distrito de Cartagena.</t>
  </si>
  <si>
    <t>Fortalecimiento de la Población Indígena en el Distrito de Cartagena.</t>
  </si>
  <si>
    <t>Iniciativas productivas creadas adaptadas a las condiciones de crisis sanitarias, sociales y ambientales que se presenten</t>
  </si>
  <si>
    <t xml:space="preserve">No. De estudio de identificación de potenciales encadenamientos productivos con énfasis sectorial realizado. </t>
  </si>
  <si>
    <t>No. De plataformas implementadas versión 2.0 Clúster-Cartagena y alinearlo con la estrategia de atracción de inversiones.</t>
  </si>
  <si>
    <t>No. De estrategias de proveedores en los sectores priorizados ejecutadas</t>
  </si>
  <si>
    <t>No de micro y pequeñas empresas de Cartagena vinculadas a redes de proveeduría  y/o a encadenamientos productivos</t>
  </si>
  <si>
    <t>No operaciones financieras a través de alianzas del Distrito con actores del ecosistema de financiamiento a micro y pequeñas empresas realizadas.</t>
  </si>
  <si>
    <t>No. de Centros de emprendimiento Distrital creados.</t>
  </si>
  <si>
    <t>No. de incubadoras de empresas de alto impacto con recursos publico privados formuladas y en ejecución.</t>
  </si>
  <si>
    <t>No. De empresas de base tecnológica a la incubadora de empresas vinculadas.</t>
  </si>
  <si>
    <t>No. De estudios de identificación de sectores a partir del censo empresarial realizados.</t>
  </si>
  <si>
    <t>Porcentaje. De unidades productivas censadas (en los sectores y zonas priorizadas) a los Centros de Servicios Empresariales que participación vinculadas.</t>
  </si>
  <si>
    <t>Porcentaje de productividad de las zonas de aglomeración asociada a Centros de Servicios Empresariales incrementado</t>
  </si>
  <si>
    <t>No. de pactos con sectores empresariales y sociedad civil en contra de la discriminación en el mercado laboral para algunas poblaciones vulnerables realizados</t>
  </si>
  <si>
    <t>No. de personas vinculadas anualmente a partir de los pactos para el cierre de brechas de población vulnerable</t>
  </si>
  <si>
    <t>No. De plataforma de orientación socio-ocupacional para los jóvenes de Cartagena creada</t>
  </si>
  <si>
    <t>No. de ejercicios de prospectiva laboral y de identificación de brechas de capital humano realizados</t>
  </si>
  <si>
    <t>Ni. De Instancia de articulación interinstitucional para planeación de la oferta educativa postpandemedia en el Distrito de Cartagena creadas</t>
  </si>
  <si>
    <t>No. encuentros anuales sobre innovación en Cartagena</t>
  </si>
  <si>
    <t>No. de concurso anual a los mejores resultados de investigación e innovación, pública, privada y académica</t>
  </si>
  <si>
    <t>Estudio de prefactibilidad de un parque tecnológico en Cartagena realizado</t>
  </si>
  <si>
    <t>No. de sistema de innovación del Distrito de Cartagena creado</t>
  </si>
  <si>
    <t>No de  estrategia de promoción y posicionamiento de la ciudad implementada</t>
  </si>
  <si>
    <t xml:space="preserve">No de  sistema de información para inversionistas implementado </t>
  </si>
  <si>
    <t>No. De ventanilla única empresarial Diseñada</t>
  </si>
  <si>
    <t xml:space="preserve">Recaudo de  Impuesto Predial  en un monto de $1.047.261.338.899  </t>
  </si>
  <si>
    <t>Recaudo de  Impuesto de Industria y comercio  en un monto de $1.189.376.917.533</t>
  </si>
  <si>
    <t xml:space="preserve">Recaudo del  Impuesto de Delineación Urbana  en un monto de         $14.454.734.972 </t>
  </si>
  <si>
    <t xml:space="preserve">Recaudo del  Impuesto de Sobretasa a la gasolina en un monto de $176.659.841.306 </t>
  </si>
  <si>
    <t>Software Tecnológico implementado</t>
  </si>
  <si>
    <t xml:space="preserve">Número de Estrategias implementadas </t>
  </si>
  <si>
    <t xml:space="preserve">Valor de $396.000.000.000 para cubrimiento en el cuatrienio de obligaciones del Plan de Saneamiento Fiscal y Financiero del Distrito de Cartagena de Indias  </t>
  </si>
  <si>
    <t xml:space="preserve">Número de proyectos
desarrollados para la generación de ingresos en los consejos comunitarios.
</t>
  </si>
  <si>
    <t xml:space="preserve">Número de proyectos diseñados para la generación de ingresos en la población indígena a través de proyectos productivos , el fortalecimiento de la seguridad alimentaria, la gestión ambiental y el uso sostenible de la biodiversidad y la sostenibilidad económica. </t>
  </si>
  <si>
    <t>500 Iniciativas productivas creadas adaptadas a las condiciones de crisis sanitarias, sociales y ambientales que se presenten.</t>
  </si>
  <si>
    <t>Realizar 1 estudio de identificación de potenciales encadenamientos productivos con énfasis sectorial.</t>
  </si>
  <si>
    <t>Implementar la versión 2.0 de la plataforma Clúster-Cartagena y alinearlo con la estrategia de atracción de inversiones.</t>
  </si>
  <si>
    <t>Ejecutar 4 estrategias de proveedores en los sectores priorizados</t>
  </si>
  <si>
    <t>Vincular a 200 micro y pequeñas empresas de Cartagena a redes de proveeduría y/o a encadenamientos productivos</t>
  </si>
  <si>
    <t>Realizar 5.000 operaciones financieras a través de alianzas del Distrito con actores del ecosistema de financiamiento a micro y pequeñas empresas.</t>
  </si>
  <si>
    <t>Crear 1 Centro de emprendimiento Distrital</t>
  </si>
  <si>
    <t>Formular y poner en marcha 1 incubadora de empresas de alto impacto con recursos publico privados</t>
  </si>
  <si>
    <t>Vincular a 40 empresas de base tecnológica a la incubadora de empresas</t>
  </si>
  <si>
    <t>Realizar 1 estudio de identificación de sectores a partir del censo empresarial</t>
  </si>
  <si>
    <t>Vincular al 30% de las unidades productivas censadas (en los sectores y zonas priorizadas) a los Centros de Servicios Empresariales</t>
  </si>
  <si>
    <t>Incrementar en 10% la productividad de las zonas de aglomeración asociada a Centros de Servicios Empresariales</t>
  </si>
  <si>
    <t>Realizar 6 pactos con sectores empresariales y sociedad civil en contra de la discriminación en el mercado laboral para algunas poblaciones vulnerables.</t>
  </si>
  <si>
    <t>Vincular laboralmente a por lo menos 200 personas anualmente a partir de los pactos para el cierre de brechas de población vulnerable</t>
  </si>
  <si>
    <t>Crear 1 plataforma de orientación socio-ocupacional para los jóvenes de Cartagena</t>
  </si>
  <si>
    <t>Realizar 6 ejercicios de prospectiva laboral y de identificación de brechas de capital humano</t>
  </si>
  <si>
    <t>Crear 1 instancia de articulación interinstitucional para planeación de la oferta educativa postmedia en el Distrito de Cartagena.</t>
  </si>
  <si>
    <t>Establecer 1 encuentro anual sobre innovación en Cartagena</t>
  </si>
  <si>
    <t>Organizar 1 concurso anual a los mejores resultados de investigación e innovación, pública, privada y académica.</t>
  </si>
  <si>
    <t>Realizar 1 estudio de prefactibilidad de un parque tecnológico en Cartagena.</t>
  </si>
  <si>
    <t>Crear el sistema de innovación del Distrito de Cartagena</t>
  </si>
  <si>
    <t xml:space="preserve">Implementar 1 estrategia de promoción y posicionamiento de la ciudad </t>
  </si>
  <si>
    <t>Implementar un sistema de información para inversionistas</t>
  </si>
  <si>
    <t>Recaudar $1.047.261.338.899 por concepto de IPU</t>
  </si>
  <si>
    <t xml:space="preserve">Recaudar $1.189.376.917.533 por concepto de ICA </t>
  </si>
  <si>
    <t>Recaudar $14.454.734.972 por concepto de Delineación Urbana.</t>
  </si>
  <si>
    <t>Recaudar $176.659.841.306 por concepto de Sobretasa a la gasolina.</t>
  </si>
  <si>
    <t>Implementar (1) software para la modernización tecnológica de la secretaría de Hacienda.</t>
  </si>
  <si>
    <t>Implementar  (3) estrategias de impacto que propendan por fortalecer las acciones de recaudo de los  tributos para incrementar los ingresos.</t>
  </si>
  <si>
    <t>Valor de $396.000.000.000 para cubrimiento en el cuatrienio de obligaciones del Plan de Saneamiento Fiscal y Financiero del Distrito de Cartagena de Indias</t>
  </si>
  <si>
    <t>33 proyectos de generación de ingresos desarrollados en consejos comunitarios.</t>
  </si>
  <si>
    <t xml:space="preserve">Desarrollar 2 proyectos diseñados para la generación de ingresos en la Secretaría de Hacienda (UDE) – Secretaría del Interior y Convivencia Ciudadana. </t>
  </si>
  <si>
    <t>NP</t>
  </si>
  <si>
    <t>DESARROLLO DE ESTRATEGIAS PARA EL FORTALECIMIENTO DE LOS ENCADENAMIENTOS PRODUCTIVOS Y REDES DE PROVEEDURÍA EN EL DISTRITO DE CARTAGENA DE INDIAS</t>
  </si>
  <si>
    <t>IMPLEMENTACIÓN DEL CENTRO DE FOMENTO AL EMPRENDIMIENTO Y A LA EMPLEABILIDAD PARA UNA CARTAGENA DE INDIAS INCLUSIVA Y MÁS COMPETITIVA EN CARTAGENA DE INDIAS</t>
  </si>
  <si>
    <t>DESARROLLO DE ESTRATEGIAS  PARA EL APROVECHAMIENTO DE LAS ECONOMÍAS DE AGLOMERACIÓN EN EL DISTRITO DE CARTAGENA DE INDIAS</t>
  </si>
  <si>
    <t>CONSOLIDACIÓN DEL CIERRE DE BRECHAS PARA LA EMPLEABILIDAD Y EMPLEOS INCLUSIVOS A LOS GRUPOS POBLACIONALES VULNERABLES EN EL DISTRITO DE   CARTAGENA DE INDIAS</t>
  </si>
  <si>
    <t xml:space="preserve">
 HABILITACIÓN DE LAS ACCIONES PARA IDENTIFICAR Y CERRAR LAS BRECHAS DE CAPITAL HUMANO DE FORMA PERTINENTE, SUFICIENTE Y DE CALIDAD EN EL DISTRITO DE CARTAGENA DE INDIAS.
</t>
  </si>
  <si>
    <t>IMPLEMENTACIÓN DE ESTRATEGIAS DE ARTICULACIÓN ENTRE ACTORES E INICIATIVAS PARA EL IMPULSO DE UNA CULTURA DE LA INNOVACIÓN EN CARTAGENA DE INDIAS</t>
  </si>
  <si>
    <t>IMPLEMENTACIÓN DE UNA ESTRATEGIA DE PROMOCIÓN Y POSICIONAMIENTO PARA LA ATRACCIÓN DE LOS DIVERSOS TIPOS DE INVERSIÓN EN CARTAGENA DE INDIAS.</t>
  </si>
  <si>
    <t>IMPLEMENTACIÓN DEL PLAN DE SANEAMIENTO FISCAL Y FINANCIERO DEL DISTRITO DE CARTAGENA DE INDIAS.</t>
  </si>
  <si>
    <t>IDENTIFICACIÓN Y CREACIÓN DE INICIATIVAS PRODUCTIVAS ADAPTADAS A LAS CONDICIONES DE CRISIS SANITARIAS, SOCIALES Y AMBIENTALES EN POBLACIÓN JOVEN DEL DISTRITO DE CARTAGENA DE INDIAS</t>
  </si>
  <si>
    <t>2020-13001-0296</t>
  </si>
  <si>
    <t>2020-13001-0324</t>
  </si>
  <si>
    <t>Incrementar los encadenamientos productivos y redes de proveeduría en el Distrito de Cartagena de Indias.</t>
  </si>
  <si>
    <t>Disminuir los índices de desempleo y aumentar la competitividad en las actividades económicas formales e informales de la ciudad de Cartagena.</t>
  </si>
  <si>
    <t>2020-13001-0327</t>
  </si>
  <si>
    <t>Aumentar la productividad del tejido productivo de las principales zonas de densidad empresarial de la ciudad a través del aprovechamiento de las economías de aglomeración.</t>
  </si>
  <si>
    <t xml:space="preserve">2020-13001-0325 </t>
  </si>
  <si>
    <t>Aumentar la inserción Laboral de las distintas poblaciones vulnerables, basado en acuerdos que los incorpore en el mercado laboral del Distrito de Cartagena</t>
  </si>
  <si>
    <t>2020-13001-0331</t>
  </si>
  <si>
    <t>Eficiencia de las competencias genéricas y especificas de los sectores lideres de la economía y las apuestas productivas de Cartagena de Indias</t>
  </si>
  <si>
    <t>2020-13001-0297</t>
  </si>
  <si>
    <t>Implementar estrategias de articulación entre actores e iniciativas para el impulso de una cultura de la innovación en Cartagena de Indias.</t>
  </si>
  <si>
    <t>2020-13001-0326</t>
  </si>
  <si>
    <t>Fortalecimiento de las estrategias de promoción y posicionamiento estratégico de la ciudad para la atracción de inversión.</t>
  </si>
  <si>
    <t xml:space="preserve">Diseñar e implementar las estrategias identificadas para el mejoramiento y sostenibilidad de las finanzas en el Distrito de Cartagena de Indias </t>
  </si>
  <si>
    <t>Aumentar en el recaudo de Impuesto predial unificado a través del Plan de Saneamiento Fiscal y Financiero del Distrito de Cartagena.</t>
  </si>
  <si>
    <t>2021-13001-0280</t>
  </si>
  <si>
    <t xml:space="preserve">Establecer medidas de inclusión productivas, sostenible y equitativa en la dimensión económica de la población joven en el Distrito de Cartagena </t>
  </si>
  <si>
    <t>1. Desarrollar la estrategia H2O: Iniciativa productiva y social Juvenil “Aula Productiva 2” y “Aula Productiva 3”</t>
  </si>
  <si>
    <t>2. Aportar incentivos para la puesta en marcha de iniciativas productivas creadas.</t>
  </si>
  <si>
    <t>3. Realizar la coordinación y seguimiento a las actividades del proyecto.</t>
  </si>
  <si>
    <t xml:space="preserve">SECRETARIA DE HACIENDA DISTRITAL </t>
  </si>
  <si>
    <t>DIANA MILENA VILLALBA VALLEJO</t>
  </si>
  <si>
    <t xml:space="preserve">IMPLEMENTACIÓN DE ESTRATEGIAS PARA EL MEJORAMIENTO Y SOSTENIBILIDAD DE LAS FINANZAS EN EL DISTRITO DE CARTAGENA DE INDIAS </t>
  </si>
  <si>
    <t>Número</t>
  </si>
  <si>
    <t>1. Implementar estrategia de comunicación para la divulgación de los procesos de promoción y divulgación para generación y formalización del empleo</t>
  </si>
  <si>
    <t xml:space="preserve">1. Realizar las acciones correspondientes a los compromisos adquiridos por la administración </t>
  </si>
  <si>
    <t>FORTALECIMIENTO E INCLUSIÓN PRODUCTIVA PARA POBLACIÓN NEGRA, AFROCOLOMBIANA, RAIZAL Y PALENQUERA EN EL DISTRITO DE CARTAGENA DE INDIAS</t>
  </si>
  <si>
    <t>Eficiencia en las medidas concertadas de impacto en la inclusión productiva, sostenible y equitativa en la dimensión económica de la población negra, afro, raizales, palenqueros e indígena en el Distrito de Cartagena.</t>
  </si>
  <si>
    <t>2. Asegurar de manera sistémica, participativa y flexible los procesos de fortalecimiento e inclusión productiva para el bienestar económico y social de la población NARP</t>
  </si>
  <si>
    <t>1. Implementar la Sala Situacional de la población Negra, Afro, Raizal y palenquera para el fortalecimiento e inclusión productiva</t>
  </si>
  <si>
    <t>DESARROLLO DE PROYECTOS PRODUCTIVOS PARA LA GENERACIÓN DE INGRESOS EN POBLACIÓN INDÍGENA DEL DISTRITO DE CARTAGENA DE INDIAS</t>
  </si>
  <si>
    <t>2021-13001-0281</t>
  </si>
  <si>
    <t>1. Asesorar en asistencia técnica, metodológica y acompañamiento en la generación de opciones productivas y de ingreso en concordancia al plan de respuesta territorial</t>
  </si>
  <si>
    <t>Porcentaje</t>
  </si>
  <si>
    <t>Moneda</t>
  </si>
  <si>
    <t>IMPLEMENTACIÓN DE ESTRATEGIAS PARA EL MEJORAMIENTO Y SOSTENIBILIDAD DE LAS FINANZAS EN EL DISTRITO DE CARTAGENA DE INDIAS</t>
  </si>
  <si>
    <t>2021-13001-0274</t>
  </si>
  <si>
    <t>2021-13001-0282</t>
  </si>
  <si>
    <t>1. Recursos Propios - ICLD</t>
  </si>
  <si>
    <t>Inversión</t>
  </si>
  <si>
    <t>1. Recursos Propios - ICLD / 2. SGP</t>
  </si>
  <si>
    <t>1. Implementar la plataforma de Clúster-Cartagena (2.0).</t>
  </si>
  <si>
    <t>2. Evaluar periódicamente los resultados obtenidos de la herramienta informática.</t>
  </si>
  <si>
    <t>3. Realizar evaluación y monitoreo a la ejecución de las estrategias.</t>
  </si>
  <si>
    <t>4. Realizar proceso de selección  y vinculación de 200 micro y pequeñas empresas de Cartagena para redes de proveeduría y/o a encadenamientos productivos.</t>
  </si>
  <si>
    <t>SÍ</t>
  </si>
  <si>
    <t>POR DEFINIR</t>
  </si>
  <si>
    <t>2.3.3502.0200.2020130010324</t>
  </si>
  <si>
    <t>2.3.4103.1500.2021130010280</t>
  </si>
  <si>
    <t>1. Implementar estrategia de oferta ampliada de servicios del centro de emprendimiento Distrital al resto de la población cartagenera.</t>
  </si>
  <si>
    <t>2.3.3602.13001.2020130010296</t>
  </si>
  <si>
    <t>1. Desarrollar el programa de formación y capacitación del personal ocupado en los sectores priorizados.</t>
  </si>
  <si>
    <t>2. Facilitar la gestión administrativa y gerencial de la Sec de Hacienda.</t>
  </si>
  <si>
    <t>3. Prestar servicios de asistencia en contabilidad, finanzas, comercio exterior, innovación e investigación a PYMES del Distrito de Cartagena.</t>
  </si>
  <si>
    <t>2.3.3502.0200.2020130010327</t>
  </si>
  <si>
    <r>
      <t>5.</t>
    </r>
    <r>
      <rPr>
        <sz val="7"/>
        <color theme="1"/>
        <rFont val="Times New Roman"/>
        <family val="1"/>
      </rPr>
      <t xml:space="preserve">     </t>
    </r>
    <r>
      <rPr>
        <sz val="11"/>
        <color theme="1"/>
        <rFont val="Calibri"/>
        <family val="2"/>
        <scheme val="minor"/>
      </rPr>
      <t>Administración y gestión del producto.</t>
    </r>
  </si>
  <si>
    <t>2.3.3502.0200.2020130010325</t>
  </si>
  <si>
    <r>
      <t>3.</t>
    </r>
    <r>
      <rPr>
        <sz val="7"/>
        <color theme="1"/>
        <rFont val="Times New Roman"/>
        <family val="1"/>
      </rPr>
      <t xml:space="preserve">     </t>
    </r>
    <r>
      <rPr>
        <sz val="11"/>
        <color theme="1"/>
        <rFont val="Calibri"/>
        <family val="2"/>
        <scheme val="minor"/>
      </rPr>
      <t>Crear en una plataforma donde se ponga a disposición de todos los jóvenes los tres componentes clásicos de la orientación socio-ocupacional, a saber: autoconocimiento, conocimiento del mundo de la formación y conocimiento del mundo del trabajo, además de toda la oferta (pública y privada) de la ciudad relacionada con juventud.</t>
    </r>
  </si>
  <si>
    <r>
      <t>4.</t>
    </r>
    <r>
      <rPr>
        <sz val="7"/>
        <color theme="1"/>
        <rFont val="Times New Roman"/>
        <family val="1"/>
      </rPr>
      <t xml:space="preserve">     </t>
    </r>
    <r>
      <rPr>
        <sz val="11"/>
        <color theme="1"/>
        <rFont val="Calibri"/>
        <family val="2"/>
        <scheme val="minor"/>
      </rPr>
      <t>Definir de manera concertada los estudios de prospectiva laboral que serán desarrollados</t>
    </r>
  </si>
  <si>
    <r>
      <t>5.</t>
    </r>
    <r>
      <rPr>
        <sz val="7"/>
        <color theme="1"/>
        <rFont val="Times New Roman"/>
        <family val="1"/>
      </rPr>
      <t xml:space="preserve">     </t>
    </r>
    <r>
      <rPr>
        <sz val="11"/>
        <color theme="1"/>
        <rFont val="Calibri"/>
        <family val="2"/>
        <scheme val="minor"/>
      </rPr>
      <t>Elaborar estudios de identificación de brechas de capital humano en la ciudad de Cartagena</t>
    </r>
  </si>
  <si>
    <r>
      <t>6.</t>
    </r>
    <r>
      <rPr>
        <sz val="7"/>
        <color theme="1"/>
        <rFont val="Times New Roman"/>
        <family val="1"/>
      </rPr>
      <t xml:space="preserve">     </t>
    </r>
    <r>
      <rPr>
        <sz val="11"/>
        <color theme="1"/>
        <rFont val="Calibri"/>
        <family val="2"/>
        <scheme val="minor"/>
      </rPr>
      <t>Diseñar un banco de oferta de necesidades empresariales en materia de capital humano y fortalecer el capital humano de la ciudad</t>
    </r>
  </si>
  <si>
    <t>2.3.3502.0200.2020130010331</t>
  </si>
  <si>
    <r>
      <t>1.</t>
    </r>
    <r>
      <rPr>
        <sz val="7"/>
        <color theme="1"/>
        <rFont val="Times New Roman"/>
        <family val="1"/>
      </rPr>
      <t xml:space="preserve">     </t>
    </r>
    <r>
      <rPr>
        <sz val="11"/>
        <color theme="1"/>
        <rFont val="Calibri"/>
        <family val="2"/>
        <scheme val="minor"/>
      </rPr>
      <t>Desarrollar Jornada Académica con 6 conferencistas en los temas de: Economía Circular, Transformación Digital en las empresas, Inteligencia Artificial aplicada a los negocios, Ciudades Inteligentes, Economía Creativa y Marketing Digital.</t>
    </r>
  </si>
  <si>
    <r>
      <t>2.</t>
    </r>
    <r>
      <rPr>
        <sz val="7"/>
        <color theme="1"/>
        <rFont val="Times New Roman"/>
        <family val="1"/>
      </rPr>
      <t xml:space="preserve">     </t>
    </r>
    <r>
      <rPr>
        <sz val="11"/>
        <color theme="1"/>
        <rFont val="Calibri"/>
        <family val="2"/>
        <scheme val="minor"/>
      </rPr>
      <t>Desarrollar Jornada de Taller de Innovación.</t>
    </r>
  </si>
  <si>
    <r>
      <t>3.</t>
    </r>
    <r>
      <rPr>
        <sz val="7"/>
        <color theme="1"/>
        <rFont val="Times New Roman"/>
        <family val="1"/>
      </rPr>
      <t xml:space="preserve">     </t>
    </r>
    <r>
      <rPr>
        <sz val="11"/>
        <color theme="1"/>
        <rFont val="Calibri"/>
        <family val="2"/>
        <scheme val="minor"/>
      </rPr>
      <t>Realizar cierre del Encuentro de Innovación, premiar y otorgar reconocimientos a 5 de las mejores ideas innovadoras.</t>
    </r>
  </si>
  <si>
    <r>
      <t>4.</t>
    </r>
    <r>
      <rPr>
        <sz val="7"/>
        <color theme="1"/>
        <rFont val="Times New Roman"/>
        <family val="1"/>
      </rPr>
      <t xml:space="preserve">     </t>
    </r>
    <r>
      <rPr>
        <sz val="11"/>
        <color theme="1"/>
        <rFont val="Calibri"/>
        <family val="2"/>
        <scheme val="minor"/>
      </rPr>
      <t>Realizar convocatoria y proceso de inscripción de iniciativas de innovación e investigación.</t>
    </r>
  </si>
  <si>
    <r>
      <t>5.</t>
    </r>
    <r>
      <rPr>
        <sz val="7"/>
        <color theme="1"/>
        <rFont val="Times New Roman"/>
        <family val="1"/>
      </rPr>
      <t xml:space="preserve">     </t>
    </r>
    <r>
      <rPr>
        <sz val="11"/>
        <color theme="1"/>
        <rFont val="Calibri"/>
        <family val="2"/>
        <scheme val="minor"/>
      </rPr>
      <t>Realizar proceso de evaluación de propuestas según los parámetros y requisitos establecidos en convocatoria.</t>
    </r>
  </si>
  <si>
    <r>
      <t>6.</t>
    </r>
    <r>
      <rPr>
        <sz val="7"/>
        <color theme="1"/>
        <rFont val="Times New Roman"/>
        <family val="1"/>
      </rPr>
      <t xml:space="preserve">     </t>
    </r>
    <r>
      <rPr>
        <sz val="11"/>
        <color theme="1"/>
        <rFont val="Calibri"/>
        <family val="2"/>
        <scheme val="minor"/>
      </rPr>
      <t>Premiar a las tres iniciativas más innovadoras.</t>
    </r>
  </si>
  <si>
    <r>
      <t>7.</t>
    </r>
    <r>
      <rPr>
        <sz val="7"/>
        <color theme="1"/>
        <rFont val="Times New Roman"/>
        <family val="1"/>
      </rPr>
      <t xml:space="preserve">     </t>
    </r>
    <r>
      <rPr>
        <sz val="11"/>
        <color theme="1"/>
        <rFont val="Calibri"/>
        <family val="2"/>
        <scheme val="minor"/>
      </rPr>
      <t>Realizar 1 Hackaton y 1 bootcamp para promover la participación ciudadana con propuestas de Ciencia, Tecnología e Innovación para la resolución de problemas reales ciudadanos</t>
    </r>
  </si>
  <si>
    <r>
      <t>8.</t>
    </r>
    <r>
      <rPr>
        <sz val="7"/>
        <color theme="1"/>
        <rFont val="Times New Roman"/>
        <family val="1"/>
      </rPr>
      <t xml:space="preserve">     </t>
    </r>
    <r>
      <rPr>
        <sz val="11"/>
        <color theme="1"/>
        <rFont val="Calibri"/>
        <family val="2"/>
        <scheme val="minor"/>
      </rPr>
      <t>Realizar contratación de un estudio de pre factibilidad de un Parque Tecnológico en Cartagena.</t>
    </r>
  </si>
  <si>
    <r>
      <t>9.</t>
    </r>
    <r>
      <rPr>
        <sz val="7"/>
        <color theme="1"/>
        <rFont val="Times New Roman"/>
        <family val="1"/>
      </rPr>
      <t xml:space="preserve">     </t>
    </r>
    <r>
      <rPr>
        <sz val="11"/>
        <color theme="1"/>
        <rFont val="Calibri"/>
        <family val="2"/>
        <scheme val="minor"/>
      </rPr>
      <t>Realizar apoyo a la implementación del sistema de innovación Distrital a través de la coordinación del proyecto.</t>
    </r>
  </si>
  <si>
    <t>2.3.3602.13001.2020130010297</t>
  </si>
  <si>
    <t>1.Implementar una estrategia de promoción y posicionamiento de la ciudad</t>
  </si>
  <si>
    <t>2. Implementar un sistema de información hacia el inversionista.</t>
  </si>
  <si>
    <t>3. Implementación de la Ventanilla Única Empresarial.</t>
  </si>
  <si>
    <t>4. Coordinar las actividades del proyecto.</t>
  </si>
  <si>
    <t>2.3.3602.13001.2020130010326</t>
  </si>
  <si>
    <t>1. Realización de la gestión catastral en el Distriro de Cartagena como estrategia de impacto para la gestión de recaudo</t>
  </si>
  <si>
    <t>2. Realizar acciones para la gestión del recaudo desde las acciones persuasivas y coactivas en el Distrito de Cartagena de Indias</t>
  </si>
  <si>
    <t>2.3.3603.1300.2020130010059</t>
  </si>
  <si>
    <t>2.3.4103.1500.2021130010282</t>
  </si>
  <si>
    <t>2.3.4599.1000.2021130010274</t>
  </si>
  <si>
    <t>2.3.4103.1500.2021130010281</t>
  </si>
  <si>
    <t>2. Administración y gestión del producto.</t>
  </si>
  <si>
    <t>2. Definir la ruta para el diseño o adopción de guías metodológicas para el desarrollo de las acciones de orientación socio-ocupacional en las escuelas de la ciudad y capacitar a los profesores en estas herramientas.</t>
  </si>
  <si>
    <r>
      <t>1.</t>
    </r>
    <r>
      <rPr>
        <sz val="7"/>
        <color theme="1"/>
        <rFont val="Times New Roman"/>
        <family val="1"/>
      </rPr>
      <t> </t>
    </r>
    <r>
      <rPr>
        <sz val="11"/>
        <color theme="1"/>
        <rFont val="Calibri"/>
        <family val="2"/>
        <scheme val="minor"/>
      </rPr>
      <t>Realizar en conjunto con la secretaría de educación un proyecto de orientación socio-ocupacional para el ciclo educativo, en especial en la educación secundaria y media</t>
    </r>
  </si>
  <si>
    <t>8. Establecer la oficina del Sistema Distrital de Empleos Inclusivos (SDEIN), como estrategia del comité de seguimiento a las condiciones de empleabilidad en la ciudad</t>
  </si>
  <si>
    <t>7. Fortalecimiento de habilidades blandas: Habilidades de negociación, comunicación y trabajo en equipo, habilidades gerenciales, creatividad e innovación.</t>
  </si>
  <si>
    <r>
      <t>6.</t>
    </r>
    <r>
      <rPr>
        <sz val="7"/>
        <color theme="1"/>
        <rFont val="Times New Roman"/>
        <family val="1"/>
      </rPr>
      <t> </t>
    </r>
    <r>
      <rPr>
        <sz val="11"/>
        <color theme="1"/>
        <rFont val="Calibri"/>
        <family val="2"/>
        <scheme val="minor"/>
      </rPr>
      <t>Asegurar la consolidación de empresa con la estrategia "Nuestra Apuesta son las Mipymes"</t>
    </r>
  </si>
  <si>
    <r>
      <t xml:space="preserve">4. </t>
    </r>
    <r>
      <rPr>
        <sz val="11"/>
        <color theme="1"/>
        <rFont val="Calibri"/>
        <family val="2"/>
        <scheme val="minor"/>
      </rPr>
      <t>Identificar las características y barreras de empleabilidad de los grupos poblacionales vulnerables.</t>
    </r>
  </si>
  <si>
    <r>
      <t>3.</t>
    </r>
    <r>
      <rPr>
        <sz val="7"/>
        <color theme="1"/>
        <rFont val="Times New Roman"/>
        <family val="1"/>
      </rPr>
      <t xml:space="preserve">  </t>
    </r>
    <r>
      <rPr>
        <sz val="11"/>
        <color theme="1"/>
        <rFont val="Calibri"/>
        <family val="2"/>
        <scheme val="minor"/>
      </rPr>
      <t>Firma de alianzas entre los actores del Ecosistema de Emprendimiento y empleos inclusivos para el desarrollo de trabajo colaborativo</t>
    </r>
  </si>
  <si>
    <t xml:space="preserve">2022-13001-0001 </t>
  </si>
  <si>
    <t>Reporte Meta Producto Ejecutada de enero 1 a marzo 31 de 2022</t>
  </si>
  <si>
    <t>Reporte Actividad Proyecto ejecutada de enero 1 a 31 de marzo de 2022</t>
  </si>
  <si>
    <t>Indicar si el rubro esta marcado como trazador de género (SÍ / NO)</t>
  </si>
  <si>
    <t>NO</t>
  </si>
  <si>
    <t>}NO</t>
  </si>
  <si>
    <t>Para el cumplimiento de este programa, se diseñó un plan de trabajo dividido en 4 trimestres. Esta subdivisión de trabajo, se caracteriza por contar con una etapa de alistamiento y planeación; la segunda de vinculación y contractual; la tercera de control y seguimiento y; la última de alistamiento para cumplimiento de la productividad en la zona de aglomeración priorizada. 
Plan de trabajo 
Primer trimestre	Alistamiento y planeación estratégico	25%
Segundo trimestre	Vinculación y contractual 	25%
Tercer trimestre	Control y contractual 	25%
Cuarto trimestre	Control y supervisión	25%
Para mayor información por favor remitirse al informe y documentos soportes de este programa.</t>
  </si>
  <si>
    <t>Diseñar la ventanilla única empresarial</t>
  </si>
  <si>
    <t>El programa Cartagena Destino de Inversión para presente vigencia tiene como propósito el sostenimiento de las metas ya cumplidas en vigencias anteriores del Plan de Desarrollo Distrital “Salvemos juntos a Cartagena, por una Cartagena libre y resiliente- 2020-2023”, durante el primes trimestre del 2022 se realizaron acciones orientadas a la planeación, seguimiento y mejoras a la implementación de las etapas diseñadas en el marco del proyecto de inversión, por esta razón se describe a continuación detalle de las actividades desarrolladas: 
•	Elaboración de Plan del Programa en el marco del programa Cartagena Destino de Inversión 
•	Rastreo de Estrategias de posicionamiento en otras ciudades 
•	Elaboración de Plan de Acción de las actividades a Realizar durante el año 2022 en el marco del programa Cartagena Destino de Inversión 
•	Proyección de propuesta ejecutiva y económica para Estudios Previos del Programa Cartagena Destino de Inversión 
•	Proyección de propuesta mediante el formato planificador de evento para una feria en el marco del programa Cartagena Destino de Inversión
•	Formato interno para presentación TDR
Para mayor información por favor remitirse al informe y documentos soportes de este programa.</t>
  </si>
  <si>
    <t>Reporte Meta Producto Ejecutada de abril 1 a junio 30 de 2022</t>
  </si>
  <si>
    <t>Reporte Actividad Proyecto ejecutada de abril 1 a 30 de junio de 2022</t>
  </si>
  <si>
    <t>Reporte Ejecución Presupuestal 2022</t>
  </si>
  <si>
    <t>% de avance de Ejecución Presupuestal 2022</t>
  </si>
  <si>
    <t xml:space="preserve">Nos encontramos en la etapa de preparación del proyecto de Acuerdo que se presentará próximamente ante la Corporación Administrativa que contendrá la relación de cada uno de los pasivos exigibles certificados por las Unidades Ejecutoras con los beneficiarios de los compromisos adquiridos. </t>
  </si>
  <si>
    <t>Para el periodo actual de reporte, se tiene presente el documento de Ruta de trabajo colaborativo con los consejos comunitarios el cual permite desarrollar las actividades necesarias para el cumplimiento de las metas. 
Basado en lo anterior, nos centramos en desarrollar la Estrategia “Modelo Alternativo de Economía Comunitaria” a través de la “Sala situacional” como espacio para planificar, organizar, hacer seguimiento y control a las acciones que beneficiarán a la población negra, afrocolombiana, raizal y palenquera en el distrito de Cartagena de indias
Para mayor información por favor remitirse al informe y documentos soportes de este programa.</t>
  </si>
  <si>
    <t>Para el periodo actual de reporte, se tiene presente el documento de trabajo técnico desde el momento No. 3 que permite desarrollar las actividades necesarias para el cumplimiento de las metas. 
Basado en lo anterior, nos centramos en los momentos No 3: “implementar la estrategia “Nuestra respuesta territorial son tus Iniciativas colectivas” que permitirán planificar y organizar ya sean las ideas o los fortalecimientos de acuerdo a las líneas de proyectos validadas entre las partes. 
Para mayor información por favor remitirse al informe y documentos soportes de este programa.</t>
  </si>
  <si>
    <t>Reporte de actividad ejecutada de 1 de julio a 30 de septiembre de 2022</t>
  </si>
  <si>
    <t>Para el cumplimiento de la meta establecida en el plan de desarrollo, desde el programa empleo inclusivo para los jóvenes se diseñó la estrategia H2O, a partir de la cual en la vigencia 2022 se programó el cumplimiento de la siguiente manera:
Primer Trimestre	Planeación estratégica y alistamiento	20%
Segundo trimestre Aulas productivas y acompañamiento social 	30%
Tercer trimestre Aulas productivas y acompañamiento social 30%
Cuarto trimestre Seguimiento unidades creadas 20%
A la fecha de este informe se reportan las 3 aulas de formación realizadas y el programa se encuentra en gestionando proceso contractual para entrega de capital semilla a los jóvenes. Para mayor información por favor remitirse al informe y documentos soportes de este programa.</t>
  </si>
  <si>
    <t>Mediante la celebración de un convenio con la Universidad tecnológica de Bolívar se llevará a cabo el Programa Cartagena, Ciudad Innovadora, para el cumplimiento de las 3 metas programadas para esta vigencia dentro del Plan de Desarrollo “Salvemos Juntos a Cartagena”. 
Para mayor información por favor remitirse al informe y documentos soportes de este programa.</t>
  </si>
  <si>
    <t>Reporte meta producto ejecutada de 1 de julio a 30 de septiembre de 2022</t>
  </si>
  <si>
    <t>Apropiación definitiva (en pesos)</t>
  </si>
  <si>
    <t>Modificaciones (en pesos)</t>
  </si>
  <si>
    <t>En el tercer trimestre, se adelentaron acciones para el cumplimiento de las metas programadas tal como se detalle en el informe anexo a este documento.
Para mayor información por favor remitirse al informe soporte de este programa.</t>
  </si>
  <si>
    <t xml:space="preserve">Para abordar el cumplimiento de la meta establecida en la vigencia 2022, tomamos la actividad de los siguientes pactos:
1. “Pactos que Cierran Brechas de Empleabilidad: Movilizando El Empleo Con Transcaribe”
2. Pacto “GO EMPLEO” cerrando Brechas de empleabilidad con Unidad Administrativa Especial de Catastro Distrital – Catastro Bogotá y Secretaría de Hacienda Distrital de Cartagena. 
3. Firma del Pacto Acuerdo Territorial para el Cierre de Brecha de Empleabilidad “SENSIBILIZACION PARA LA FORMALIDAD LABORAL” que tiene como actores a FENALCO, ACOPI, ORMET, CORPOTURISMO Y CRCI.
Para mayor información por favor remitirse al informe y documentos soportes de este programa.
</t>
  </si>
  <si>
    <t xml:space="preserve">Durante este trimestre, a través de alianza con el ministerio del trabajo, se logró gestar la realización de 5 ejercicios de prospectiva laboral que se desarrollaron con el acompañamiento de esta entidad y que contaron con amplia participación.  Además, se realizaron otros importantes avances para el cumplimiento de las metas programadas. 
Para mayor información por favor remitirse al informe y documentos soportes de este programa.
</t>
  </si>
  <si>
    <t xml:space="preserve">En los casos específicos de Sobre Tasa a la Gasolina y por concepto de Delineación Urbana los datos se encuentran actualizados a corte de 31 de agosto de 2022, toda vez que los responsables declaran y pagan los 15 primeros días del mes siguiente al que se causó, por lo que los responsables de las declaraciones tendrán hasta el 15 del siguiente mes para declarar y pagar. Así pues, estos datos podrán ser actualizados hasta el 28 de octubre de 2022 teniendo en cuenta los procesos de cierres que incluyen también a las entidades bancarias.               
Nota: Los valores correspondientes al recaudo por sobretasa a la gasolina y delineación urbana del primer trimestre y segundo trimestre fueron actualizados, es decir, se realizó la modificación al valor correspondiente al primer y segundo trimestre de 2022.              
Para mayor información por favor remitirse al informe y documentos soportes de este programa.
</t>
  </si>
  <si>
    <t>En el marco de este programa,  el Acuerdo de Financiación CONV-CI-UAC-059-2021 con el Programa de las Naciones Unidas para el Desarrollo, con el fin de cumplir un compendio de metas del Plan de Desarrollo Distrital. Este Acuerdo fue firmado el 31 de diciembre de 2021. A la fecha se encuentra creado el Centro de emprendimiento y gestón de la empleabilidad, el cual está operando actualmente en el barrio Villa Estrella. Este año mediante Distrito E se realizarán 2.000 operaciones financieras
Para mayor información por favor remitirse al informe y documentos soportes de este programa.</t>
  </si>
  <si>
    <t>COMENTARIOS ULTIMO TRIMESTRE (oct-dic)</t>
  </si>
  <si>
    <t xml:space="preserve">•	Se implementó la versión 2.0 de la plataforma Clúster Cartagena. El despliegue se realizó el  día 28 de diciembre de 2022. Como  evidencia Anexo 1. Link de la plataforma clúster 2.0  https://cluster.cartagena.gov.co/
•	Participación de la Plataforma Clúster Cartagena 2.0 en la Feria de innovación Publica, el día 22 de diciembre de 2022 en el Hotel San Lázaro. Anexo 2.
•	"En el marco de la ejecución de la estrategia de proveedores diseñada ""Fomentar la generación de alianzas entre las MiPymes de la ciudad de Cartagena brindando espacio para el relacionamiento: “Alianzas que rompen barreras" se realizaron dos espacios para el relacionamiento donde se propició el acercamiento entre los empresarios locales y se promovió la generación de alianzas como mecanismo para mejorar indicadores de competitividad en el tejido empresarial local.   El primer espacio consistió en la realización de una rueda de relacionamiento denominada   "Encadenamientos productivos; Alianzas que rompen barreras”, la cual se llevó a cabo el día 22 de noviembre de 2022 en el hotel intercontinental. En la rueda de relacionamiento participaron 42 empresarios y emprendedores los cuales tuvieron la oportunidad de conocerse e intercambiar contactos con el objetivo de generar alianzas estrategias y consolidad oportunidades de negocios. las evidencias de esta rueda de relacionamiento se encuentran contenidas en el Anexo 3.  El segundo espacio de relacionamiento consistió en la realización del Primer Encuentro de miembros de la Red de Proveeduría y Fortalecimiento Empresarial de Cartagena, el cual se realizó con el propósito de fomentar la generación de relaciones de confianza entre los miembros, a través de una metodología de relacionamiento. Este encuentro se llevó a cabo el día 22 de diciembre de 2022, en el Edificio Grupo Área. Las evidencias del Encuentro están contenidas en el Anexo 4."
•	En el marco de la ejecución de la estrategia de proveedores diseñada “Fomentar la innovación en las MiPymes: “La Innovación: Mecanismo para incorporar a las MiPymes a los encadenamientos productivos y redes de proveeduría” se realizó el Taller de “Innovación Empresarial: Un mecanismo para potenciar su negocio” En el taller se realizó el día 20 de diciembre de 2022, en el edificio Grupo Área, en este participaron empresarios y emprendedores los cuales aprendieron a implementar herramientas claves para aplicar la innovación en sus negocios y hacer de esta un proceso de desarrollo continuo que les permita hacer su empresa más competitiva. Al final del taller cada participante logro darle solución creativa a una problemática actual que enfrenta su empresa o emprendimiento.  Las evidencias del taller se encuentran en el Anexo 5
•	"Se logró la Vinculación de 209 empresas a la Red de Proveeduría y Fortalecimiento Empresarial de Cartagena (RPFE), la cual surge como instancia de articulación creada por la Alcaldía de Cartagena, con el apoyo de la Red de Inclusión Productiva (REDIP), el día 16 de noviembre de 2022 a través de la firma de un acuerdo de voluntades (Anexo 6 y 7) entre las partes. En la RPFE el Sector Privado, el Público y la Academia podrán interactuar con el fin de crear estrategias y acciones encaminadas a mejorar los niveles de productivas y competitividad de las empresas, a través de la generación de capacidades territoriales y fortalecimiento del tejido empresarial de la Ciudad. La vinculación de estas empresas se logró con la socialización de esta en tres espacios.
•	El primer espacio de socialización y Lanzamiento de la Red se dio el día 17 de noviembre en el marco del evento Innova Latam y ProClúster en el Centro de Convenciones de Cartagena. (Anexo 8). El segundo espacio de socialización y vinculación se dio el 22 de noviembre de 2022 en el marco del evento Investment Summit 2022 realizado en el hotel intercontinental. (Anexo 9). El tercer espacio de socialización y vinculación se dio el 09 de diciembre de 2022 a los miembros de la Red de Inclusión Productiva (REDIP). (Anexo 10). Cabe resaltar que la meta de vinculación  para la vigencia 2022 era de 10 empresas, este año se logró dar alcance a la meta del cuatrienio que era 200 empresas, dado que a 31 de diciembre hay un total de 209 empresas vinculadas a la Red de Proveeduría y Fortalecimiento Empresarial de Cartagena (RPFE)."
</t>
  </si>
  <si>
    <t>Reporte meta producto ejecutada de 1 de octubre a 31 de diciembre de 2022</t>
  </si>
  <si>
    <t xml:space="preserve"> - Se ejecutó el contrato MC-SHD-005-2022 que permitió la creación de la plataforma de Orientación Socio-Ocupacional para jóvenes en Cartagena “Cartagena, Tú y Yo Construimos”, una plataforma web dispuesta para que los jóvenes exploren los tres componentes básicos de la orientación socio-ocupacional, a saber: el mundo del autoconocimiento, mundo de la formación y mundo del trabajo, además un espacio dispuesto para la creación de los perfiles ocupacionales.
-Se formalizó la alianza con Fundación Corona mediante la firma del Convenio de Colaboración 053 de 2022, para la adopción e implementación de la metodología de Orientación Socio-Ocupacional en las instituciones oficiales de Cartagena.
-Se formalizó la alianza con la Universidad Tecnológica de Bolívar como presidente de la mesa técnica del Comité Universidad Empresa Estado – CUEE Bolívar, específicamente la mesa de capital humano mediante Convenio de Cooperación Interinstitucional 065 de 2022, para la creación de la instancia de articulación interinstitucional para la planeación de la oferta educativa postmedia en Cartagena.
-Se desarrollaron cinco (5) ejercicios de prospectiva laboral y de identificación de brechas de capital humano en alianza con el Ministerio del Trabajo desde la Subdirección de análisis, monitoreo y prospectiva laboral.</t>
  </si>
  <si>
    <t>Reporte de actividad ejecutada de 01 de octubre a 31 de diciembre de 2022</t>
  </si>
  <si>
    <t xml:space="preserve">Observación 1 julio a 30 septiembre </t>
  </si>
  <si>
    <r>
      <t xml:space="preserve">En el marco del III encuentro anual de Innovació en Cartagena, durante los días </t>
    </r>
    <r>
      <rPr>
        <b/>
        <sz val="11"/>
        <color theme="1"/>
        <rFont val="Calibri"/>
        <family val="2"/>
        <scheme val="minor"/>
      </rPr>
      <t>13, 14 y 15 de diciembre</t>
    </r>
    <r>
      <rPr>
        <sz val="11"/>
        <color theme="1"/>
        <rFont val="Calibri"/>
        <family val="2"/>
        <scheme val="minor"/>
      </rPr>
      <t xml:space="preserve"> se llevó a cabo la jornada académica con los conferencistas: </t>
    </r>
    <r>
      <rPr>
        <b/>
        <sz val="11"/>
        <color theme="1"/>
        <rFont val="Calibri"/>
        <family val="2"/>
        <scheme val="minor"/>
      </rPr>
      <t>Jason Roncancio-</t>
    </r>
    <r>
      <rPr>
        <sz val="11"/>
        <color theme="1"/>
        <rFont val="Calibri"/>
        <family val="2"/>
        <scheme val="minor"/>
      </rPr>
      <t xml:space="preserve">Innovación Social; </t>
    </r>
    <r>
      <rPr>
        <b/>
        <sz val="11"/>
        <color theme="1"/>
        <rFont val="Calibri"/>
        <family val="2"/>
        <scheme val="minor"/>
      </rPr>
      <t>Ana Lucia Lecompet</t>
    </r>
    <r>
      <rPr>
        <sz val="11"/>
        <color theme="1"/>
        <rFont val="Calibri"/>
        <family val="2"/>
        <scheme val="minor"/>
      </rPr>
      <t xml:space="preserve">-Nuevas tecnologías en el sector de Tours y actividades; </t>
    </r>
    <r>
      <rPr>
        <b/>
        <sz val="11"/>
        <color theme="1"/>
        <rFont val="Calibri"/>
        <family val="2"/>
        <scheme val="minor"/>
      </rPr>
      <t>Diana Rojas</t>
    </r>
    <r>
      <rPr>
        <sz val="11"/>
        <color theme="1"/>
        <rFont val="Calibri"/>
        <family val="2"/>
        <scheme val="minor"/>
      </rPr>
      <t xml:space="preserve"> -Innovación abierta como estrategia para implementar  tecnologias exponenciales en las organizaciones; </t>
    </r>
    <r>
      <rPr>
        <b/>
        <sz val="11"/>
        <color theme="1"/>
        <rFont val="Calibri"/>
        <family val="2"/>
        <scheme val="minor"/>
      </rPr>
      <t>Joao Silva</t>
    </r>
    <r>
      <rPr>
        <sz val="11"/>
        <color theme="1"/>
        <rFont val="Calibri"/>
        <family val="2"/>
        <scheme val="minor"/>
      </rPr>
      <t xml:space="preserve"> -inversión e impacto, nuevas consideraciones de crecimiento; </t>
    </r>
    <r>
      <rPr>
        <b/>
        <sz val="11"/>
        <color theme="1"/>
        <rFont val="Calibri"/>
        <family val="2"/>
        <scheme val="minor"/>
      </rPr>
      <t>Jorge Cogollo</t>
    </r>
    <r>
      <rPr>
        <sz val="11"/>
        <color theme="1"/>
        <rFont val="Calibri"/>
        <family val="2"/>
        <scheme val="minor"/>
      </rPr>
      <t xml:space="preserve">- Ciudades inteligentes; </t>
    </r>
    <r>
      <rPr>
        <b/>
        <sz val="11"/>
        <color theme="1"/>
        <rFont val="Calibri"/>
        <family val="2"/>
        <scheme val="minor"/>
      </rPr>
      <t>Juan Pablo Vélez-</t>
    </r>
    <r>
      <rPr>
        <sz val="11"/>
        <color theme="1"/>
        <rFont val="Calibri"/>
        <family val="2"/>
        <scheme val="minor"/>
      </rPr>
      <t xml:space="preserve">Sector productivo como motor de desarrollo economico e innovación en Cartagena (Ver anexo 1).   
</t>
    </r>
    <r>
      <rPr>
        <b/>
        <sz val="11"/>
        <color theme="1"/>
        <rFont val="Calibri"/>
        <family val="2"/>
        <scheme val="minor"/>
      </rPr>
      <t xml:space="preserve">El día 13 y 14de diciembre se desarrolló jornada de teller de innovación </t>
    </r>
    <r>
      <rPr>
        <sz val="11"/>
        <color theme="1"/>
        <rFont val="Calibri"/>
        <family val="2"/>
        <scheme val="minor"/>
      </rPr>
      <t xml:space="preserve">con los facilitadores: Gustavo Orjuela- ¿Cómo las empresas pueden generar innovación disruptiva a través de las Start up? y Lina Arbeláez- "Estrategias de fomento de innovación" (Ver anexo 2).  
</t>
    </r>
    <r>
      <rPr>
        <b/>
        <sz val="11"/>
        <color theme="1"/>
        <rFont val="Calibri"/>
        <family val="2"/>
        <scheme val="minor"/>
      </rPr>
      <t xml:space="preserve">El día 15 de diciembre se realizó el cierre del encuentro de innovación </t>
    </r>
    <r>
      <rPr>
        <sz val="11"/>
        <color theme="1"/>
        <rFont val="Calibri"/>
        <family val="2"/>
        <scheme val="minor"/>
      </rPr>
      <t xml:space="preserve">, al mismo tiempo que se otorgó reconocimiento a 4 de las mejores ideas innovadoras, resultado del "Concurso de inventivo a la Innovación en Cartagena" (ver anexo 3). 
</t>
    </r>
    <r>
      <rPr>
        <b/>
        <sz val="11"/>
        <color theme="1"/>
        <rFont val="Calibri"/>
        <family val="2"/>
        <scheme val="minor"/>
      </rPr>
      <t>Del 9 al 27 de noviembre</t>
    </r>
    <r>
      <rPr>
        <sz val="11"/>
        <color theme="1"/>
        <rFont val="Calibri"/>
        <family val="2"/>
        <scheme val="minor"/>
      </rPr>
      <t xml:space="preserve"> se realizó la convocatoria y las inscripciones de iniciativas de innovación e investigacion en la ciudad de Cartagena (ver anexo 4).  La metodología utilizada fue: creación de cronograma parfa la creación y publicación de piezas graficas las cuales fueron divulgadas en las diferentes plataformas digitales de la Universidad Tecnológica de Bolívar y la Secretaría de Hacienda Distrital;  se realizó una jornada presenciales de socialización de los términos de referencia del concurso y se realizó video clip con uno de los ganadores de la versión 2021 del concurso de innovación en Cartagena
Durante los dias</t>
    </r>
    <r>
      <rPr>
        <b/>
        <sz val="11"/>
        <color theme="1"/>
        <rFont val="Calibri"/>
        <family val="2"/>
        <scheme val="minor"/>
      </rPr>
      <t xml:space="preserve"> 29 de noviembre y 2 de diciembre </t>
    </r>
    <r>
      <rPr>
        <sz val="11"/>
        <color theme="1"/>
        <rFont val="Calibri"/>
        <family val="2"/>
        <scheme val="minor"/>
      </rPr>
      <t xml:space="preserve">se realizó evaluación por parte de pares expertos en el tema de innovación. (ver anexo 5).
</t>
    </r>
    <r>
      <rPr>
        <b/>
        <sz val="11"/>
        <color theme="1"/>
        <rFont val="Calibri"/>
        <family val="2"/>
        <scheme val="minor"/>
      </rPr>
      <t>El dia  15 de diciembre se hizo premiación de las cuatro mejores iniciativas de innovación en la ciudad</t>
    </r>
    <r>
      <rPr>
        <sz val="11"/>
        <color theme="1"/>
        <rFont val="Calibri"/>
        <family val="2"/>
        <scheme val="minor"/>
      </rPr>
      <t>. La primera idea  de innovación corresponde a la categoria ciudades sostenbles, la cual tiene como objetivo "mejorar la movilidad en Cartagena a través de un sistema público de red de motocicletas eléctricas que funcionan con energía solar y  son  monitoreadas por GPS"; la segunda iniciativa, correspondiente a la categoría educación , tiene como objetivo "fortalecer el proceso de enseñanza -aprendizaje a partir de la diversificación de la oferta educativa desde las habilidades, destrezas y potencialidades de los niños, así como el aprovechamiento de diversas disciplinas artísticas para un desarrollo sostenible en Cartagena"; la tercera iniciativa, en la categoría género, tiene como finalidad, "Generar empoderamiento en las mujeres a partir de la creación de unidades productivas con enfoque inclusivo para una economía familiar y comunitaria", y por último en la categoría medio ambiente, el objetivo de la propuesta es "Aprovechar los residuos orgánicos del mercado de Bazurto para la creación de concentrado con alto valor alimenticio para animales de granja, a bajo costo y responsables con el medio ambiente" (Ver anexo 6).  Las cuatro personas ganadoras del concurso de Incentivo a la Innovación recibieron como premio una beca para cursar la maestría en Gestión de la Innovación en la Universidad Tecnológica de Bolívar (Ver anexo 7).
Teniendo en cuenta que el sistema, fue creado, se le apostó a sostener el sistema a traves de la vinculación de los actores a cada una de las actividades desarrolladas. 
Se cumplió en 50% la actividad de bootcamp a través de alianza con CIENTECH "Crearlo no es suficiente"</t>
    </r>
  </si>
  <si>
    <t>1. El dia 17 de noviembre de 2022 se hizo el lanzamiento de la Red de Proveeduría y Fortalecimiento Empresarial - RPFE en el evento Innovalatam para empezar el proceso vinlación de empresas. (ver anexo 1) 
2. Se logró la vinculación de 209 empresas a la RPFE (Centro de servicios empresariales), la cual tenía como meta 2022 un total de 127 empresas, por lo cual se logró la meta en un 49,5%. Para poder alcanzar esta meta, se realizaron difuciones por medios de comunicaciones oficiales y correso masivos invitando al empresariodo local a que se vinculen a la presente inciativa. En este mismo sentido, el dia 16 de noviembre, se realizó la firma entre aliado y la Alcaldía para crear la RPFE (ver anexos 2).
3. Se promovió el fortalecimiento de la RPFE mediante la ejecución de 2 encuentros, uno para fortalecimiento empresarial el día 22 de diciembre de 2022 (ver anexo 3) para potenciar el crecimiento mediante la aplicación de la Innovación dentro de la estrucctura empresarial y un encuentro de los miembros el día 20 de diciembre de 2022 (ver anexo 4) de 2022. 
4. Para poder consolidar el proceso de vinculación de las empresas con la alcaldía de cartagena se creo un formato de vinculación (ver evidencia 5). 
6. Se realizó la aplicación del instrumento de medición de la productividad sobre los miembros de la RPFE. Lo anterior se realizó para tener un nivel base de productividad y contrastar con el ejercicio de fortalecimiento empresarial sobre los empresarios al finalizar el proceso de asistencia tecnica (ver anexo 6)
Vinculación: De lo proyectado en el plan de trabajo anual, se logró vincular al 49,5% de las unidades censadas al centro de servicios empresariales que es la alcaldía. 
Productividad: Se realizó el ejercicio de aplicación del instrumento de medición del nivel de productividad laboral para poder ser contrastado al finalizar el proceso de asistencia técnica y verificar el aumento en el nivel de productividad de las empresas asistidas.</t>
  </si>
  <si>
    <t xml:space="preserve">Se brindó asistencia técnica y fortalecimiento a 3 unidades productivas de los cabildos CAIZEM, y ,KAINZERUPAB  a través del ocnvenio de asociación No. 046 de 2022, se detallan algunas acciones:
Desde la sala situacional se definió los consejos comunitarios a trabajar de acuerdo con el fraccionamiento de la meta en los cuatro años.
Desde la sala situacional se solicitó los consejos comunitarios a trabajar en la vigencia 2022, el cual se respondió vía sigob Oficio AMC-OFI-0017620-2022 Eje transversal.
Se diseño la Estrategia “MODELO ALTERNATIVO DE ECONOMIA COMUNITARIA -MAE-COMUN-, cual fue validada en la Casa AIKU de crespo con los 16 consejos comunitarios para esta esta vigencia 2022-05-10.
Diseño de términos de referencias que generaron el proceso de contratación.
Es así como en este último trimestre de 2022, se reporta un importante proceso a través del cual se realizó fortalecimiento y asistencia técnica a los cabildos en el convenio en mención. </t>
  </si>
  <si>
    <t>Se brindó asistencia técnica para el fortalecer a un consejo comunitario en el marco de la sala situacional creada en alizanza con secretaría del interior, sin embargo es preciso mencionar algunas dificultades que incidieron en el proceso: 
Es preciso mencionar algunas dificultades que se presentaron en el proceso con población NARP en el siguiente orden:
Poblacional; el nivel de respuesta dentro de los consejos comunitarios fue bajo en cuanto a la dinámica propia del ejercicio de asistencia y acompañamiento por parte del administrador del producto dentro del programa para NARP.
2Institucional; Se trabajo en un proceso de contratación que luego de adelantar todos los tramites no se logró la autorización para que la intervención de los consejos comunitarios se adicionara al convenio con el PNUD y así lograr la realización de operaciones financieras a través de capital semilla bajo el modelo establecido en el Centro de Emprendimiento – Distrito E, esto fue definido en el mes de agosto de 2022 fecha en la cual se inicia la restructuración del proceso contractual el cual luego por los tiempos y ante riesgo de fallas en la ejecución por poco tiempo no culminó y fue reprogramado para 2023, año para el cual está la planificación para el cumplimiento de la meta del cuatrienio.</t>
  </si>
  <si>
    <t>"Cómo parte de la estrategia de promoción y posicionamiento de la ciudad se desarrolló:
1. Evento de inversión Cartagena Investment Summit en el cual se destacaron las posicionalidades del destino para instalar empresas según las apuestas productivas y criterios de sostenibilidad  (Ver anexo.1)
2.  Campaña publicitaria Cartagena, aquí lo tienes todoa  traves de canales digitales resaltando las fortalezas del destino para la inversión, realizado el 22 de noviembre (Ver anexo 2)
3. Se promovió la captación de inversión a traves de la atención a inversionista en los siguientes ambitos: apoyo a nueve (9) empresas o proyectos en su instalación en Cartagena, el acompañamiento a diecisite (17) inversionistas en su fase explotaría y toma de decisión en Cartagena, el apoyo y respuesta a mínimo veinticinco (25) solicitudes de información a inversionistas con cifras, datos etc  (Ver anexos 3)"
Cómo parte de la implementación y sostenibilidad del sistema de información hacia el inversionista, se realizó procesos de mejoras de la plataforma con el acompañmiento con la Oficina Asesora Informatica (Ver anexo. 4)
"Como parte de la implementación de la VUE se realizaron las siguientes acciones:
1. Presentación de la plataforma VUE en la feria de la innovación pública de la Escuela Gobierno realizada el 22 de diciembre
2. Acompañamiento y seguimiento a la eliminación del cobro de uso de suelo, la racionalziación y virtualziación de este mismo proceso. Actualziación del Estatuto Tributario del Distruto de Cartagena a traves del Aceurdo 107 del 14 de diciembre de 2022 (Ver anexo. 6)"
Las acciones desarrolladas desde este programa en el año 2022 permitieron la sostenibilidad de las metas cumplidas en la vigencia 2021.</t>
  </si>
  <si>
    <t>1. Firma del Pacto Acuerdo Territorial Para El Cierre De Brecha De Empleabilidad. “Pactos que Cierran Brechas de Empleabilidad: Movilizando El Empleo Con Transcaribe” con Sistema Integrado De Transporte Masivo – TRANSCARIBE
2. Firma del Pacto Acuerdo Territorial Para El Cierre De Brecha De Empleabilidad.  Pacto “GO EMPLEO” cerrando Brechas de empleabilidad con Unidad Administrativa Especial de Catastro Distrital – Catastro Bogotá y Secretaría de Hacienda Distrital de Cartagena. 
3. Firma del Pacto Acuerdo Territorial para el Cierre de Brecha de Empleabilidad “SENSIBILIZACION PARA LA FORMALIDAD LABORAL” que tiene como actores a FENALCO, ACOPI, ORMET, CORPOTURISMO Y CRCI.
4.  Firma del Pacto Acuerdo Territorial para el Cierre de Brecha de Empleabilidad “Cerrando brechas con gestores de empleo y generando condiciones dignas para el empleo” con el Ministerio de Trabajo territorial Bolívar.
Total, personas vinculadas a la fecha: 289 en el marco de los pactos:
- “Pactos que Cierran Brechas de Empleabilidad: Movilizando El Empleo Con Transcaribe” con Sistema Integrado De Transporte Masivo – TRANSCARIBE y Secretaría de Hacienda con 156 vinculaciones laborales.
- Pacto “GO EMPLEO” cerrando Brechas de empleabilidad con Unidad Administrativa Especial de Catastro Distrital – Catastro Bogotá y Secretaría de Hacienda, con 133 vinculaciones laborales.
Para la vigencia 2023 desde este programa se esetará trabajando arduamente por cumplir la meta de vinculación laboral, a través del  seguimiento estricto a los planes de acción de los pactos realizados y otras acciones a desarrollar para el cierre de brechas de empleo en el Distrito.</t>
  </si>
  <si>
    <t xml:space="preserve">A través de la estrategia H2O, desde la secretaría de Hacienda Distrital se logró la creación de 230 unidades productivas de jóvenes, de las cuales se reportan 159 en  este último trimestre. Estos jóvenes  ingresaron a las aulas productivas de formación y participaron de otros espacios formativos hasta finalizar su plan de negocios, los cuales se encuentran como anexos al informe final de este programa.  
Durante este último trimestre de 2022 se realizó proceso competitivo para seleccionar a un operador, con el cual se realizaría el proceso para entregar un insumo tipo capital semilla a los jóvenes emprendedores y así apoyarlos en la capitalización de sus unidades productivas, sin embargo este proceso no fue adjudicado, ya que la única entidad que se presentó alproceso no cumplió con los requisitos, motivo por el cual este proceso se realizará en el 2023 y por lo cual no se logrò la afectaciòn presupuestal en 2022. 
Para esta capitalización, ya se envío a la unidad interna de contratación la justificación de la necesidad, para adelantar el proceso precontractual. </t>
  </si>
  <si>
    <t>Se dejó establecido el proceso contractual mediante el cual se dará cumplimiento a las metas 3 y 4 del Programa Cartagena facilita el Emprendimiento correspondientes a la implementaciòn de una incubadora y la vinculaciòn de empresas, en 2022 se adelanto proceso contractual el cual no llego a su etapa de suscripciòn por lo cual se reprogramo para 2023 el cumplimiento de esta meta y no se dio ejecuciòn prersupuestal de los recursos en 2022.
Por su parte, para la meta de Realización de 5000 operaciones financieras, se tiene programado el cumplimiento de este indicador en 2023 teniendo en cuenta que esta meta se encuentra contemplada  en los indicadores del Acuerdo de Financiación CONV-CI-UAC-059-2021 establecido con el Programa de las Naciones Unidas para el Desarrollo - PNUD, dicho Acuerdo sustenta la implementación del Centro de Emprendimiento y Empleabilidad, Distrito E y el cual cuenta con vigencia futura hasta diciembre de 2023. Actualmente, se tiene activada la Ruta de microfinanciación dentro del Centro y se prevé el Primer Comité de Asignación de Capital Semilla para el 31 de enero de 2023.
Por otra parte, se estableció dentro del Plan de Acción 2023 acciones referentes al mapeo de convocatorias para apalancar las empresas del sector productivo que lo requieran y se pueda fortalecer el ecosistema.</t>
  </si>
  <si>
    <t>En la vigencia 2022 el Distrito de Cartagena en cabeza del Alcalde Mayor del Distrito Turístico y Cultural Cartagena de Indias en ejercicio de sus facultades conferidas por el articulo 315 de la Constitución Política de Colombia, la Ley 136 de 1994, modifica por la Ley 1551 de 2012, sanciona el Acuerdo N° 100 de 2022 donde estableció de manera transitoria un beneficio de reducción de tasas de interés  moratorio aplicable a las deudas tributarias donde el periodo de aplicación que se resalta es el que va desde la sanción que corresponde al 3 de noviembre hasta el 31 de diciembre de 2022. 
El recuado del Impuesto de Delineación Urbana se presenta a corte de noviembre dado que de acuerdo al acuerdo 041 de 2006 los responsables de este tributo tienen plazo hasta los 15 primeros días del mes siguiente de causación para declarar y pagar, asimismo, la administracion tributaria debe conciliarla inforamción de las declaraciones. Así las cosas, se dará alcance a este reporte en su versión final en días posteriores.
Para el cumplimiento de la meta de implementación de software (Proceso que cuenta con autorizaciòn de vigencias futuras), se publicó el proceso de licitación pública en la vigencia 2022 para ser adjudicado en la presente vigencia y garantizar la prestación de este servicio tendiente a la modernización de la secretaria de hacienda, que de acuerdo con el cronograma del proceso será adjudicado en la tercera semana del mes de enero de 2023</t>
  </si>
  <si>
    <t xml:space="preserve">La meta propuesta en septiembre del 2022, para la fecha entre 01 de octubre al 31 de diciembre de 2022, era aumentar el indicador y se realizo, expidiendo los registros presupuestales del acuerdo 099 del 2022 por un total de $ 28.900.950.282
</t>
  </si>
  <si>
    <t>EJECUTADO METAS PRODUCTOS A DICIEMBRE 31 DE 2022</t>
  </si>
  <si>
    <t>AVANCE METAS PRODUCTOS  A DICIEMBRE 31 DE 2022</t>
  </si>
  <si>
    <t>AVANCE METAS PRODUCTOS AL CUATRIENIO</t>
  </si>
  <si>
    <t>REPORTE ACTIVIDAD DE PROYECTO
EJECUTADO DE ENERO 1 A DICIEMBRE 31 DE 2022</t>
  </si>
  <si>
    <t>AVANCES ACTIVIDADES EN LOS PROYECTOS  2022</t>
  </si>
  <si>
    <t>AVANCES DE ACTIVIDADES POR PROYECTOS A DICIEMBRE 31 DE 2022</t>
  </si>
  <si>
    <t>ASIGNACIÓN PRESUPUESTAL DEFINITIVA</t>
  </si>
  <si>
    <t>GIROS</t>
  </si>
  <si>
    <t>FUENTE</t>
  </si>
  <si>
    <t>1.2.1.0.00-001 - ICLD</t>
  </si>
  <si>
    <t>1.3.3.11.03-93-138 R.B. DIVIDENDOS SOCIEDAD PORTUARIA</t>
  </si>
  <si>
    <t>1.3.3.11.03-95-138 R.B. DIVIDENDOS SOCIEDAD PORTUARIA</t>
  </si>
  <si>
    <t>1.3.3.11.03-95-139 RB DIVIDENDOS TERMINAL DE TRANSPORTE</t>
  </si>
  <si>
    <t>1.3.3.3.17-95-124 RB IMPUESTO DE TRANSPORTE POR OLEODUCTOS Y GASODUCTOS</t>
  </si>
  <si>
    <t>1.3.3.4.16-95-108 RB  OTRAS TASAS Y DERECHOS ADMINISTRATIVOS CONTRAPRESTACION PORTUARIA</t>
  </si>
  <si>
    <t>1.3.3.8.03-95-075 R.B. SGP-PROPOSITO GENERAL-PROPOSITO GENERAL LIBRE INVERSION</t>
  </si>
  <si>
    <t>1.2.4.3.03-070 - SGP LIBRE INVERSION</t>
  </si>
  <si>
    <t>1.3.1.1.03-138 - DIVIDENDOS SOCIEDAD PORTUARIA</t>
  </si>
  <si>
    <t>1.3.1.1.11-001 - REINTEGRO ICLD</t>
  </si>
  <si>
    <t>0o</t>
  </si>
  <si>
    <t>AVANCE Empleo Inclusivo Para Los Jóvenes</t>
  </si>
  <si>
    <t>AVANCE  PROYECTO</t>
  </si>
  <si>
    <t>AVANCE Encadenamientos productivos</t>
  </si>
  <si>
    <t>AVANCE Cartagena facilita el emprendimiento</t>
  </si>
  <si>
    <t>AVANCE Zonas de aglomeración productiva</t>
  </si>
  <si>
    <t>AVANCE Cierre de brechas de Empleabilidad</t>
  </si>
  <si>
    <t>AVANCE Cierre de brechas de Capital Humano</t>
  </si>
  <si>
    <t>AVANCE Cartagena ciudad Innovadora</t>
  </si>
  <si>
    <t>AVANCE Cartagena destino de inversión</t>
  </si>
  <si>
    <t>-</t>
  </si>
  <si>
    <t>AVANCE PROYECTO</t>
  </si>
  <si>
    <r>
      <rPr>
        <sz val="20"/>
        <color rgb="FFFF0000"/>
        <rFont val="Calibri"/>
        <family val="2"/>
        <scheme val="minor"/>
      </rPr>
      <t xml:space="preserve">AVANCE Finanzas Sostenibles para salvar a Cartagena </t>
    </r>
    <r>
      <rPr>
        <sz val="11"/>
        <color theme="1"/>
        <rFont val="Calibri"/>
        <family val="2"/>
        <scheme val="minor"/>
      </rPr>
      <t xml:space="preserve"> </t>
    </r>
  </si>
  <si>
    <t>AVANCE Disminuir el déficit presupuestal en un 100 %</t>
  </si>
  <si>
    <t>AV ANCE Lograr que el 100% de la población Afro, Negra, raizal, palenquera e Indígena que habita el Distrito de Cartagena se le sean reconocidos sus derechos de  la diversidad étnica y cultural como un principio fundamental del Estado Social y Democrático de Derecho.</t>
  </si>
  <si>
    <t>AVANCE PLAN DE DESARROLLO SECRETARÍA DE HACIENDA A 31 DE DICIEMBRE  DE 2022</t>
  </si>
  <si>
    <t>AVANCE PLAN DE ACCIÓN SECRETARIA DE HACIENDA A  31 DE DICIEMBRE  DE 2022</t>
  </si>
  <si>
    <t>EJECUCIÓN PRESUPUESTAL SECRETARIA DE HACIENDA A DICIEMBRE 31 DE 2022</t>
  </si>
  <si>
    <t>EJECUCCION PRESUPUESTAL</t>
  </si>
  <si>
    <t>EJECUCIÓN SEGÚN REGISTROS PRESUPUESTALES  DICIEMBRE 31 DE 2022</t>
  </si>
  <si>
    <t>PORCENTAJE DE EJECUCCION PRESUPUESTAL SEGÚN GIROS</t>
  </si>
  <si>
    <t>AVANCE</t>
  </si>
  <si>
    <t>ALCALDÍA DISTRITAL DE CARTAGENA DE INDIAS</t>
  </si>
  <si>
    <t xml:space="preserve">Código: </t>
  </si>
  <si>
    <t>MACROPROCESO:EVALUACIÓN Y CONTROL DE LA GESTIÓN PÚBLICA</t>
  </si>
  <si>
    <t xml:space="preserve">Versión: </t>
  </si>
  <si>
    <t>PROCESO: EVALUACIÓN INDEPENDIENTE</t>
  </si>
  <si>
    <t>Fecha:</t>
  </si>
  <si>
    <t>MATRIZ DE EVALUACIÓN PLAN DE ACCIÓN</t>
  </si>
  <si>
    <t xml:space="preserve">Páginas:  </t>
  </si>
  <si>
    <t>Información Plan de Acción</t>
  </si>
  <si>
    <t>Evaluación y seguimiento</t>
  </si>
  <si>
    <t>Pilar</t>
  </si>
  <si>
    <t>Linea estrategica</t>
  </si>
  <si>
    <t>Programa</t>
  </si>
  <si>
    <r>
      <t xml:space="preserve">Descripción de la Meta Producto 2020-2023 </t>
    </r>
    <r>
      <rPr>
        <b/>
        <sz val="10"/>
        <color rgb="FFFFFF00"/>
        <rFont val="Arial"/>
        <family val="2"/>
      </rPr>
      <t>(INLCUIDA POR NOSOTROS PARA CLARIDAD)</t>
    </r>
  </si>
  <si>
    <r>
      <t xml:space="preserve">Meta producto </t>
    </r>
    <r>
      <rPr>
        <b/>
        <sz val="10"/>
        <color rgb="FFFF0000"/>
        <rFont val="Arial"/>
        <family val="2"/>
      </rPr>
      <t>(2020-2023)</t>
    </r>
  </si>
  <si>
    <t>Meta programada para 2022</t>
  </si>
  <si>
    <t>Avance meta producto 2022</t>
  </si>
  <si>
    <t>Avance meta producto 2022 (%)</t>
  </si>
  <si>
    <t>Avance meta producto en el cuatrienio (%)</t>
  </si>
  <si>
    <t>Proyecto</t>
  </si>
  <si>
    <t>Codigo BPIN</t>
  </si>
  <si>
    <t>Objetivo</t>
  </si>
  <si>
    <t>Actividades</t>
  </si>
  <si>
    <t>Fecha de inicio de la actividad</t>
  </si>
  <si>
    <t>Fecha final de la actividad</t>
  </si>
  <si>
    <t>Dias de duracion de la actividad</t>
  </si>
  <si>
    <t>Valor Absoluto de la Actividad (Valor Meta Programada)</t>
  </si>
  <si>
    <t>Porcentaje de Participación de la Actividad (%)</t>
  </si>
  <si>
    <r>
      <t xml:space="preserve">Avance de las actividades (%) a </t>
    </r>
    <r>
      <rPr>
        <b/>
        <sz val="10"/>
        <color rgb="FFFF0000"/>
        <rFont val="Arial"/>
        <family val="2"/>
      </rPr>
      <t>31 DE DICIEMBRE 2022</t>
    </r>
    <r>
      <rPr>
        <b/>
        <sz val="10"/>
        <color theme="1"/>
        <rFont val="Arial"/>
        <family val="2"/>
      </rPr>
      <t xml:space="preserve"> </t>
    </r>
    <r>
      <rPr>
        <b/>
        <sz val="10"/>
        <color rgb="FFFF0000"/>
        <rFont val="Arial"/>
        <family val="2"/>
      </rPr>
      <t>(muchachos el que está diligenciado es a 30 de septiembre)</t>
    </r>
  </si>
  <si>
    <t>Evaluación Ejecución de Actividades</t>
  </si>
  <si>
    <t>Presupuesto Programa</t>
  </si>
  <si>
    <t>Presupuesto Proyecto</t>
  </si>
  <si>
    <t>Información de PREDIS</t>
  </si>
  <si>
    <t>Evaluación</t>
  </si>
  <si>
    <t>Análisis</t>
  </si>
  <si>
    <t>OBSERVACIONES</t>
  </si>
  <si>
    <t>Coherencia entre el proyecto y la meta producto del programa</t>
  </si>
  <si>
    <t>Actividades del proyecto</t>
  </si>
  <si>
    <t>Coherencia de Programacion de las Actividades con la Meta Producto</t>
  </si>
  <si>
    <t>Existe Evidencia en la Ejecución de la Actividad</t>
  </si>
  <si>
    <t>Las evidencias son Soportes de las Actividades</t>
  </si>
  <si>
    <t>Cumplió la Actividad con el Plazo</t>
  </si>
  <si>
    <t>Ejecución de la Actividad (%) Según Evidencias</t>
  </si>
  <si>
    <t>Ejecución del proyecto de acuerdo a la ejecución de actividades según Evidencias</t>
  </si>
  <si>
    <t>Ejecución de la meta producto  de acuerdo al avance del proyecto (%)</t>
  </si>
  <si>
    <t>Diferencia metas plan de acción / Evidencias (%)</t>
  </si>
  <si>
    <t>Rubro presupuestal</t>
  </si>
  <si>
    <t>Valor asignado según Predis</t>
  </si>
  <si>
    <t>% ejecutado</t>
  </si>
  <si>
    <t>Valor asignado según SUIFP</t>
  </si>
  <si>
    <t>Valor asignado según PREDIS</t>
  </si>
  <si>
    <t xml:space="preserve">Diferencia presupuestal entre PREDIS Y SUIFP por proyecto </t>
  </si>
  <si>
    <t>PREDIS 1 Trimestre 2022</t>
  </si>
  <si>
    <t>PREDIS 2 Trimestre 2022</t>
  </si>
  <si>
    <t>PREDIS 3 Trimestre 2022</t>
  </si>
  <si>
    <t>PREDIS 4 Trimestre 2022</t>
  </si>
  <si>
    <t>Si</t>
  </si>
  <si>
    <t>No</t>
  </si>
  <si>
    <t>Sustentar en caso negativo</t>
  </si>
  <si>
    <t>Proyecto según SUIFP</t>
  </si>
  <si>
    <t>Proyecto plan de acción</t>
  </si>
  <si>
    <t>Diferencia en la programacion de las actividades</t>
  </si>
  <si>
    <t>Definitivo ($)</t>
  </si>
  <si>
    <t>Comprometido ($)</t>
  </si>
  <si>
    <t>Girado ($)</t>
  </si>
  <si>
    <t>Eficiencia recursos de inversión (SI/NO)</t>
  </si>
  <si>
    <t>Diferencia entre la ejecución del proyecto (lo girado en %) y el presupuesto ejecutado del proyecto (el avnnce del proyecto)</t>
  </si>
  <si>
    <t>X</t>
  </si>
  <si>
    <t>Ninguna</t>
  </si>
  <si>
    <t>Durante la vigencia 2022, a través de la estrategia H2O, desde la secretaría de Hacienda Distrital se logró la creación de 230 unidades productivas de jóvenes, los cuales ingresaron a las aulas productivas de formación y participaron de otros espacios formativos hasta finalizar su plan de negocios, los cuales se encuentran como anexos al informe final de este programa.</t>
  </si>
  <si>
    <t xml:space="preserve">A través de la estrategia H2O, desde la secretaría de Hacienda Distrital se logró la creación de 159 unidades productivas de jóvenes, los cuales ingresaron a las aulas productivas de formación y participaron de otros espacios formativos hasta finalizar su plan de negocios, los cuales se encuentran como anexos al informe final de este programa. Se adelantó el proceso de gestión en su etapa precontractual. Una vez se adjudique se completa la entrega de incentivos. </t>
  </si>
  <si>
    <t>El aporte de los incentivos económico tipo capital semilla, está programado desarrollarse en el 2023 a las 230 unidades productivas creadas.</t>
  </si>
  <si>
    <t>No se programó en el 2022 teniendo en cuenta que se cumplió en 2021</t>
  </si>
  <si>
    <t>Para la vigencia 2022 se estableción el 35% restante del 100% del total de la meta, debido a que en el 2021 se realizó un avance del 65% del total de la meta establecida para esa actividad en el cuatrienio. Se implemento la version 2.0 de la plataforma Clúster Cartagena. El despliegue se realizo el  dia 28 de diciembre de 2022. Como  evidencia Anexo 1. Link de la plataforma clúster 2.0  https://cluster.cartagena.gov.co/</t>
  </si>
  <si>
    <t>Se dejó establecido el proceso contractual mediante el cual se dará cumplimiento a las metas 3 y 4 del Programa Cartagena facilita el Emprendimiento. Por su parte, para la meta de Realización de 5000 operaciones financieras, se tiene programado realizar por lo menos 2750 las cuales están dentro de los indicadores del Acuerdo de Financiación CONV-CI-UAC-059-2021 establecido con el Programa de las Naciones Unidas para el Desarrollo - PNUD, dicho Acuerdo sustenta la implementación del Centro de Emprendimiento y Empleabilidad, Distrito E. Actualmente, se tiene activada la Ruta de microfinanciación dentro del Centro y se prevé el Primer Comité de Asignación de Capital Semilla para el 31 de enero de 2023.
Por otra parte, se estableció dentro del Plan de Acción 2023 acciones referentes al mapeo de convocatorias para apalancar las empresas del sector productivo que lo requieran y se pueda fortalecer el ecosistema.</t>
  </si>
  <si>
    <t>1. El dia 17 de noviembre de 2022 se hizo el lanzamiento de la Red de Proveeduría y Fortalecimiento Empresarial - RPFE en el evento Innovalatam para empezar el proceso vinlación de empresas. (ver anexo 1) 
2. Se logró la vinculación de 209 empresas a la RPFE (Centro de servicios empresariales), la cual tenía como meta 2022 un total de 127 empresas, por lo cual se logró la meta en un 49,5%. Para poder alcanzar esta meta, se relaizarón difuciones por medios de comunicaciones oficiales y correso masivos invitando al empresariodo local a que se vinculen a la presente inciativa. En este mismo sentido, el dia 16 de noviembre, se realizó la firma entre aliado y la Alcaldía para crear la RPFE (ver anexos 2).
3. Se promovió el fortalecimiento de la RPFE mediante la ejecución de 2 encuentros, uno para fortalecimiento empresarial el día 22 de diciembre de 2022 (ver anexo 3) para potenciar el crecimiento mediante la aplicación de la Innovación dentro de la estrucctura empresarial y un encuentro de los miembros el día 20 de diciembre de 2022 (ver anexo 4) de 2022. 
4. Para poder consolidar el proceso de vinculación de las empresas con la alcaldía de cartagena se creo un formato de vinculación (ver evidencia 5). 
6. Se realizó la aplicación del instrumento de medición de la productividad sobre los miembros de la RPFE. Lo anterior se realizó para tener un nivel base de productividad y contrastar con el ejercicio de fortalecimiento empresarial sobre los empresarios al finalizar el proceso de asistencia tecnica (ver anexo 6)
Vinculación: De lo proyectado en el plan de trabajo anual, se logró vincular al 49,5% de las unidades censadas al centro de servicios empresariales que es la alcaldía. 
Productividad: Se realizó el ejercicio de aplicación del instrumento de medición del nivel de productividad laboral para poder ser contrastado al finalizar el proceso de asistencia técnica y verificar el aumento en el nivel de productividad de las empresas asistidas.</t>
  </si>
  <si>
    <t>1. Firma del Pacto Acuerdo Territorial Para El Cierre De Brecha De Empleabilidad. “Pactos que Cierran Brechas de Empleabilidad: Movilizando El Empleo Con Transcaribe” con Sistema Integrado De Transporte Masivo – TRANSCARIBE
2. Firma del Pacto Acuerdo Territorial Para El Cierre De Brecha De Empleabilidad.  Pacto “GO EMPLEO” cerrando Brechas de empleabilidad con Unidad Administrativa Especial de Catastro Distrital – Catastro Bogotá y Secretaría de Hacienda Distrital de Cartagena. 
3. Firma del Pacto Acuerdo Territorial para el Cierre de Brecha de Empleabilidad “SENSIBILIZACION PARA LA FORMALIDAD LABORAL” que tiene como actores a FENALCO, ACOPI, ORMET, CORPOTURISMO Y CRCI.
4.  Firma del Pacto Acuerdo Territorial para el Cierre de Brecha de Empleabilidad “Cerrando brechas con gestores de empleo y generando condiciones dignas para el empleo” con el Ministerio de Trabajo territorial Bolívar.
Total, personas vinculadas a la fecha: 289 en el marco de los pactos:
- “Pactos que Cierran Brechas de Empleabilidad: Movilizando El Empleo Con Transcaribe” con Sistema Integrado De Transporte Masivo – TRANSCARIBE y Secretaría de Hacienda con 156 vinculaciones laborales.
- Pacto “GO EMPLEO” cerrando Brechas de empleabilidad con Unidad Administrativa Especial de Catastro Distrital – Catastro Bogotá y Secretaría de Hacienda, con 133 vinculaciones laborales.</t>
  </si>
  <si>
    <r>
      <t xml:space="preserve">En el marco del III encuentro anual de Innovació en Cartagena, durante los días </t>
    </r>
    <r>
      <rPr>
        <b/>
        <sz val="11"/>
        <rFont val="Calibri"/>
        <family val="2"/>
        <scheme val="minor"/>
      </rPr>
      <t>13, 14 y 15 de diciembre</t>
    </r>
    <r>
      <rPr>
        <sz val="11"/>
        <rFont val="Calibri"/>
        <family val="2"/>
        <scheme val="minor"/>
      </rPr>
      <t xml:space="preserve"> se llevó a cabo la jornada académica con los conferencistas: </t>
    </r>
    <r>
      <rPr>
        <b/>
        <sz val="11"/>
        <rFont val="Calibri"/>
        <family val="2"/>
        <scheme val="minor"/>
      </rPr>
      <t>Jason Roncancio-</t>
    </r>
    <r>
      <rPr>
        <sz val="11"/>
        <rFont val="Calibri"/>
        <family val="2"/>
        <scheme val="minor"/>
      </rPr>
      <t xml:space="preserve">Innovación Social; </t>
    </r>
    <r>
      <rPr>
        <b/>
        <sz val="11"/>
        <rFont val="Calibri"/>
        <family val="2"/>
        <scheme val="minor"/>
      </rPr>
      <t>Ana Lucia Lecompet</t>
    </r>
    <r>
      <rPr>
        <sz val="11"/>
        <rFont val="Calibri"/>
        <family val="2"/>
        <scheme val="minor"/>
      </rPr>
      <t xml:space="preserve">-Nuevas tecnologías en el sector de Tours y actividades; </t>
    </r>
    <r>
      <rPr>
        <b/>
        <sz val="11"/>
        <rFont val="Calibri"/>
        <family val="2"/>
        <scheme val="minor"/>
      </rPr>
      <t>Diana Rojas</t>
    </r>
    <r>
      <rPr>
        <sz val="11"/>
        <rFont val="Calibri"/>
        <family val="2"/>
        <scheme val="minor"/>
      </rPr>
      <t xml:space="preserve"> -Innovación abierta como estrategia para implementar  tecnologias exponenciales en las organizaciones; </t>
    </r>
    <r>
      <rPr>
        <b/>
        <sz val="11"/>
        <rFont val="Calibri"/>
        <family val="2"/>
        <scheme val="minor"/>
      </rPr>
      <t>Joao Silva</t>
    </r>
    <r>
      <rPr>
        <sz val="11"/>
        <rFont val="Calibri"/>
        <family val="2"/>
        <scheme val="minor"/>
      </rPr>
      <t xml:space="preserve"> -inversión e impacto, nuevas consideraciones de crecimiento; </t>
    </r>
    <r>
      <rPr>
        <b/>
        <sz val="11"/>
        <rFont val="Calibri"/>
        <family val="2"/>
        <scheme val="minor"/>
      </rPr>
      <t>Jorge Cogollo</t>
    </r>
    <r>
      <rPr>
        <sz val="11"/>
        <rFont val="Calibri"/>
        <family val="2"/>
        <scheme val="minor"/>
      </rPr>
      <t xml:space="preserve">- Ciudades inteligentes; </t>
    </r>
    <r>
      <rPr>
        <b/>
        <sz val="11"/>
        <rFont val="Calibri"/>
        <family val="2"/>
        <scheme val="minor"/>
      </rPr>
      <t>Juan Pablo Vélez-</t>
    </r>
    <r>
      <rPr>
        <sz val="11"/>
        <rFont val="Calibri"/>
        <family val="2"/>
        <scheme val="minor"/>
      </rPr>
      <t xml:space="preserve">Sector productivo como motor de desarrollo economico e innovación en Cartagena (Ver anexo 1).   
</t>
    </r>
    <r>
      <rPr>
        <b/>
        <sz val="11"/>
        <rFont val="Calibri"/>
        <family val="2"/>
        <scheme val="minor"/>
      </rPr>
      <t xml:space="preserve">El día 13 y 14de diciembre se desarrolló jornada de teller de innovación </t>
    </r>
    <r>
      <rPr>
        <sz val="11"/>
        <rFont val="Calibri"/>
        <family val="2"/>
        <scheme val="minor"/>
      </rPr>
      <t xml:space="preserve">con los facilitadores: Gustavo Orjuela- ¿Cómo las empresas pueden generar innovación disruptiva a través de las Start up? y Lina Arbeláez- "Estrategias de fomento de innovación" (Ver anexo 2).  
</t>
    </r>
    <r>
      <rPr>
        <b/>
        <sz val="11"/>
        <rFont val="Calibri"/>
        <family val="2"/>
        <scheme val="minor"/>
      </rPr>
      <t xml:space="preserve">El día 15 de diciembre se realizó el cierre del encuentro de innovación </t>
    </r>
    <r>
      <rPr>
        <sz val="11"/>
        <rFont val="Calibri"/>
        <family val="2"/>
        <scheme val="minor"/>
      </rPr>
      <t xml:space="preserve">, al mismo tiempo que se otorgó reconocimiento a 4 de las mejores ideas innovadoras, resultado del "Concurso de inventivo a la Innovación en Cartagena" (ver anexo 3). 
</t>
    </r>
    <r>
      <rPr>
        <b/>
        <sz val="11"/>
        <rFont val="Calibri"/>
        <family val="2"/>
        <scheme val="minor"/>
      </rPr>
      <t>Del 9 al 27 de noviembre</t>
    </r>
    <r>
      <rPr>
        <sz val="11"/>
        <rFont val="Calibri"/>
        <family val="2"/>
        <scheme val="minor"/>
      </rPr>
      <t xml:space="preserve"> se realizó la convocatoria y las inscripciones de iniciativas de innovación e investigacion en la ciudad de Cartagena (ver anexo 4).  La metodología utilizada fue: creación de cronograma parfa la creación y publicación de piezas graficas las cuales fueron divulgadas en las diferentes plataformas digitales de la Universidad Tecnológica de Bolívar y la Secretaría de Hacienda Distrital;  se realizó una jornada presenciales de socialización de los términos de referencia del concurso y se realizó video clip con uno de los ganadores de la versión 2021 del concurso de innovación en Cartagena
Durante los dias</t>
    </r>
    <r>
      <rPr>
        <b/>
        <sz val="11"/>
        <rFont val="Calibri"/>
        <family val="2"/>
        <scheme val="minor"/>
      </rPr>
      <t xml:space="preserve"> 29 de noviembre y 2 de diciembre </t>
    </r>
    <r>
      <rPr>
        <sz val="11"/>
        <rFont val="Calibri"/>
        <family val="2"/>
        <scheme val="minor"/>
      </rPr>
      <t xml:space="preserve">se realizó evaluación por parte de pares expertos en el tema de innovación. (ver anexo 5).
</t>
    </r>
    <r>
      <rPr>
        <b/>
        <sz val="11"/>
        <rFont val="Calibri"/>
        <family val="2"/>
        <scheme val="minor"/>
      </rPr>
      <t>El dia  15 de diciembre se hizo premiación de las cuatro mejores iniciativas de innovación en la ciudad</t>
    </r>
    <r>
      <rPr>
        <sz val="11"/>
        <rFont val="Calibri"/>
        <family val="2"/>
        <scheme val="minor"/>
      </rPr>
      <t xml:space="preserve">. La primera idea  de innovación corresponde a la categoria ciudades sostenbles, la cual tiene como objetivo "mejorar la movilidad en Cartagena a través de un sistema público de red de motocicletas eléctricas que funcionan con energía solar y  son  monitoreadas por GPS"; la segunda iniciativa, correspondiente a la categoría educación , tiene como objetivo "fortalecer el proceso de enseñanza -aprendizaje a partir de la diversificación de la oferta educativa desde las habilidades, destrezas y potencialidades de los niños, así como el aprovechamiento de diversas disciplinas artísticas para un desarrollo sostenible en Cartagena"; la tercera iniciativa, en la categoría género, tiene como finalidad, "Generar empoderamiento en las mujeres a partir de la creación de unidades productivas con enfoque inclusivo para una economía familiar y comunitaria", y por último en la categoría medio ambiente, el objetivo de la propuesta es "Aprovechar los residuos orgánicos del mercado de Bazurto para la creación de concentrado con alto valor alimenticio para animales de granja, a bajo costo y responsables con el medio ambiente" (Ver anexo 6).  Las cuatro personas ganadoras del concurso de Incentivo a la Innovación recibieron como premio una beca para cursar la maestría en Gestión de la Innovación en la Universidad Tecnológica de Bolívar (Ver anexo 7).
Teniendo en cuenta que el sistema, fue creado, se le apostó a sostener el sistema a traves de la vinculación de los actores a cada una de las actividades desarrolladas. </t>
    </r>
  </si>
  <si>
    <t>Cómo parte de la estrategia de promoción y posicionamiento de la ciudad se desarrolló:
1. Evento de inversión Cartagena Investment Summit en el cual se destacaron las posicionalidades del destino para instalar empresas según las apuestas productivas y criterios de sostenibilidad  (Ver anexo.1)
2.  Campaña publicitaria Cartagena, aquí lo tienes todoa  traves de canales digitales resaltando las fortalezas del destino para la inversión, realizado el 22 de noviembre (Ver anexo 2)
3. Se promovió la captación de inversión a traves de la atención a inversionista en los siguientes ambitos: apoyo a nueve (9) empresas o proyectos en su instalación en Cartagena, el acompañamiento a diecisite (17) inversionistas en su fase explotaría y toma de decisión en Cartagena, el apoyo y respuesta a mínimo veinticinco (25) solicitudes de información a inversionistas con cifras, datos etc  (Ver anexos 3)</t>
  </si>
  <si>
    <t>"Cómo parte de la estrategia de promoción y posicionamiento de la ciudad se desarrolló:
1. Evento de inversión Cartagena Investment Summit en el cual se destacaron las posicionalidades del destino para instalar empresas según las apuestas productivas y criterios de sostenibilidad  (Ver anexo.1)
2.  Campaña publicitaria Cartagena, aquí lo tienes todoa  traves de canales digitales resaltando las fortalezas del destino para la inversión, realizado el 22 de noviembre (Ver anexo 2)
3. Se promovió la captación de inversión a traves de la atención a inversionista en los siguientes ambitos: apoyo a nueve (9) empresas o proyectos en su instalación en Cartagena, el acompañamiento a diecisite (17) inversionistas en su fase explotaría y toma de decisión en Cartagena, el apoyo y respuesta a mínimo veinticinco (25) solicitudes de información a inversionistas con cifras, datos etc  (Ver anexos 3)"
Cómo parte de la implementación y sostenibilidad del sistema de información hacia el inversionista, se realizó procesos de mejoras de la plataforma con el acompañmiento con la Oficina Asesora Informatica (Ver anexo. 4)
"Como parte de la implementación de la VUE se realizaron las siguientes acciones:
1. Presentación de la plataforma VUE en la feria de la innovación pública de la Escuela Gobierno realizada el 22 de diciembre
2. Acompañamiento y seguimiento a la eliminación del cobro de uso de suelo, la racionalziación y virtualziación de este mismo proceso. Actualziación del Estatuto Tributario del Distruto de Cartagena a traves del Aceurdo 107 del 14 de diciembre de 2022 (Ver anexo. 6)"</t>
  </si>
  <si>
    <t>Cómo parte de la implementación y sostenibilidad del sistema de información hacia el inversionista, se realizó procesos de mejoras de la plataforma con el acompañmiento con la Oficina Asesora Informatica (Ver anexo. 4)</t>
  </si>
  <si>
    <t>Como parte de la implementación de la VUE se realizaron las siguientes acciones:
1. Presentación de la plataforma VUE en la feria de la innovación pública de la Escuela Gobierno realizada el 22 de diciembre
2. Acompañamiento y seguimiento a la eliminación del cobro de uso de suelo, la racionalziación y virtualziación de este mismo proceso. Actualziación del Estatuto Tributario del Distruto de Cartagena a traves del Aceurdo 107 del 14 de diciembre de 2022 (Ver anexo. 6)</t>
  </si>
  <si>
    <t>Se realizó la coordinación del programa garantizando el cumplimiento de los objetivos trazados en el programa y el proyecto.</t>
  </si>
  <si>
    <t>En la vigencia 2022 el Distrito de Cartagena en cabeza del Alcalde Mayor del Distrito Turístico y Cultural Cartagena de Indias en ejercicio de sus facultades conferidas por el articulo 315 de la Constitución Política de Colombia, la Ley 136 de 1994, modifica por la Ley 1551 de 2012, sanciona el Acuerdo N° 100 de 2022 donde estableció de manera transitoria un beneficio de reducción de tasas de interés  moratorio aplicable a las deudas tributarias donde el periodo de aplicación que se resalta es el que va desde la sanción que corresponde al 3 de noviembre hasta el 31 de diciembre de 2022. 
El recuado del Impuesto de Delineación Urbana se presenta a corte de noviembre dado que de acuerdo al acuerfdo 041 de 2006 los responsables de este tributo tienen plazo hasta los 15 primeros días del mes siguiente de causación para declarar y pagar, asimismo, la administracion tributaria debe conciliarla inforamción de las declaraciones. Así las cosas, se dará alcance a este reporte en días posteriores.</t>
  </si>
  <si>
    <t>La meta propuesta en septiembre del 2022, para la fecha entre 01 de octubre al 31 de diciembre de 2022, era aumentar el indicador y se realizo, expidiendo los registros presupuestales del acuerdo 099 del 2022 por un total de $ 28.900.950.282
Aunque se expidieron los Registros presupuestales por un valor total de $ 28.900.950.282  se realizó efectivamente el pago de algunas obligaciones por valor total de $10.709.115.813,43. Se espera que en el primer trimestre del 2023, se realice el resto de pagos faltantes del acuerdo 099 del 2022</t>
  </si>
  <si>
    <t>Se brindó asistencia técnica para el fortalecer a un consejo comunitario en el marco de la sala situacional creada en alizanza con secretaría del interior</t>
  </si>
  <si>
    <t>Se brindó asistencia técnica y fortalecimiento a 3 unidades productivas de los cabildos CAIZEM, y ,KAINZERUPAB  a través del ocnvenio de asociación No. 046 de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</si>
</sst>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164" formatCode="&quot;$&quot;\ #,##0;[Red]\-&quot;$&quot;\ #,##0"/>
    <numFmt numFmtId="165" formatCode="&quot;$&quot;\ #,##0.00;[Red]\-&quot;$&quot;\ #,##0.00"/>
    <numFmt numFmtId="166" formatCode="_-&quot;$&quot;\ * #,##0_-;\-&quot;$&quot;\ * #,##0_-;_-&quot;$&quot;\ * &quot;-&quot;_-;_-@_-"/>
    <numFmt numFmtId="167" formatCode="_-&quot;$&quot;\ * #,##0.00_-;\-&quot;$&quot;\ * #,##0.00_-;_-&quot;$&quot;\ * &quot;-&quot;??_-;_-@_-"/>
    <numFmt numFmtId="168" formatCode="0;[Red]0"/>
    <numFmt numFmtId="169" formatCode="&quot;$&quot;\ #,##0.00"/>
    <numFmt numFmtId="170" formatCode="0.0000"/>
    <numFmt numFmtId="171" formatCode="0.0"/>
  </numFmts>
  <fonts count="34" x14ac:knownFonts="1">
    <font>
      <sz val="11"/>
      <color theme="1"/>
      <name val="Calibri"/>
      <family val="2"/>
      <scheme val="minor"/>
    </font>
    <font>
      <sz val="11"/>
      <name val="Calibri"/>
      <family val="2"/>
      <scheme val="minor"/>
    </font>
    <font>
      <sz val="11"/>
      <color theme="1"/>
      <name val="Arial"/>
      <family val="2"/>
    </font>
    <font>
      <sz val="11"/>
      <color theme="1" tint="4.9989318521683403E-2"/>
      <name val="Arial"/>
      <family val="2"/>
    </font>
    <font>
      <sz val="12"/>
      <color theme="1" tint="4.9989318521683403E-2"/>
      <name val="Calibri"/>
      <family val="2"/>
      <scheme val="minor"/>
    </font>
    <font>
      <sz val="11"/>
      <color theme="1" tint="4.9989318521683403E-2"/>
      <name val="Calibri"/>
      <family val="2"/>
      <scheme val="minor"/>
    </font>
    <font>
      <sz val="14"/>
      <color theme="1"/>
      <name val="Calibri"/>
      <family val="2"/>
      <scheme val="minor"/>
    </font>
    <font>
      <b/>
      <sz val="11"/>
      <color theme="1"/>
      <name val="Arial"/>
      <family val="2"/>
    </font>
    <font>
      <b/>
      <sz val="11"/>
      <name val="Arial"/>
      <family val="2"/>
    </font>
    <font>
      <b/>
      <sz val="11"/>
      <color theme="1" tint="4.9989318521683403E-2"/>
      <name val="Arial"/>
      <family val="2"/>
    </font>
    <font>
      <b/>
      <sz val="12"/>
      <color theme="1" tint="4.9989318521683403E-2"/>
      <name val="Arial"/>
      <family val="2"/>
    </font>
    <font>
      <b/>
      <sz val="12"/>
      <color theme="1"/>
      <name val="Arial"/>
      <family val="2"/>
    </font>
    <font>
      <b/>
      <sz val="16"/>
      <color theme="1"/>
      <name val="Calibri"/>
      <family val="2"/>
      <scheme val="minor"/>
    </font>
    <font>
      <b/>
      <sz val="9"/>
      <color indexed="81"/>
      <name val="Tahoma"/>
      <family val="2"/>
    </font>
    <font>
      <sz val="9"/>
      <color indexed="81"/>
      <name val="Tahoma"/>
      <family val="2"/>
    </font>
    <font>
      <sz val="11"/>
      <color theme="1"/>
      <name val="Calibri"/>
      <family val="2"/>
      <scheme val="minor"/>
    </font>
    <font>
      <sz val="11"/>
      <color rgb="FF333333"/>
      <name val="Calibri"/>
      <family val="2"/>
      <scheme val="minor"/>
    </font>
    <font>
      <sz val="7"/>
      <color theme="1"/>
      <name val="Times New Roman"/>
      <family val="1"/>
    </font>
    <font>
      <b/>
      <sz val="11"/>
      <color rgb="FFFF0000"/>
      <name val="Arial"/>
      <family val="2"/>
    </font>
    <font>
      <sz val="11"/>
      <color rgb="FFFF0000"/>
      <name val="Calibri"/>
      <family val="2"/>
      <scheme val="minor"/>
    </font>
    <font>
      <b/>
      <sz val="11"/>
      <color theme="1"/>
      <name val="Calibri"/>
      <family val="2"/>
      <scheme val="minor"/>
    </font>
    <font>
      <sz val="8"/>
      <name val="Calibri"/>
      <family val="2"/>
      <scheme val="minor"/>
    </font>
    <font>
      <sz val="20"/>
      <color rgb="FFFF0000"/>
      <name val="Calibri"/>
      <family val="2"/>
      <scheme val="minor"/>
    </font>
    <font>
      <sz val="20"/>
      <color theme="1"/>
      <name val="Calibri"/>
      <family val="2"/>
      <scheme val="minor"/>
    </font>
    <font>
      <b/>
      <sz val="14"/>
      <color theme="1"/>
      <name val="Calibri"/>
      <family val="2"/>
      <scheme val="minor"/>
    </font>
    <font>
      <b/>
      <sz val="10"/>
      <color theme="1"/>
      <name val="Arial"/>
      <family val="2"/>
    </font>
    <font>
      <sz val="10"/>
      <color theme="1"/>
      <name val="Arial"/>
      <family val="2"/>
    </font>
    <font>
      <b/>
      <sz val="10"/>
      <color rgb="FFFFFF00"/>
      <name val="Arial"/>
      <family val="2"/>
    </font>
    <font>
      <b/>
      <sz val="10"/>
      <color rgb="FFFF0000"/>
      <name val="Arial"/>
      <family val="2"/>
    </font>
    <font>
      <b/>
      <sz val="10"/>
      <color rgb="FF000000"/>
      <name val="Arial"/>
      <family val="2"/>
    </font>
    <font>
      <b/>
      <sz val="10"/>
      <name val="Arial"/>
      <family val="2"/>
    </font>
    <font>
      <sz val="10"/>
      <color theme="1"/>
      <name val="Calibri"/>
      <family val="2"/>
      <scheme val="minor"/>
    </font>
    <font>
      <sz val="11"/>
      <color rgb="FF0070C0"/>
      <name val="Calibri"/>
      <family val="2"/>
      <scheme val="minor"/>
    </font>
    <font>
      <b/>
      <sz val="11"/>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theme="5" tint="0.39997558519241921"/>
        <bgColor indexed="64"/>
      </patternFill>
    </fill>
    <fill>
      <patternFill patternType="solid">
        <fgColor theme="4" tint="-0.249977111117893"/>
        <bgColor indexed="64"/>
      </patternFill>
    </fill>
    <fill>
      <patternFill patternType="solid">
        <fgColor theme="5" tint="0.59999389629810485"/>
        <bgColor indexed="64"/>
      </patternFill>
    </fill>
    <fill>
      <patternFill patternType="solid">
        <fgColor theme="4" tint="0.59999389629810485"/>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s>
  <cellStyleXfs count="4">
    <xf numFmtId="0" fontId="0" fillId="0" borderId="0"/>
    <xf numFmtId="41" fontId="15" fillId="0" borderId="0" applyFont="0" applyFill="0" applyBorder="0" applyAlignment="0" applyProtection="0"/>
    <xf numFmtId="167" fontId="15" fillId="0" borderId="0" applyFont="0" applyFill="0" applyBorder="0" applyAlignment="0" applyProtection="0"/>
    <xf numFmtId="9" fontId="15" fillId="0" borderId="0" applyFont="0" applyFill="0" applyBorder="0" applyAlignment="0" applyProtection="0"/>
  </cellStyleXfs>
  <cellXfs count="571">
    <xf numFmtId="0" fontId="0" fillId="0" borderId="0" xfId="0"/>
    <xf numFmtId="0" fontId="0" fillId="0" borderId="0" xfId="0" applyAlignment="1">
      <alignment horizontal="center"/>
    </xf>
    <xf numFmtId="166" fontId="0" fillId="0" borderId="0" xfId="0" applyNumberFormat="1" applyAlignment="1">
      <alignment horizontal="center" vertical="center" wrapText="1"/>
    </xf>
    <xf numFmtId="0" fontId="0" fillId="0" borderId="0" xfId="0" applyAlignment="1">
      <alignment horizontal="center" vertical="center" wrapText="1"/>
    </xf>
    <xf numFmtId="168" fontId="2" fillId="0" borderId="0" xfId="0" applyNumberFormat="1"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xf>
    <xf numFmtId="1" fontId="0" fillId="0" borderId="0" xfId="0" applyNumberFormat="1" applyAlignment="1">
      <alignment horizontal="center" vertical="center"/>
    </xf>
    <xf numFmtId="0" fontId="5" fillId="0" borderId="0" xfId="0" applyFont="1" applyAlignment="1">
      <alignment horizontal="center"/>
    </xf>
    <xf numFmtId="0" fontId="6" fillId="0" borderId="0" xfId="0" applyFont="1" applyAlignment="1">
      <alignment horizontal="center" vertical="center"/>
    </xf>
    <xf numFmtId="0" fontId="0" fillId="0" borderId="0" xfId="0" applyAlignment="1">
      <alignment horizontal="center" vertical="center"/>
    </xf>
    <xf numFmtId="0" fontId="2" fillId="0" borderId="0" xfId="0" applyFont="1"/>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 fontId="7" fillId="0" borderId="2" xfId="0" applyNumberFormat="1" applyFont="1" applyBorder="1" applyAlignment="1">
      <alignment horizontal="center" vertical="center" wrapText="1"/>
    </xf>
    <xf numFmtId="0" fontId="11" fillId="2"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10"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6" borderId="1" xfId="0" applyFill="1" applyBorder="1" applyAlignment="1">
      <alignment horizontal="center" vertical="center" wrapText="1"/>
    </xf>
    <xf numFmtId="9" fontId="0" fillId="0" borderId="1" xfId="3" applyFont="1" applyBorder="1" applyAlignment="1">
      <alignment horizontal="center" vertical="center" wrapText="1"/>
    </xf>
    <xf numFmtId="0" fontId="0" fillId="7" borderId="1" xfId="0" applyFill="1" applyBorder="1" applyAlignment="1">
      <alignment horizontal="center" vertical="center"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1" fontId="0" fillId="4" borderId="1" xfId="0" applyNumberFormat="1" applyFill="1" applyBorder="1" applyAlignment="1">
      <alignment horizontal="center" vertical="center" wrapText="1"/>
    </xf>
    <xf numFmtId="169" fontId="0" fillId="6" borderId="1" xfId="2" applyNumberFormat="1" applyFont="1" applyFill="1" applyBorder="1" applyAlignment="1">
      <alignment horizontal="center" vertical="center" wrapText="1"/>
    </xf>
    <xf numFmtId="169" fontId="0" fillId="7" borderId="1" xfId="2" applyNumberFormat="1" applyFont="1" applyFill="1" applyBorder="1" applyAlignment="1">
      <alignment horizontal="center" vertical="center" wrapText="1"/>
    </xf>
    <xf numFmtId="1" fontId="0" fillId="0" borderId="1" xfId="3" applyNumberFormat="1" applyFont="1" applyFill="1" applyBorder="1" applyAlignment="1">
      <alignment horizontal="center" vertical="center" wrapText="1"/>
    </xf>
    <xf numFmtId="169" fontId="0" fillId="0" borderId="1" xfId="2" applyNumberFormat="1" applyFont="1" applyFill="1" applyBorder="1" applyAlignment="1">
      <alignment horizontal="center" vertical="center" wrapText="1"/>
    </xf>
    <xf numFmtId="0" fontId="0" fillId="0" borderId="1" xfId="3" applyNumberFormat="1" applyFont="1" applyFill="1" applyBorder="1" applyAlignment="1">
      <alignment horizontal="center" vertical="center" wrapText="1"/>
    </xf>
    <xf numFmtId="9" fontId="0" fillId="4" borderId="1" xfId="3" applyFont="1" applyFill="1" applyBorder="1" applyAlignment="1">
      <alignment horizontal="center" vertical="center" wrapText="1"/>
    </xf>
    <xf numFmtId="0" fontId="0" fillId="6" borderId="1" xfId="2" applyNumberFormat="1" applyFont="1" applyFill="1" applyBorder="1" applyAlignment="1">
      <alignment horizontal="center" vertical="center" wrapText="1"/>
    </xf>
    <xf numFmtId="9" fontId="0" fillId="0" borderId="4" xfId="3" applyFont="1" applyFill="1" applyBorder="1" applyAlignment="1">
      <alignment horizontal="center" vertical="center" wrapText="1"/>
    </xf>
    <xf numFmtId="0" fontId="0" fillId="0" borderId="4" xfId="2" applyNumberFormat="1" applyFont="1" applyFill="1" applyBorder="1" applyAlignment="1">
      <alignment horizontal="center" vertical="center" wrapText="1"/>
    </xf>
    <xf numFmtId="0" fontId="0" fillId="0" borderId="4" xfId="3"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vertical="center" wrapText="1"/>
    </xf>
    <xf numFmtId="9" fontId="0" fillId="0" borderId="1" xfId="0" applyNumberFormat="1" applyBorder="1" applyAlignment="1">
      <alignment horizontal="center" vertical="center" wrapText="1"/>
    </xf>
    <xf numFmtId="0" fontId="1" fillId="0" borderId="1" xfId="0" applyFont="1" applyBorder="1" applyAlignment="1">
      <alignment horizontal="left" vertical="center" wrapText="1"/>
    </xf>
    <xf numFmtId="0" fontId="0" fillId="4" borderId="4" xfId="0" applyFill="1" applyBorder="1" applyAlignment="1">
      <alignment horizontal="center" vertical="center" wrapText="1"/>
    </xf>
    <xf numFmtId="1" fontId="0" fillId="4" borderId="4" xfId="0" applyNumberFormat="1" applyFill="1" applyBorder="1" applyAlignment="1">
      <alignment horizontal="center" vertical="center" wrapText="1"/>
    </xf>
    <xf numFmtId="0" fontId="16" fillId="0" borderId="1" xfId="0" applyFont="1" applyBorder="1" applyAlignment="1">
      <alignment horizontal="left" vertical="center" wrapText="1"/>
    </xf>
    <xf numFmtId="0" fontId="0" fillId="0" borderId="4" xfId="0" applyBorder="1" applyAlignment="1">
      <alignment horizontal="left" vertical="center" wrapText="1"/>
    </xf>
    <xf numFmtId="0" fontId="0" fillId="5" borderId="4" xfId="0"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2" applyNumberFormat="1" applyFont="1" applyBorder="1" applyAlignment="1">
      <alignment horizontal="center" vertical="center" wrapText="1"/>
    </xf>
    <xf numFmtId="0" fontId="0" fillId="0" borderId="1" xfId="2" applyNumberFormat="1" applyFont="1" applyFill="1" applyBorder="1" applyAlignment="1">
      <alignment horizontal="center" vertical="center" wrapText="1"/>
    </xf>
    <xf numFmtId="0" fontId="1" fillId="0" borderId="0" xfId="0" applyFont="1" applyAlignment="1">
      <alignment horizontal="center" vertical="center"/>
    </xf>
    <xf numFmtId="164" fontId="0" fillId="0" borderId="1" xfId="2"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166" fontId="7" fillId="0" borderId="1" xfId="0" applyNumberFormat="1" applyFont="1" applyBorder="1" applyAlignment="1">
      <alignment horizontal="center" vertical="center" wrapText="1"/>
    </xf>
    <xf numFmtId="9" fontId="0" fillId="0" borderId="0" xfId="3" applyFont="1"/>
    <xf numFmtId="9" fontId="7" fillId="2" borderId="1" xfId="3" applyFont="1" applyFill="1" applyBorder="1" applyAlignment="1">
      <alignment horizontal="center" vertical="center" wrapText="1"/>
    </xf>
    <xf numFmtId="169" fontId="0" fillId="0" borderId="1" xfId="0" applyNumberFormat="1" applyBorder="1" applyAlignment="1">
      <alignment horizontal="center" vertical="center" wrapText="1"/>
    </xf>
    <xf numFmtId="9" fontId="0" fillId="0" borderId="6" xfId="3" applyFont="1" applyBorder="1" applyAlignment="1">
      <alignment horizontal="center" vertical="center" wrapText="1"/>
    </xf>
    <xf numFmtId="0" fontId="18" fillId="0" borderId="1" xfId="0" applyFont="1" applyBorder="1" applyAlignment="1">
      <alignment horizontal="center" vertical="center" wrapText="1"/>
    </xf>
    <xf numFmtId="9" fontId="0" fillId="0" borderId="1" xfId="3" applyFont="1" applyFill="1" applyBorder="1" applyAlignment="1">
      <alignment horizontal="center" vertical="center" wrapText="1"/>
    </xf>
    <xf numFmtId="169" fontId="1" fillId="0" borderId="1" xfId="2" applyNumberFormat="1" applyFont="1" applyFill="1" applyBorder="1" applyAlignment="1">
      <alignment horizontal="center" vertical="center" wrapText="1"/>
    </xf>
    <xf numFmtId="0" fontId="0" fillId="0" borderId="1" xfId="0" applyBorder="1" applyAlignment="1">
      <alignment horizontal="left" vertical="center" wrapText="1"/>
    </xf>
    <xf numFmtId="0" fontId="8" fillId="8"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9" fontId="15" fillId="0" borderId="1" xfId="3" applyFont="1" applyBorder="1" applyAlignment="1">
      <alignment horizontal="center" vertical="center" wrapText="1"/>
    </xf>
    <xf numFmtId="0" fontId="11" fillId="9" borderId="1" xfId="0" applyFont="1" applyFill="1" applyBorder="1" applyAlignment="1">
      <alignment horizontal="center" vertical="center" wrapText="1"/>
    </xf>
    <xf numFmtId="0" fontId="0" fillId="0" borderId="1" xfId="0" applyBorder="1" applyAlignment="1">
      <alignment horizontal="justify" vertical="center" wrapText="1"/>
    </xf>
    <xf numFmtId="0" fontId="16" fillId="0" borderId="1" xfId="0" applyFont="1" applyBorder="1" applyAlignment="1">
      <alignment vertical="center" wrapText="1"/>
    </xf>
    <xf numFmtId="0" fontId="1" fillId="0" borderId="0" xfId="0" applyFont="1" applyAlignment="1">
      <alignment horizontal="center" wrapText="1"/>
    </xf>
    <xf numFmtId="1" fontId="1" fillId="4" borderId="1" xfId="0" applyNumberFormat="1" applyFont="1" applyFill="1" applyBorder="1" applyAlignment="1">
      <alignment horizontal="center" vertical="center" wrapText="1"/>
    </xf>
    <xf numFmtId="1" fontId="1" fillId="0" borderId="1" xfId="0" applyNumberFormat="1" applyFont="1" applyBorder="1" applyAlignment="1">
      <alignment horizontal="center" vertical="center" wrapText="1"/>
    </xf>
    <xf numFmtId="2" fontId="1" fillId="0" borderId="1" xfId="3" applyNumberFormat="1" applyFont="1" applyFill="1" applyBorder="1" applyAlignment="1">
      <alignment horizontal="center" vertical="center" wrapText="1"/>
    </xf>
    <xf numFmtId="1" fontId="1" fillId="5" borderId="1" xfId="0" applyNumberFormat="1" applyFont="1" applyFill="1" applyBorder="1" applyAlignment="1">
      <alignment horizontal="center" vertical="center" wrapText="1"/>
    </xf>
    <xf numFmtId="0" fontId="1" fillId="0" borderId="1" xfId="3" applyNumberFormat="1" applyFont="1" applyFill="1" applyBorder="1" applyAlignment="1">
      <alignment horizontal="center" vertical="center" wrapText="1"/>
    </xf>
    <xf numFmtId="1" fontId="1" fillId="0" borderId="1" xfId="3" applyNumberFormat="1" applyFont="1" applyFill="1" applyBorder="1" applyAlignment="1">
      <alignment horizontal="center" vertical="center" wrapText="1"/>
    </xf>
    <xf numFmtId="0" fontId="1" fillId="0" borderId="4" xfId="3"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170" fontId="1" fillId="0" borderId="1" xfId="3" applyNumberFormat="1"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0" borderId="1" xfId="0" applyFont="1" applyBorder="1" applyAlignment="1">
      <alignment horizontal="center" vertical="center" wrapText="1"/>
    </xf>
    <xf numFmtId="167" fontId="15" fillId="0" borderId="1" xfId="2" applyFont="1" applyFill="1" applyBorder="1" applyAlignment="1">
      <alignment horizontal="center" vertical="center" wrapText="1"/>
    </xf>
    <xf numFmtId="165" fontId="0" fillId="0" borderId="1" xfId="3" applyNumberFormat="1" applyFont="1" applyFill="1" applyBorder="1" applyAlignment="1">
      <alignment horizontal="center" vertical="center" wrapText="1"/>
    </xf>
    <xf numFmtId="0" fontId="1" fillId="0" borderId="4" xfId="2" applyNumberFormat="1" applyFont="1" applyFill="1" applyBorder="1" applyAlignment="1">
      <alignment horizontal="center" vertical="center" wrapText="1"/>
    </xf>
    <xf numFmtId="0" fontId="1" fillId="6" borderId="1" xfId="2" applyNumberFormat="1" applyFont="1" applyFill="1" applyBorder="1" applyAlignment="1">
      <alignment horizontal="center" vertical="center" wrapText="1"/>
    </xf>
    <xf numFmtId="164" fontId="1" fillId="0" borderId="1" xfId="2" applyNumberFormat="1" applyFont="1" applyFill="1" applyBorder="1" applyAlignment="1">
      <alignment horizontal="center" vertical="center" wrapText="1"/>
    </xf>
    <xf numFmtId="0" fontId="1" fillId="0" borderId="0" xfId="0" applyFont="1"/>
    <xf numFmtId="166" fontId="8" fillId="0" borderId="1"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2" fontId="1" fillId="0" borderId="5" xfId="3" applyNumberFormat="1" applyFont="1" applyFill="1" applyBorder="1" applyAlignment="1">
      <alignment horizontal="center" vertical="center" wrapText="1"/>
    </xf>
    <xf numFmtId="2" fontId="1" fillId="0" borderId="6" xfId="3" applyNumberFormat="1" applyFont="1" applyFill="1" applyBorder="1" applyAlignment="1">
      <alignment horizontal="center" vertical="center" wrapText="1"/>
    </xf>
    <xf numFmtId="1" fontId="1" fillId="0" borderId="6" xfId="0" applyNumberFormat="1" applyFont="1" applyBorder="1" applyAlignment="1">
      <alignment horizontal="center" vertical="center" wrapText="1"/>
    </xf>
    <xf numFmtId="1" fontId="1" fillId="0" borderId="5" xfId="3" applyNumberFormat="1" applyFont="1" applyFill="1" applyBorder="1" applyAlignment="1">
      <alignment horizontal="center" vertical="center" wrapText="1"/>
    </xf>
    <xf numFmtId="1" fontId="1" fillId="0" borderId="6" xfId="3" applyNumberFormat="1" applyFont="1" applyFill="1" applyBorder="1" applyAlignment="1">
      <alignment horizontal="center" vertical="center" wrapText="1"/>
    </xf>
    <xf numFmtId="0" fontId="1" fillId="0" borderId="4" xfId="1" applyNumberFormat="1" applyFont="1" applyFill="1" applyBorder="1" applyAlignment="1">
      <alignment horizontal="center" vertical="center" wrapText="1"/>
    </xf>
    <xf numFmtId="0" fontId="1" fillId="0" borderId="6" xfId="1" applyNumberFormat="1" applyFont="1" applyFill="1" applyBorder="1" applyAlignment="1">
      <alignment horizontal="center" vertical="center" wrapText="1"/>
    </xf>
    <xf numFmtId="9" fontId="0" fillId="0" borderId="4" xfId="3" applyFont="1" applyFill="1" applyBorder="1" applyAlignment="1">
      <alignment horizontal="center" vertical="center" wrapText="1"/>
    </xf>
    <xf numFmtId="9" fontId="0" fillId="0" borderId="6" xfId="3" applyFont="1" applyFill="1" applyBorder="1" applyAlignment="1">
      <alignment horizontal="center" vertical="center" wrapText="1"/>
    </xf>
    <xf numFmtId="0" fontId="0" fillId="0" borderId="4" xfId="3" applyNumberFormat="1" applyFont="1" applyFill="1" applyBorder="1" applyAlignment="1">
      <alignment horizontal="center" vertical="center" wrapText="1"/>
    </xf>
    <xf numFmtId="0" fontId="0" fillId="0" borderId="5" xfId="3" applyNumberFormat="1" applyFont="1" applyFill="1" applyBorder="1" applyAlignment="1">
      <alignment horizontal="center" vertical="center" wrapText="1"/>
    </xf>
    <xf numFmtId="0" fontId="0" fillId="0" borderId="6" xfId="3" applyNumberFormat="1" applyFont="1" applyFill="1" applyBorder="1" applyAlignment="1">
      <alignment horizontal="center" vertical="center" wrapText="1"/>
    </xf>
    <xf numFmtId="1" fontId="15" fillId="0" borderId="5" xfId="3" applyNumberFormat="1" applyFont="1" applyFill="1" applyBorder="1" applyAlignment="1">
      <alignment horizontal="center" vertical="center" wrapText="1"/>
    </xf>
    <xf numFmtId="1" fontId="15" fillId="0" borderId="6" xfId="3"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 fillId="0" borderId="4" xfId="3" applyNumberFormat="1" applyFont="1" applyFill="1" applyBorder="1" applyAlignment="1">
      <alignment horizontal="center" vertical="center" wrapText="1"/>
    </xf>
    <xf numFmtId="0" fontId="1" fillId="0" borderId="5" xfId="3" applyNumberFormat="1" applyFont="1" applyFill="1" applyBorder="1" applyAlignment="1">
      <alignment horizontal="center" vertical="center" wrapText="1"/>
    </xf>
    <xf numFmtId="0" fontId="1" fillId="0" borderId="6" xfId="3" applyNumberFormat="1" applyFont="1" applyFill="1" applyBorder="1" applyAlignment="1">
      <alignment horizontal="center" vertical="center" wrapText="1"/>
    </xf>
    <xf numFmtId="170" fontId="1" fillId="0" borderId="4" xfId="3" applyNumberFormat="1" applyFont="1" applyFill="1" applyBorder="1" applyAlignment="1">
      <alignment horizontal="center" vertical="center" wrapText="1"/>
    </xf>
    <xf numFmtId="170" fontId="1" fillId="0" borderId="5" xfId="3" applyNumberFormat="1" applyFont="1" applyFill="1" applyBorder="1" applyAlignment="1">
      <alignment horizontal="center" vertical="center" wrapText="1"/>
    </xf>
    <xf numFmtId="170" fontId="1" fillId="0" borderId="6" xfId="3" applyNumberFormat="1" applyFont="1" applyFill="1" applyBorder="1" applyAlignment="1">
      <alignment horizontal="center" vertical="center" wrapText="1"/>
    </xf>
    <xf numFmtId="169" fontId="0" fillId="0" borderId="6" xfId="2" applyNumberFormat="1" applyFont="1" applyFill="1" applyBorder="1" applyAlignment="1">
      <alignment horizontal="center" vertical="center" wrapText="1"/>
    </xf>
    <xf numFmtId="0" fontId="0" fillId="0" borderId="1" xfId="0" applyBorder="1" applyAlignment="1">
      <alignment horizontal="center" vertical="center" wrapText="1"/>
    </xf>
    <xf numFmtId="9" fontId="15" fillId="0" borderId="4" xfId="3" applyFont="1" applyFill="1" applyBorder="1" applyAlignment="1">
      <alignment horizontal="center" vertical="center" wrapText="1"/>
    </xf>
    <xf numFmtId="9" fontId="0" fillId="0" borderId="4" xfId="3" applyFont="1" applyBorder="1" applyAlignment="1">
      <alignment horizontal="center" vertical="center" wrapText="1"/>
    </xf>
    <xf numFmtId="9" fontId="0" fillId="0" borderId="6" xfId="3" applyFont="1" applyBorder="1" applyAlignment="1">
      <alignment horizontal="center" vertical="center" wrapText="1"/>
    </xf>
    <xf numFmtId="10" fontId="0" fillId="0" borderId="4" xfId="3" applyNumberFormat="1" applyFont="1" applyFill="1" applyBorder="1" applyAlignment="1">
      <alignment horizontal="center" vertical="center" wrapText="1"/>
    </xf>
    <xf numFmtId="10" fontId="0" fillId="0" borderId="6" xfId="3" applyNumberFormat="1" applyFont="1" applyFill="1" applyBorder="1" applyAlignment="1">
      <alignment horizontal="center" vertical="center" wrapText="1"/>
    </xf>
    <xf numFmtId="9" fontId="0" fillId="0" borderId="4" xfId="0" applyNumberFormat="1" applyBorder="1" applyAlignment="1">
      <alignment horizontal="center" vertical="center" wrapText="1"/>
    </xf>
    <xf numFmtId="9" fontId="0" fillId="0" borderId="6" xfId="0" applyNumberFormat="1" applyBorder="1" applyAlignment="1">
      <alignment horizontal="center" vertical="center" wrapText="1"/>
    </xf>
    <xf numFmtId="9" fontId="0" fillId="0" borderId="1" xfId="3" applyFont="1" applyBorder="1" applyAlignment="1">
      <alignment horizontal="center" vertical="center" wrapText="1"/>
    </xf>
    <xf numFmtId="0" fontId="0" fillId="0" borderId="1" xfId="3" applyNumberFormat="1" applyFont="1" applyFill="1" applyBorder="1" applyAlignment="1">
      <alignment horizontal="center" vertical="center" wrapText="1"/>
    </xf>
    <xf numFmtId="1" fontId="1" fillId="0" borderId="1" xfId="0" applyNumberFormat="1" applyFont="1" applyBorder="1" applyAlignment="1">
      <alignment horizontal="center" vertical="center" wrapText="1"/>
    </xf>
    <xf numFmtId="9" fontId="15" fillId="0" borderId="4" xfId="3" applyFont="1" applyBorder="1" applyAlignment="1">
      <alignment horizontal="center" vertical="center" wrapText="1"/>
    </xf>
    <xf numFmtId="9" fontId="15" fillId="0" borderId="5" xfId="3" applyFont="1" applyBorder="1" applyAlignment="1">
      <alignment horizontal="center" vertical="center" wrapText="1"/>
    </xf>
    <xf numFmtId="9" fontId="15" fillId="0" borderId="6" xfId="3" applyFont="1" applyBorder="1" applyAlignment="1">
      <alignment horizontal="center" vertical="center" wrapText="1"/>
    </xf>
    <xf numFmtId="9" fontId="0" fillId="0" borderId="5" xfId="0" applyNumberFormat="1" applyBorder="1" applyAlignment="1">
      <alignment horizontal="center" vertical="center" wrapText="1"/>
    </xf>
    <xf numFmtId="10" fontId="0" fillId="0" borderId="5" xfId="3" applyNumberFormat="1" applyFont="1" applyFill="1" applyBorder="1" applyAlignment="1">
      <alignment horizontal="center" vertical="center" wrapText="1"/>
    </xf>
    <xf numFmtId="0" fontId="0" fillId="0" borderId="1" xfId="0" applyBorder="1" applyAlignment="1">
      <alignment horizontal="center" vertical="center" wrapText="1"/>
    </xf>
    <xf numFmtId="169" fontId="0" fillId="0" borderId="4" xfId="0" applyNumberFormat="1" applyBorder="1" applyAlignment="1">
      <alignment horizontal="center" vertical="center" wrapText="1"/>
    </xf>
    <xf numFmtId="169" fontId="0" fillId="0" borderId="6" xfId="0" applyNumberFormat="1" applyBorder="1" applyAlignment="1">
      <alignment horizontal="center" vertical="center" wrapText="1"/>
    </xf>
    <xf numFmtId="9" fontId="0" fillId="0" borderId="4" xfId="3" applyFont="1" applyBorder="1" applyAlignment="1">
      <alignment horizontal="center" vertical="center" wrapText="1"/>
    </xf>
    <xf numFmtId="9" fontId="0" fillId="0" borderId="5" xfId="3" applyFont="1" applyBorder="1" applyAlignment="1">
      <alignment horizontal="center" vertical="center" wrapText="1"/>
    </xf>
    <xf numFmtId="9" fontId="0" fillId="0" borderId="6" xfId="0" applyNumberFormat="1" applyBorder="1" applyAlignment="1">
      <alignment horizontal="center" vertical="center" wrapText="1"/>
    </xf>
    <xf numFmtId="167" fontId="1" fillId="0" borderId="1" xfId="2" applyFont="1" applyBorder="1" applyAlignment="1">
      <alignment horizontal="center" vertical="center" wrapText="1"/>
    </xf>
    <xf numFmtId="167" fontId="0" fillId="0" borderId="1" xfId="2" applyFont="1" applyBorder="1" applyAlignment="1">
      <alignment horizontal="center" vertical="center" wrapText="1"/>
    </xf>
    <xf numFmtId="165" fontId="1" fillId="0" borderId="5" xfId="2" applyNumberFormat="1" applyFont="1" applyBorder="1" applyAlignment="1">
      <alignment horizontal="center" vertical="center" wrapText="1"/>
    </xf>
    <xf numFmtId="165" fontId="1" fillId="0" borderId="6" xfId="2" applyNumberFormat="1" applyFont="1" applyBorder="1" applyAlignment="1">
      <alignment horizontal="center" vertical="center" wrapText="1"/>
    </xf>
    <xf numFmtId="165" fontId="0" fillId="0" borderId="5" xfId="2" applyNumberFormat="1" applyFont="1" applyBorder="1" applyAlignment="1">
      <alignment horizontal="center" vertical="center" wrapText="1"/>
    </xf>
    <xf numFmtId="165" fontId="0" fillId="0" borderId="6" xfId="2" applyNumberFormat="1" applyFont="1" applyBorder="1" applyAlignment="1">
      <alignment horizontal="center" vertical="center" wrapText="1"/>
    </xf>
    <xf numFmtId="9" fontId="15" fillId="0" borderId="5" xfId="3" applyFont="1" applyBorder="1" applyAlignment="1">
      <alignment horizontal="center" vertical="center" wrapText="1"/>
    </xf>
    <xf numFmtId="9" fontId="15" fillId="0" borderId="6" xfId="3" applyFont="1"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1" fontId="1" fillId="0" borderId="6" xfId="3" applyNumberFormat="1" applyFont="1" applyFill="1" applyBorder="1" applyAlignment="1">
      <alignment horizontal="center" vertical="center" wrapText="1"/>
    </xf>
    <xf numFmtId="9" fontId="0" fillId="0" borderId="4" xfId="3" applyFont="1" applyFill="1" applyBorder="1" applyAlignment="1">
      <alignment horizontal="center" vertical="center" wrapText="1"/>
    </xf>
    <xf numFmtId="0" fontId="0" fillId="0" borderId="4" xfId="3" applyNumberFormat="1" applyFont="1" applyFill="1" applyBorder="1" applyAlignment="1">
      <alignment horizontal="center" vertical="center" wrapText="1"/>
    </xf>
    <xf numFmtId="10" fontId="0" fillId="0" borderId="6" xfId="3" applyNumberFormat="1" applyFont="1" applyFill="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1" fillId="0" borderId="6" xfId="3" applyNumberFormat="1" applyFont="1" applyFill="1" applyBorder="1" applyAlignment="1">
      <alignment horizontal="center" vertical="center" wrapText="1"/>
    </xf>
    <xf numFmtId="170" fontId="1" fillId="0" borderId="4" xfId="3" applyNumberFormat="1" applyFont="1" applyFill="1" applyBorder="1" applyAlignment="1">
      <alignment horizontal="center" vertical="center" wrapText="1"/>
    </xf>
    <xf numFmtId="167" fontId="15" fillId="0" borderId="1" xfId="2" applyFont="1" applyBorder="1" applyAlignment="1">
      <alignment horizontal="center" vertical="center" wrapText="1"/>
    </xf>
    <xf numFmtId="165" fontId="15" fillId="0" borderId="5" xfId="2" applyNumberFormat="1" applyFont="1" applyBorder="1" applyAlignment="1">
      <alignment horizontal="center" vertical="center" wrapText="1"/>
    </xf>
    <xf numFmtId="169" fontId="15" fillId="0" borderId="5" xfId="2" applyNumberFormat="1" applyFont="1" applyBorder="1" applyAlignment="1">
      <alignment horizontal="center" vertical="center" wrapText="1"/>
    </xf>
    <xf numFmtId="169" fontId="0" fillId="0" borderId="5" xfId="0" applyNumberFormat="1" applyBorder="1" applyAlignment="1">
      <alignment horizontal="center" vertical="center" wrapText="1"/>
    </xf>
    <xf numFmtId="0" fontId="0" fillId="0" borderId="5" xfId="0" applyBorder="1" applyAlignment="1">
      <alignment horizontal="left" vertical="center" wrapText="1"/>
    </xf>
    <xf numFmtId="1" fontId="15" fillId="0" borderId="6" xfId="3" applyNumberFormat="1" applyFont="1" applyFill="1" applyBorder="1" applyAlignment="1">
      <alignment horizontal="center" vertical="center" wrapText="1"/>
    </xf>
    <xf numFmtId="0" fontId="0" fillId="0" borderId="5" xfId="0" applyBorder="1" applyAlignment="1">
      <alignment horizontal="left" wrapText="1"/>
    </xf>
    <xf numFmtId="0" fontId="0" fillId="4" borderId="1" xfId="0" applyFill="1" applyBorder="1" applyAlignment="1">
      <alignment horizontal="center" vertical="center" wrapText="1"/>
    </xf>
    <xf numFmtId="0" fontId="0" fillId="4" borderId="4" xfId="0" applyFill="1" applyBorder="1" applyAlignment="1">
      <alignment horizontal="center" vertical="center" wrapText="1"/>
    </xf>
    <xf numFmtId="0" fontId="0" fillId="4" borderId="6" xfId="0" applyFill="1" applyBorder="1" applyAlignment="1">
      <alignment horizontal="center" vertical="center" wrapText="1"/>
    </xf>
    <xf numFmtId="0" fontId="0" fillId="5" borderId="1" xfId="0" applyFill="1" applyBorder="1" applyAlignment="1">
      <alignment horizontal="center" vertical="center" wrapText="1"/>
    </xf>
    <xf numFmtId="0" fontId="0" fillId="6" borderId="1" xfId="0" applyFill="1" applyBorder="1" applyAlignment="1">
      <alignment horizontal="center" vertical="center" wrapText="1"/>
    </xf>
    <xf numFmtId="0" fontId="0" fillId="6" borderId="1" xfId="0" applyFill="1" applyBorder="1" applyAlignment="1">
      <alignment horizontal="center" vertical="center" textRotation="90" wrapText="1"/>
    </xf>
    <xf numFmtId="9" fontId="0" fillId="0" borderId="1" xfId="3" applyFont="1" applyBorder="1" applyAlignment="1">
      <alignment horizontal="center" vertical="center" wrapText="1"/>
    </xf>
    <xf numFmtId="0" fontId="0" fillId="4" borderId="1" xfId="0" applyFill="1" applyBorder="1" applyAlignment="1">
      <alignment horizontal="center" vertical="center" textRotation="90" wrapText="1"/>
    </xf>
    <xf numFmtId="0" fontId="0" fillId="0" borderId="1" xfId="3" applyNumberFormat="1" applyFont="1" applyFill="1" applyBorder="1" applyAlignment="1">
      <alignment horizontal="center" vertical="center" wrapText="1"/>
    </xf>
    <xf numFmtId="0" fontId="0" fillId="5" borderId="1" xfId="0" applyFill="1" applyBorder="1" applyAlignment="1">
      <alignment horizontal="center" vertical="center" textRotation="90" wrapText="1"/>
    </xf>
    <xf numFmtId="9" fontId="15" fillId="0" borderId="6" xfId="3" applyFont="1" applyFill="1" applyBorder="1" applyAlignment="1">
      <alignment horizontal="center" vertical="center" wrapText="1"/>
    </xf>
    <xf numFmtId="9" fontId="1" fillId="0" borderId="4" xfId="3" applyFont="1" applyBorder="1" applyAlignment="1">
      <alignment vertical="center" wrapText="1"/>
    </xf>
    <xf numFmtId="9" fontId="1" fillId="0" borderId="5" xfId="3" applyFont="1" applyBorder="1" applyAlignment="1">
      <alignment vertical="center" wrapText="1"/>
    </xf>
    <xf numFmtId="9" fontId="1" fillId="0" borderId="6" xfId="3" applyFont="1" applyBorder="1" applyAlignment="1">
      <alignment vertical="center" wrapText="1"/>
    </xf>
    <xf numFmtId="9" fontId="1" fillId="0" borderId="5" xfId="3" applyFont="1" applyBorder="1" applyAlignment="1">
      <alignment horizontal="center" vertical="center" wrapText="1"/>
    </xf>
    <xf numFmtId="9" fontId="1" fillId="0" borderId="4" xfId="3" applyFont="1" applyBorder="1" applyAlignment="1">
      <alignment horizontal="center" vertical="center" wrapText="1"/>
    </xf>
    <xf numFmtId="9" fontId="1" fillId="0" borderId="1" xfId="3" applyFont="1" applyFill="1" applyBorder="1" applyAlignment="1">
      <alignment horizontal="center" vertical="center" wrapText="1"/>
    </xf>
    <xf numFmtId="9" fontId="1" fillId="0" borderId="4" xfId="3" applyFont="1" applyFill="1" applyBorder="1" applyAlignment="1">
      <alignment horizontal="center" vertical="center" wrapText="1"/>
    </xf>
    <xf numFmtId="9" fontId="1" fillId="0" borderId="1" xfId="3" applyFont="1" applyBorder="1" applyAlignment="1">
      <alignment horizontal="center" vertical="center" wrapText="1"/>
    </xf>
    <xf numFmtId="0" fontId="8" fillId="9" borderId="1" xfId="0" applyFont="1" applyFill="1" applyBorder="1" applyAlignment="1">
      <alignment horizontal="center" vertical="center" wrapText="1"/>
    </xf>
    <xf numFmtId="9" fontId="0" fillId="0" borderId="0" xfId="3" applyFont="1" applyAlignment="1">
      <alignment horizontal="center" vertical="center"/>
    </xf>
    <xf numFmtId="0" fontId="12" fillId="0" borderId="0" xfId="0" applyFont="1" applyBorder="1" applyAlignment="1">
      <alignment horizontal="center" vertical="center" wrapText="1"/>
    </xf>
    <xf numFmtId="0" fontId="7" fillId="9" borderId="1" xfId="0" applyFont="1" applyFill="1" applyBorder="1" applyAlignment="1">
      <alignment horizontal="center" vertical="center" wrapText="1"/>
    </xf>
    <xf numFmtId="0" fontId="0" fillId="0" borderId="0" xfId="0" quotePrefix="1"/>
    <xf numFmtId="9" fontId="1" fillId="0" borderId="6" xfId="0" applyNumberFormat="1" applyFont="1" applyBorder="1" applyAlignment="1">
      <alignment horizontal="center" vertical="center" wrapText="1"/>
    </xf>
    <xf numFmtId="9" fontId="1" fillId="0" borderId="6" xfId="3" applyFont="1" applyFill="1" applyBorder="1" applyAlignment="1">
      <alignment horizontal="center" vertical="center" wrapText="1"/>
    </xf>
    <xf numFmtId="167" fontId="15" fillId="0" borderId="4" xfId="2" applyFont="1" applyBorder="1" applyAlignment="1">
      <alignment horizontal="center" vertical="center" wrapText="1"/>
    </xf>
    <xf numFmtId="9" fontId="1" fillId="0" borderId="6" xfId="3" applyNumberFormat="1" applyFont="1" applyFill="1" applyBorder="1" applyAlignment="1">
      <alignment horizontal="center" vertical="center" wrapText="1"/>
    </xf>
    <xf numFmtId="165" fontId="0" fillId="0" borderId="4" xfId="3" applyNumberFormat="1" applyFont="1" applyFill="1" applyBorder="1" applyAlignment="1">
      <alignment horizontal="center" vertical="center" wrapText="1"/>
    </xf>
    <xf numFmtId="164" fontId="1" fillId="0" borderId="4" xfId="2" applyNumberFormat="1" applyFont="1" applyFill="1" applyBorder="1" applyAlignment="1">
      <alignment horizontal="center" vertical="center" wrapText="1"/>
    </xf>
    <xf numFmtId="164" fontId="0" fillId="0" borderId="4" xfId="2" applyNumberFormat="1" applyFont="1" applyFill="1" applyBorder="1" applyAlignment="1">
      <alignment horizontal="center" vertical="center" wrapText="1"/>
    </xf>
    <xf numFmtId="0" fontId="0" fillId="0" borderId="4" xfId="0" applyBorder="1" applyAlignment="1">
      <alignment vertical="center" wrapText="1"/>
    </xf>
    <xf numFmtId="0" fontId="0" fillId="0" borderId="1" xfId="0" applyBorder="1"/>
    <xf numFmtId="0" fontId="0" fillId="0" borderId="1" xfId="0" applyBorder="1" applyAlignment="1">
      <alignment horizontal="center"/>
    </xf>
    <xf numFmtId="1" fontId="0" fillId="0" borderId="1" xfId="0" applyNumberFormat="1" applyBorder="1" applyAlignment="1">
      <alignment horizontal="center" vertical="center"/>
    </xf>
    <xf numFmtId="9" fontId="0" fillId="0" borderId="1" xfId="3" applyFont="1" applyBorder="1" applyAlignment="1">
      <alignment horizontal="center" vertical="center"/>
    </xf>
    <xf numFmtId="0" fontId="1" fillId="0" borderId="1" xfId="0" applyFont="1" applyBorder="1"/>
    <xf numFmtId="9" fontId="0" fillId="0" borderId="1" xfId="3" applyFont="1" applyBorder="1"/>
    <xf numFmtId="9" fontId="0" fillId="0" borderId="1" xfId="3"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9" fontId="0" fillId="0" borderId="6" xfId="3" applyFont="1" applyBorder="1" applyAlignment="1">
      <alignment horizontal="center" vertical="center" wrapText="1"/>
    </xf>
    <xf numFmtId="9" fontId="0" fillId="0" borderId="4" xfId="3" applyFont="1" applyFill="1" applyBorder="1" applyAlignment="1">
      <alignment horizontal="center" vertical="center" wrapText="1"/>
    </xf>
    <xf numFmtId="0" fontId="0" fillId="0" borderId="4" xfId="3" applyNumberFormat="1" applyFont="1" applyFill="1" applyBorder="1" applyAlignment="1">
      <alignment horizontal="center" vertical="center" wrapText="1"/>
    </xf>
    <xf numFmtId="1" fontId="1" fillId="4" borderId="1" xfId="0" applyNumberFormat="1" applyFont="1" applyFill="1" applyBorder="1" applyAlignment="1">
      <alignment horizontal="center" vertical="center" wrapText="1"/>
    </xf>
    <xf numFmtId="0" fontId="0" fillId="0" borderId="4" xfId="0" applyBorder="1" applyAlignment="1">
      <alignment horizontal="left" vertical="center" wrapText="1"/>
    </xf>
    <xf numFmtId="0" fontId="1" fillId="0" borderId="4" xfId="3" applyNumberFormat="1" applyFont="1" applyFill="1" applyBorder="1" applyAlignment="1">
      <alignment horizontal="center" vertical="center" wrapText="1"/>
    </xf>
    <xf numFmtId="1" fontId="1" fillId="0" borderId="1" xfId="0" applyNumberFormat="1" applyFont="1" applyBorder="1" applyAlignment="1">
      <alignment horizontal="center" vertical="center" wrapText="1"/>
    </xf>
    <xf numFmtId="0" fontId="0" fillId="4" borderId="1" xfId="0" applyFill="1" applyBorder="1" applyAlignment="1">
      <alignment horizontal="center" vertical="center" wrapText="1"/>
    </xf>
    <xf numFmtId="0" fontId="0" fillId="4" borderId="4" xfId="0" applyFill="1" applyBorder="1" applyAlignment="1">
      <alignment horizontal="center" vertical="center" wrapText="1"/>
    </xf>
    <xf numFmtId="0" fontId="0" fillId="5" borderId="1" xfId="0" applyFill="1" applyBorder="1" applyAlignment="1">
      <alignment horizontal="center" vertical="center" wrapText="1"/>
    </xf>
    <xf numFmtId="0" fontId="0" fillId="6" borderId="1" xfId="0" applyFill="1" applyBorder="1" applyAlignment="1">
      <alignment horizontal="center" vertical="center" wrapText="1"/>
    </xf>
    <xf numFmtId="169" fontId="0" fillId="6" borderId="1" xfId="2"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9" fontId="0" fillId="0" borderId="1" xfId="3" applyFont="1" applyBorder="1" applyAlignment="1">
      <alignment horizontal="center" vertical="center" wrapText="1"/>
    </xf>
    <xf numFmtId="1" fontId="0" fillId="4" borderId="1" xfId="0" applyNumberFormat="1" applyFill="1" applyBorder="1" applyAlignment="1">
      <alignment horizontal="center" vertical="center" wrapText="1"/>
    </xf>
    <xf numFmtId="1" fontId="1" fillId="5" borderId="1" xfId="0" applyNumberFormat="1" applyFont="1" applyFill="1" applyBorder="1" applyAlignment="1">
      <alignment horizontal="center" vertical="center" wrapText="1"/>
    </xf>
    <xf numFmtId="0" fontId="0" fillId="0" borderId="1" xfId="0" applyBorder="1" applyAlignment="1">
      <alignment horizontal="left" vertical="center" wrapText="1"/>
    </xf>
    <xf numFmtId="1" fontId="0" fillId="5" borderId="1" xfId="0" applyNumberFormat="1" applyFill="1" applyBorder="1" applyAlignment="1">
      <alignment horizontal="center" vertical="center" wrapText="1"/>
    </xf>
    <xf numFmtId="1" fontId="0" fillId="4" borderId="4" xfId="0" applyNumberFormat="1" applyFill="1" applyBorder="1" applyAlignment="1">
      <alignment horizontal="center" vertical="center" wrapText="1"/>
    </xf>
    <xf numFmtId="0" fontId="0" fillId="10" borderId="1" xfId="0" applyFill="1" applyBorder="1" applyAlignment="1">
      <alignment horizontal="center" vertical="center" wrapText="1"/>
    </xf>
    <xf numFmtId="0" fontId="0" fillId="0" borderId="6" xfId="0" applyBorder="1" applyAlignment="1">
      <alignment vertical="center" wrapText="1"/>
    </xf>
    <xf numFmtId="0" fontId="19" fillId="0" borderId="4" xfId="0" applyFont="1" applyBorder="1" applyAlignment="1">
      <alignment vertical="center" wrapText="1"/>
    </xf>
    <xf numFmtId="0" fontId="0" fillId="10" borderId="1" xfId="0" applyFill="1" applyBorder="1" applyAlignment="1">
      <alignment horizontal="center" vertical="center"/>
    </xf>
    <xf numFmtId="9" fontId="0" fillId="0" borderId="1" xfId="0" applyNumberFormat="1" applyBorder="1" applyAlignment="1">
      <alignment horizontal="center" vertical="center"/>
    </xf>
    <xf numFmtId="0" fontId="7" fillId="0" borderId="15" xfId="0" applyFont="1" applyBorder="1" applyAlignment="1">
      <alignment vertical="center" wrapText="1"/>
    </xf>
    <xf numFmtId="0" fontId="7" fillId="0" borderId="17" xfId="0" applyFont="1" applyBorder="1" applyAlignment="1">
      <alignment vertical="center" wrapText="1"/>
    </xf>
    <xf numFmtId="0" fontId="7" fillId="0" borderId="22" xfId="0" applyFont="1" applyBorder="1" applyAlignment="1">
      <alignment vertical="center" wrapText="1"/>
    </xf>
    <xf numFmtId="0" fontId="31" fillId="0" borderId="0" xfId="0" applyFont="1" applyAlignment="1">
      <alignment vertical="center"/>
    </xf>
    <xf numFmtId="0" fontId="25" fillId="14" borderId="41" xfId="0" applyFont="1" applyFill="1" applyBorder="1" applyAlignment="1">
      <alignment horizontal="center" vertical="center" wrapText="1"/>
    </xf>
    <xf numFmtId="0" fontId="25" fillId="14" borderId="4" xfId="0" applyFont="1" applyFill="1" applyBorder="1" applyAlignment="1">
      <alignment horizontal="center" vertical="center" wrapText="1"/>
    </xf>
    <xf numFmtId="0" fontId="29" fillId="14" borderId="5" xfId="0" applyFont="1" applyFill="1" applyBorder="1" applyAlignment="1">
      <alignment horizontal="center" vertical="center" wrapText="1"/>
    </xf>
    <xf numFmtId="0" fontId="29" fillId="14" borderId="4" xfId="0" applyFont="1" applyFill="1" applyBorder="1" applyAlignment="1">
      <alignment horizontal="center" vertical="center" wrapText="1"/>
    </xf>
    <xf numFmtId="0" fontId="25" fillId="14" borderId="5" xfId="0" applyFont="1" applyFill="1" applyBorder="1" applyAlignment="1">
      <alignment horizontal="center" vertical="center" wrapText="1"/>
    </xf>
    <xf numFmtId="0" fontId="29" fillId="4" borderId="41" xfId="0" applyFont="1" applyFill="1" applyBorder="1" applyAlignment="1">
      <alignment horizontal="center" vertical="center" wrapText="1"/>
    </xf>
    <xf numFmtId="0" fontId="29" fillId="4" borderId="4" xfId="0" applyFont="1" applyFill="1" applyBorder="1" applyAlignment="1">
      <alignment horizontal="center" vertical="center" wrapText="1"/>
    </xf>
    <xf numFmtId="0" fontId="25" fillId="4" borderId="45" xfId="0" applyFont="1" applyFill="1" applyBorder="1" applyAlignment="1">
      <alignment horizontal="center" vertical="center" wrapText="1"/>
    </xf>
    <xf numFmtId="0" fontId="25" fillId="4" borderId="4" xfId="0" applyFont="1" applyFill="1" applyBorder="1" applyAlignment="1">
      <alignment horizontal="center" vertical="center" wrapText="1"/>
    </xf>
    <xf numFmtId="0" fontId="31" fillId="0" borderId="0" xfId="0" applyFont="1"/>
    <xf numFmtId="14" fontId="0" fillId="0" borderId="1" xfId="0" applyNumberFormat="1" applyBorder="1" applyAlignment="1">
      <alignment horizontal="center" vertical="center"/>
    </xf>
    <xf numFmtId="9" fontId="1" fillId="0" borderId="1" xfId="0" applyNumberFormat="1" applyFont="1" applyBorder="1" applyAlignment="1">
      <alignment horizontal="center" vertical="center"/>
    </xf>
    <xf numFmtId="9" fontId="1" fillId="0" borderId="1" xfId="3" applyFont="1" applyBorder="1" applyAlignment="1">
      <alignment horizontal="center" vertical="center"/>
    </xf>
    <xf numFmtId="0" fontId="0" fillId="0" borderId="1" xfId="0" applyBorder="1" applyAlignment="1">
      <alignment horizontal="left" wrapText="1"/>
    </xf>
    <xf numFmtId="0" fontId="1" fillId="0" borderId="1" xfId="0" applyFont="1" applyBorder="1" applyAlignment="1">
      <alignment horizontal="center" vertical="center"/>
    </xf>
    <xf numFmtId="9" fontId="1" fillId="0" borderId="1" xfId="3" applyFont="1" applyFill="1" applyBorder="1" applyAlignment="1">
      <alignment horizontal="center" vertical="center"/>
    </xf>
    <xf numFmtId="169" fontId="1" fillId="7" borderId="1" xfId="2" applyNumberFormat="1" applyFont="1" applyFill="1" applyBorder="1" applyAlignment="1">
      <alignment horizontal="center" vertical="center" wrapText="1"/>
    </xf>
    <xf numFmtId="164" fontId="32" fillId="0" borderId="1" xfId="2" applyNumberFormat="1" applyFont="1" applyFill="1" applyBorder="1" applyAlignment="1">
      <alignment horizontal="center" vertical="center" wrapText="1"/>
    </xf>
    <xf numFmtId="9" fontId="32" fillId="0" borderId="1" xfId="3" applyFont="1" applyFill="1" applyBorder="1" applyAlignment="1">
      <alignment horizontal="center" vertical="center" wrapText="1"/>
    </xf>
    <xf numFmtId="164" fontId="19" fillId="0" borderId="1" xfId="2" applyNumberFormat="1" applyFont="1" applyFill="1" applyBorder="1" applyAlignment="1">
      <alignment horizontal="center" vertical="center" wrapText="1"/>
    </xf>
    <xf numFmtId="0" fontId="19" fillId="0" borderId="0" xfId="0" applyFont="1"/>
    <xf numFmtId="167" fontId="0" fillId="0" borderId="0" xfId="2" applyFont="1"/>
    <xf numFmtId="0" fontId="24" fillId="0" borderId="11" xfId="0" applyFont="1" applyBorder="1" applyAlignment="1">
      <alignment horizontal="center" vertical="center"/>
    </xf>
    <xf numFmtId="0" fontId="24" fillId="0" borderId="0" xfId="0" applyFont="1" applyAlignment="1">
      <alignment horizontal="center" vertical="center"/>
    </xf>
    <xf numFmtId="9" fontId="24" fillId="0" borderId="11" xfId="3" applyFont="1" applyBorder="1" applyAlignment="1">
      <alignment horizontal="center" vertical="center"/>
    </xf>
    <xf numFmtId="9" fontId="24" fillId="0" borderId="0" xfId="3" applyFont="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center" vertical="center"/>
    </xf>
    <xf numFmtId="9" fontId="0" fillId="0" borderId="11" xfId="3" applyFont="1" applyBorder="1" applyAlignment="1">
      <alignment horizontal="center" vertical="center"/>
    </xf>
    <xf numFmtId="9" fontId="0" fillId="0" borderId="0" xfId="3" applyFont="1" applyAlignment="1">
      <alignment horizontal="center" vertical="center"/>
    </xf>
    <xf numFmtId="1" fontId="0" fillId="0" borderId="11" xfId="0" applyNumberFormat="1" applyBorder="1" applyAlignment="1">
      <alignment horizontal="center" vertical="center"/>
    </xf>
    <xf numFmtId="1" fontId="0" fillId="0" borderId="0" xfId="0" applyNumberFormat="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left" vertical="center" wrapText="1"/>
    </xf>
    <xf numFmtId="0" fontId="0" fillId="0" borderId="6" xfId="0" applyBorder="1" applyAlignment="1">
      <alignment horizontal="left"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2" fontId="1" fillId="0" borderId="4" xfId="3" applyNumberFormat="1" applyFont="1" applyFill="1" applyBorder="1" applyAlignment="1">
      <alignment horizontal="center" vertical="center" wrapText="1"/>
    </xf>
    <xf numFmtId="2" fontId="1" fillId="0" borderId="5" xfId="3" applyNumberFormat="1" applyFont="1" applyFill="1" applyBorder="1" applyAlignment="1">
      <alignment horizontal="center" vertical="center" wrapText="1"/>
    </xf>
    <xf numFmtId="2" fontId="1" fillId="0" borderId="6" xfId="3" applyNumberFormat="1" applyFont="1" applyFill="1" applyBorder="1" applyAlignment="1">
      <alignment horizontal="center" vertical="center" wrapText="1"/>
    </xf>
    <xf numFmtId="1" fontId="1" fillId="0" borderId="4" xfId="0" applyNumberFormat="1" applyFont="1" applyBorder="1" applyAlignment="1">
      <alignment horizontal="center" vertical="center" wrapText="1"/>
    </xf>
    <xf numFmtId="1" fontId="1" fillId="0" borderId="6" xfId="0" applyNumberFormat="1" applyFont="1" applyBorder="1" applyAlignment="1">
      <alignment horizontal="center" vertical="center" wrapText="1"/>
    </xf>
    <xf numFmtId="1" fontId="1" fillId="0" borderId="4" xfId="3" applyNumberFormat="1" applyFont="1" applyFill="1" applyBorder="1" applyAlignment="1">
      <alignment horizontal="center" vertical="center" wrapText="1"/>
    </xf>
    <xf numFmtId="1" fontId="1" fillId="0" borderId="5" xfId="3" applyNumberFormat="1" applyFont="1" applyFill="1" applyBorder="1" applyAlignment="1">
      <alignment horizontal="center" vertical="center" wrapText="1"/>
    </xf>
    <xf numFmtId="1" fontId="1" fillId="0" borderId="6" xfId="3" applyNumberFormat="1" applyFont="1" applyFill="1" applyBorder="1" applyAlignment="1">
      <alignment horizontal="center" vertical="center" wrapText="1"/>
    </xf>
    <xf numFmtId="0" fontId="1" fillId="0" borderId="4" xfId="1" applyNumberFormat="1" applyFont="1" applyFill="1" applyBorder="1" applyAlignment="1">
      <alignment horizontal="center" vertical="center" wrapText="1"/>
    </xf>
    <xf numFmtId="0" fontId="1" fillId="0" borderId="6" xfId="1" applyNumberFormat="1" applyFont="1" applyFill="1" applyBorder="1" applyAlignment="1">
      <alignment horizontal="center" vertical="center" wrapText="1"/>
    </xf>
    <xf numFmtId="9" fontId="0" fillId="0" borderId="4" xfId="3" applyFont="1" applyFill="1" applyBorder="1" applyAlignment="1">
      <alignment horizontal="center" vertical="center" wrapText="1"/>
    </xf>
    <xf numFmtId="9" fontId="0" fillId="0" borderId="6" xfId="3" applyFont="1" applyFill="1" applyBorder="1" applyAlignment="1">
      <alignment horizontal="center" vertical="center" wrapText="1"/>
    </xf>
    <xf numFmtId="0" fontId="0" fillId="0" borderId="4" xfId="3" applyNumberFormat="1" applyFont="1" applyFill="1" applyBorder="1" applyAlignment="1">
      <alignment horizontal="center" vertical="center" wrapText="1"/>
    </xf>
    <xf numFmtId="0" fontId="0" fillId="0" borderId="5" xfId="3" applyNumberFormat="1" applyFont="1" applyFill="1" applyBorder="1" applyAlignment="1">
      <alignment horizontal="center" vertical="center" wrapText="1"/>
    </xf>
    <xf numFmtId="0" fontId="0" fillId="0" borderId="6" xfId="3" applyNumberFormat="1" applyFont="1" applyFill="1" applyBorder="1" applyAlignment="1">
      <alignment horizontal="center" vertical="center" wrapText="1"/>
    </xf>
    <xf numFmtId="1" fontId="15" fillId="0" borderId="4" xfId="3" applyNumberFormat="1" applyFont="1" applyFill="1" applyBorder="1" applyAlignment="1">
      <alignment horizontal="center" vertical="center" wrapText="1"/>
    </xf>
    <xf numFmtId="1" fontId="15" fillId="0" borderId="5" xfId="3" applyNumberFormat="1" applyFont="1" applyFill="1" applyBorder="1" applyAlignment="1">
      <alignment horizontal="center" vertical="center" wrapText="1"/>
    </xf>
    <xf numFmtId="1" fontId="15" fillId="0" borderId="6" xfId="3"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 fillId="0" borderId="4" xfId="3" applyNumberFormat="1" applyFont="1" applyFill="1" applyBorder="1" applyAlignment="1">
      <alignment horizontal="center" vertical="center" wrapText="1"/>
    </xf>
    <xf numFmtId="0" fontId="1" fillId="0" borderId="5" xfId="3" applyNumberFormat="1" applyFont="1" applyFill="1" applyBorder="1" applyAlignment="1">
      <alignment horizontal="center" vertical="center" wrapText="1"/>
    </xf>
    <xf numFmtId="0" fontId="1" fillId="0" borderId="6" xfId="3" applyNumberFormat="1" applyFont="1" applyFill="1" applyBorder="1" applyAlignment="1">
      <alignment horizontal="center" vertical="center" wrapText="1"/>
    </xf>
    <xf numFmtId="170" fontId="1" fillId="0" borderId="4" xfId="3" applyNumberFormat="1" applyFont="1" applyFill="1" applyBorder="1" applyAlignment="1">
      <alignment horizontal="center" vertical="center" wrapText="1"/>
    </xf>
    <xf numFmtId="170" fontId="1" fillId="0" borderId="5" xfId="3" applyNumberFormat="1" applyFont="1" applyFill="1" applyBorder="1" applyAlignment="1">
      <alignment horizontal="center" vertical="center" wrapText="1"/>
    </xf>
    <xf numFmtId="170" fontId="1" fillId="0" borderId="6" xfId="3" applyNumberFormat="1" applyFont="1" applyFill="1" applyBorder="1" applyAlignment="1">
      <alignment horizontal="center" vertical="center" wrapText="1"/>
    </xf>
    <xf numFmtId="169" fontId="0" fillId="0" borderId="4" xfId="2" applyNumberFormat="1" applyFont="1" applyFill="1" applyBorder="1" applyAlignment="1">
      <alignment horizontal="center" vertical="center" wrapText="1"/>
    </xf>
    <xf numFmtId="169" fontId="0" fillId="0" borderId="6" xfId="2" applyNumberFormat="1" applyFont="1" applyFill="1" applyBorder="1" applyAlignment="1">
      <alignment horizontal="center" vertical="center" wrapText="1"/>
    </xf>
    <xf numFmtId="0" fontId="0" fillId="0" borderId="5" xfId="0" applyBorder="1" applyAlignment="1">
      <alignment horizontal="left" vertical="center" wrapText="1"/>
    </xf>
    <xf numFmtId="0" fontId="0" fillId="0" borderId="4"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0" borderId="1" xfId="0" applyBorder="1" applyAlignment="1">
      <alignment horizontal="center" vertical="center" wrapText="1"/>
    </xf>
    <xf numFmtId="2" fontId="1" fillId="0" borderId="4" xfId="0" applyNumberFormat="1" applyFont="1" applyBorder="1" applyAlignment="1">
      <alignment horizontal="center" vertical="center" wrapText="1"/>
    </xf>
    <xf numFmtId="2" fontId="1" fillId="0" borderId="6" xfId="0" applyNumberFormat="1" applyFont="1" applyBorder="1" applyAlignment="1">
      <alignment horizontal="center" vertical="center" wrapText="1"/>
    </xf>
    <xf numFmtId="1" fontId="1" fillId="0" borderId="5" xfId="0" applyNumberFormat="1" applyFont="1" applyBorder="1" applyAlignment="1">
      <alignment horizontal="center" vertical="center" wrapText="1"/>
    </xf>
    <xf numFmtId="9" fontId="15" fillId="0" borderId="4" xfId="3" applyFont="1" applyFill="1" applyBorder="1" applyAlignment="1">
      <alignment horizontal="center" vertical="center" wrapText="1"/>
    </xf>
    <xf numFmtId="9" fontId="15" fillId="0" borderId="6" xfId="3" applyFont="1" applyFill="1" applyBorder="1" applyAlignment="1">
      <alignment horizontal="center" vertical="center" wrapText="1"/>
    </xf>
    <xf numFmtId="14" fontId="0" fillId="0" borderId="1" xfId="0" applyNumberFormat="1" applyBorder="1" applyAlignment="1">
      <alignment horizontal="center" vertical="center" wrapText="1"/>
    </xf>
    <xf numFmtId="9" fontId="0" fillId="0" borderId="4" xfId="3" applyFont="1" applyBorder="1" applyAlignment="1">
      <alignment horizontal="center" vertical="center" wrapText="1"/>
    </xf>
    <xf numFmtId="9" fontId="0" fillId="0" borderId="5" xfId="3" applyFont="1" applyBorder="1" applyAlignment="1">
      <alignment horizontal="center" vertical="center" wrapText="1"/>
    </xf>
    <xf numFmtId="9" fontId="0" fillId="0" borderId="6" xfId="3" applyFont="1" applyBorder="1" applyAlignment="1">
      <alignment horizontal="center" vertical="center" wrapText="1"/>
    </xf>
    <xf numFmtId="1" fontId="0" fillId="0" borderId="4" xfId="3" applyNumberFormat="1" applyFont="1" applyFill="1" applyBorder="1" applyAlignment="1">
      <alignment horizontal="center" vertical="center" wrapText="1"/>
    </xf>
    <xf numFmtId="1" fontId="0" fillId="0" borderId="5" xfId="3" applyNumberFormat="1" applyFont="1" applyFill="1" applyBorder="1" applyAlignment="1">
      <alignment horizontal="center" vertical="center" wrapText="1"/>
    </xf>
    <xf numFmtId="1" fontId="0" fillId="0" borderId="6" xfId="3" applyNumberFormat="1" applyFont="1" applyFill="1" applyBorder="1" applyAlignment="1">
      <alignment horizontal="center" vertical="center" wrapText="1"/>
    </xf>
    <xf numFmtId="0" fontId="22" fillId="0" borderId="2" xfId="0" applyFont="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22" fillId="0" borderId="8" xfId="0" applyFont="1" applyBorder="1" applyAlignment="1">
      <alignment horizontal="center" vertical="center" wrapText="1"/>
    </xf>
    <xf numFmtId="0" fontId="22" fillId="0" borderId="7" xfId="0" applyFont="1" applyBorder="1" applyAlignment="1">
      <alignment horizontal="center" vertical="center" wrapText="1"/>
    </xf>
    <xf numFmtId="0" fontId="0" fillId="0" borderId="2" xfId="0" applyBorder="1" applyAlignment="1">
      <alignment horizontal="center" vertical="center" wrapText="1"/>
    </xf>
    <xf numFmtId="9" fontId="0" fillId="0" borderId="4" xfId="0" applyNumberFormat="1" applyBorder="1" applyAlignment="1">
      <alignment horizontal="center" vertical="center" wrapText="1"/>
    </xf>
    <xf numFmtId="9" fontId="0" fillId="0" borderId="6" xfId="0" applyNumberFormat="1" applyBorder="1" applyAlignment="1">
      <alignment horizontal="center" vertical="center" wrapText="1"/>
    </xf>
    <xf numFmtId="169" fontId="1" fillId="0" borderId="4" xfId="2" applyNumberFormat="1" applyFont="1" applyFill="1" applyBorder="1" applyAlignment="1">
      <alignment horizontal="center" vertical="center" wrapText="1"/>
    </xf>
    <xf numFmtId="169" fontId="1" fillId="0" borderId="6" xfId="2" applyNumberFormat="1" applyFont="1" applyFill="1" applyBorder="1" applyAlignment="1">
      <alignment horizontal="center" vertical="center" wrapText="1"/>
    </xf>
    <xf numFmtId="1" fontId="0" fillId="4" borderId="1" xfId="0" applyNumberFormat="1" applyFill="1" applyBorder="1" applyAlignment="1">
      <alignment horizontal="center" vertical="center" wrapText="1"/>
    </xf>
    <xf numFmtId="1" fontId="1" fillId="5"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0" borderId="4" xfId="2" applyNumberFormat="1" applyFont="1" applyBorder="1" applyAlignment="1">
      <alignment horizontal="center" vertical="center" wrapText="1"/>
    </xf>
    <xf numFmtId="0" fontId="0" fillId="0" borderId="6" xfId="2" applyNumberFormat="1" applyFont="1" applyBorder="1" applyAlignment="1">
      <alignment horizontal="center" vertical="center" wrapText="1"/>
    </xf>
    <xf numFmtId="0" fontId="0" fillId="0" borderId="5" xfId="2" applyNumberFormat="1" applyFont="1" applyBorder="1" applyAlignment="1">
      <alignment horizontal="center" vertical="center" wrapText="1"/>
    </xf>
    <xf numFmtId="1" fontId="1" fillId="4" borderId="1" xfId="0" applyNumberFormat="1" applyFont="1" applyFill="1" applyBorder="1" applyAlignment="1">
      <alignment horizontal="center" vertical="center" wrapText="1"/>
    </xf>
    <xf numFmtId="9" fontId="0" fillId="4" borderId="4" xfId="3" applyFont="1" applyFill="1" applyBorder="1" applyAlignment="1">
      <alignment horizontal="center" vertical="center" wrapText="1"/>
    </xf>
    <xf numFmtId="9" fontId="0" fillId="4" borderId="6" xfId="3" applyFont="1" applyFill="1" applyBorder="1" applyAlignment="1">
      <alignment horizontal="center" vertical="center" wrapText="1"/>
    </xf>
    <xf numFmtId="165" fontId="1" fillId="0" borderId="1" xfId="2" applyNumberFormat="1" applyFont="1" applyBorder="1" applyAlignment="1">
      <alignment horizontal="center" vertical="center" wrapText="1"/>
    </xf>
    <xf numFmtId="167" fontId="1" fillId="0" borderId="1" xfId="2" applyFont="1" applyBorder="1" applyAlignment="1">
      <alignment horizontal="center" vertical="center" wrapText="1"/>
    </xf>
    <xf numFmtId="0" fontId="12" fillId="0" borderId="3" xfId="0" applyFont="1" applyBorder="1" applyAlignment="1">
      <alignment horizontal="center" vertical="center" wrapText="1"/>
    </xf>
    <xf numFmtId="0" fontId="0" fillId="4" borderId="1" xfId="0" applyFill="1" applyBorder="1" applyAlignment="1">
      <alignment horizontal="center" vertical="center" textRotation="90" wrapText="1"/>
    </xf>
    <xf numFmtId="0" fontId="0" fillId="0" borderId="1" xfId="3"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textRotation="90" wrapText="1"/>
    </xf>
    <xf numFmtId="9" fontId="0" fillId="0" borderId="5" xfId="0" applyNumberFormat="1" applyBorder="1" applyAlignment="1">
      <alignment horizontal="center" vertical="center" wrapText="1"/>
    </xf>
    <xf numFmtId="9" fontId="15" fillId="0" borderId="4" xfId="3" applyFont="1" applyBorder="1" applyAlignment="1">
      <alignment horizontal="center" vertical="center" wrapText="1"/>
    </xf>
    <xf numFmtId="9" fontId="15" fillId="0" borderId="5" xfId="3" applyFont="1" applyBorder="1" applyAlignment="1">
      <alignment horizontal="center" vertical="center" wrapText="1"/>
    </xf>
    <xf numFmtId="9" fontId="15" fillId="0" borderId="6" xfId="3" applyFont="1" applyBorder="1" applyAlignment="1">
      <alignment horizontal="center" vertical="center" wrapText="1"/>
    </xf>
    <xf numFmtId="0" fontId="0" fillId="0" borderId="1" xfId="0" applyBorder="1" applyAlignment="1">
      <alignment horizontal="center" vertical="center" textRotation="90" wrapText="1"/>
    </xf>
    <xf numFmtId="0" fontId="0" fillId="5" borderId="1" xfId="0" applyFill="1" applyBorder="1" applyAlignment="1">
      <alignment horizontal="center" vertical="center" wrapText="1"/>
    </xf>
    <xf numFmtId="0" fontId="0" fillId="6" borderId="1" xfId="0" applyFill="1" applyBorder="1" applyAlignment="1">
      <alignment horizontal="center" vertical="center" textRotation="90" wrapText="1"/>
    </xf>
    <xf numFmtId="9" fontId="0" fillId="0" borderId="1" xfId="3" applyFont="1" applyBorder="1" applyAlignment="1">
      <alignment horizontal="center" vertical="center" wrapText="1"/>
    </xf>
    <xf numFmtId="0" fontId="0" fillId="4" borderId="4"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3" fontId="0" fillId="0" borderId="4" xfId="0" applyNumberFormat="1" applyBorder="1" applyAlignment="1">
      <alignment horizontal="center" vertical="center" wrapText="1"/>
    </xf>
    <xf numFmtId="165" fontId="1" fillId="0" borderId="4" xfId="2" applyNumberFormat="1" applyFont="1" applyBorder="1" applyAlignment="1">
      <alignment horizontal="center" vertical="center" wrapText="1"/>
    </xf>
    <xf numFmtId="167" fontId="1" fillId="0" borderId="6" xfId="2" applyFont="1" applyBorder="1" applyAlignment="1">
      <alignment horizontal="center" vertical="center" wrapText="1"/>
    </xf>
    <xf numFmtId="167" fontId="0" fillId="0" borderId="1" xfId="2" applyFont="1" applyBorder="1" applyAlignment="1">
      <alignment horizontal="center" vertical="center" wrapText="1"/>
    </xf>
    <xf numFmtId="10" fontId="0" fillId="0" borderId="4" xfId="3" applyNumberFormat="1" applyFont="1" applyBorder="1" applyAlignment="1">
      <alignment horizontal="center" vertical="center" wrapText="1"/>
    </xf>
    <xf numFmtId="10" fontId="0" fillId="0" borderId="5" xfId="3" applyNumberFormat="1" applyFont="1" applyBorder="1" applyAlignment="1">
      <alignment horizontal="center" vertical="center" wrapText="1"/>
    </xf>
    <xf numFmtId="10" fontId="0" fillId="0" borderId="6" xfId="3" applyNumberFormat="1" applyFont="1" applyBorder="1" applyAlignment="1">
      <alignment horizontal="center"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2" fontId="0" fillId="0" borderId="4" xfId="3" applyNumberFormat="1" applyFont="1" applyFill="1" applyBorder="1" applyAlignment="1">
      <alignment horizontal="center" vertical="center" wrapText="1"/>
    </xf>
    <xf numFmtId="2" fontId="0" fillId="0" borderId="5" xfId="3" applyNumberFormat="1" applyFont="1" applyFill="1" applyBorder="1" applyAlignment="1">
      <alignment horizontal="center" vertical="center" wrapText="1"/>
    </xf>
    <xf numFmtId="1" fontId="1" fillId="0" borderId="1" xfId="0" applyNumberFormat="1" applyFont="1" applyBorder="1" applyAlignment="1">
      <alignment horizontal="center" vertical="center" wrapText="1"/>
    </xf>
    <xf numFmtId="2" fontId="1" fillId="0" borderId="1" xfId="3" applyNumberFormat="1" applyFont="1" applyFill="1" applyBorder="1" applyAlignment="1">
      <alignment horizontal="center" vertical="center" wrapText="1"/>
    </xf>
    <xf numFmtId="169" fontId="0" fillId="0" borderId="4" xfId="0" applyNumberFormat="1" applyBorder="1" applyAlignment="1">
      <alignment horizontal="center" vertical="center" wrapText="1"/>
    </xf>
    <xf numFmtId="169" fontId="0" fillId="0" borderId="6" xfId="0" applyNumberFormat="1" applyBorder="1" applyAlignment="1">
      <alignment horizontal="center" vertical="center" wrapText="1"/>
    </xf>
    <xf numFmtId="165" fontId="15" fillId="0" borderId="1" xfId="2" applyNumberFormat="1" applyFont="1" applyBorder="1" applyAlignment="1">
      <alignment horizontal="center" vertical="center" wrapText="1"/>
    </xf>
    <xf numFmtId="167" fontId="15" fillId="0" borderId="1" xfId="2" applyFont="1" applyBorder="1" applyAlignment="1">
      <alignment horizontal="center" vertical="center" wrapText="1"/>
    </xf>
    <xf numFmtId="165" fontId="15" fillId="0" borderId="4" xfId="2" applyNumberFormat="1" applyFont="1" applyBorder="1" applyAlignment="1">
      <alignment horizontal="center" vertical="center" wrapText="1"/>
    </xf>
    <xf numFmtId="165" fontId="15" fillId="0" borderId="5" xfId="2" applyNumberFormat="1" applyFont="1" applyBorder="1" applyAlignment="1">
      <alignment horizontal="center" vertical="center" wrapText="1"/>
    </xf>
    <xf numFmtId="165" fontId="15" fillId="0" borderId="6" xfId="2" applyNumberFormat="1" applyFont="1" applyBorder="1" applyAlignment="1">
      <alignment horizontal="center" vertical="center" wrapText="1"/>
    </xf>
    <xf numFmtId="169" fontId="15" fillId="0" borderId="4" xfId="2" applyNumberFormat="1" applyFont="1" applyBorder="1" applyAlignment="1">
      <alignment horizontal="center" vertical="center" wrapText="1"/>
    </xf>
    <xf numFmtId="169" fontId="15" fillId="0" borderId="5" xfId="2" applyNumberFormat="1" applyFont="1" applyBorder="1" applyAlignment="1">
      <alignment horizontal="center" vertical="center" wrapText="1"/>
    </xf>
    <xf numFmtId="169" fontId="15" fillId="0" borderId="6" xfId="2" applyNumberFormat="1" applyFont="1" applyBorder="1" applyAlignment="1">
      <alignment horizontal="center" vertical="center" wrapText="1"/>
    </xf>
    <xf numFmtId="169" fontId="0" fillId="0" borderId="5" xfId="0" applyNumberFormat="1" applyBorder="1" applyAlignment="1">
      <alignment horizontal="center" vertical="center" wrapText="1"/>
    </xf>
    <xf numFmtId="9" fontId="1" fillId="0" borderId="4" xfId="3" applyFont="1" applyBorder="1" applyAlignment="1">
      <alignment horizontal="center" vertical="center" wrapText="1"/>
    </xf>
    <xf numFmtId="9" fontId="1" fillId="0" borderId="5" xfId="3" applyFont="1" applyBorder="1" applyAlignment="1">
      <alignment horizontal="center" vertical="center" wrapText="1"/>
    </xf>
    <xf numFmtId="9" fontId="1" fillId="0" borderId="6" xfId="3" applyFont="1" applyBorder="1" applyAlignment="1">
      <alignment horizontal="center" vertical="center" wrapText="1"/>
    </xf>
    <xf numFmtId="10" fontId="0" fillId="0" borderId="4" xfId="3" applyNumberFormat="1" applyFont="1" applyFill="1" applyBorder="1" applyAlignment="1">
      <alignment horizontal="center" vertical="center" wrapText="1"/>
    </xf>
    <xf numFmtId="10" fontId="0" fillId="0" borderId="5" xfId="3" applyNumberFormat="1" applyFont="1" applyFill="1" applyBorder="1" applyAlignment="1">
      <alignment horizontal="center" vertical="center" wrapText="1"/>
    </xf>
    <xf numFmtId="10" fontId="0" fillId="0" borderId="6" xfId="3" applyNumberFormat="1" applyFont="1" applyFill="1" applyBorder="1" applyAlignment="1">
      <alignment horizontal="center" vertical="center" wrapText="1"/>
    </xf>
    <xf numFmtId="165" fontId="1" fillId="0" borderId="6" xfId="2" applyNumberFormat="1" applyFont="1" applyBorder="1" applyAlignment="1">
      <alignment horizontal="center" vertical="center" wrapText="1"/>
    </xf>
    <xf numFmtId="165" fontId="0" fillId="0" borderId="4" xfId="2" applyNumberFormat="1" applyFont="1" applyBorder="1" applyAlignment="1">
      <alignment horizontal="center" vertical="center" wrapText="1"/>
    </xf>
    <xf numFmtId="165" fontId="0" fillId="0" borderId="6" xfId="2" applyNumberFormat="1" applyFont="1" applyBorder="1" applyAlignment="1">
      <alignment horizontal="center" vertical="center" wrapText="1"/>
    </xf>
    <xf numFmtId="165" fontId="1" fillId="0" borderId="5" xfId="2" applyNumberFormat="1" applyFont="1" applyBorder="1" applyAlignment="1">
      <alignment horizontal="center" vertical="center" wrapText="1"/>
    </xf>
    <xf numFmtId="165" fontId="0" fillId="0" borderId="5" xfId="2" applyNumberFormat="1" applyFont="1" applyBorder="1" applyAlignment="1">
      <alignment horizontal="center" vertical="center" wrapText="1"/>
    </xf>
    <xf numFmtId="0" fontId="22" fillId="4" borderId="2" xfId="0" applyFont="1" applyFill="1" applyBorder="1" applyAlignment="1">
      <alignment horizontal="center" vertical="center" wrapText="1"/>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22" fillId="5" borderId="2"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5" borderId="7" xfId="0" applyFill="1" applyBorder="1" applyAlignment="1">
      <alignment horizontal="center" vertical="center" wrapText="1"/>
    </xf>
    <xf numFmtId="171" fontId="1" fillId="0" borderId="4" xfId="3" applyNumberFormat="1" applyFont="1" applyFill="1" applyBorder="1" applyAlignment="1">
      <alignment horizontal="center" vertical="center" wrapText="1"/>
    </xf>
    <xf numFmtId="171" fontId="1" fillId="0" borderId="5" xfId="3" applyNumberFormat="1" applyFont="1" applyFill="1" applyBorder="1" applyAlignment="1">
      <alignment horizontal="center" vertical="center" wrapText="1"/>
    </xf>
    <xf numFmtId="171" fontId="1" fillId="0" borderId="6" xfId="3" applyNumberFormat="1" applyFont="1" applyFill="1" applyBorder="1" applyAlignment="1">
      <alignment horizontal="center" vertical="center" wrapText="1"/>
    </xf>
    <xf numFmtId="171" fontId="1" fillId="0" borderId="4" xfId="0" applyNumberFormat="1" applyFont="1" applyBorder="1" applyAlignment="1">
      <alignment horizontal="center" vertical="center" wrapText="1"/>
    </xf>
    <xf numFmtId="171" fontId="1" fillId="0" borderId="6" xfId="0" applyNumberFormat="1" applyFont="1" applyBorder="1" applyAlignment="1">
      <alignment horizontal="center" vertical="center" wrapText="1"/>
    </xf>
    <xf numFmtId="0" fontId="1" fillId="4" borderId="1" xfId="3" applyNumberFormat="1" applyFont="1" applyFill="1" applyBorder="1" applyAlignment="1">
      <alignment horizontal="center" vertical="center" wrapText="1"/>
    </xf>
    <xf numFmtId="0" fontId="22" fillId="4" borderId="9"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10" xfId="0" applyFill="1" applyBorder="1" applyAlignment="1">
      <alignment horizontal="center" vertical="center" wrapText="1"/>
    </xf>
    <xf numFmtId="1" fontId="1" fillId="4" borderId="4" xfId="0" applyNumberFormat="1" applyFont="1" applyFill="1" applyBorder="1" applyAlignment="1">
      <alignment horizontal="center" vertical="center" wrapText="1"/>
    </xf>
    <xf numFmtId="1" fontId="1" fillId="4" borderId="5" xfId="0" applyNumberFormat="1" applyFont="1" applyFill="1" applyBorder="1" applyAlignment="1">
      <alignment horizontal="center" vertical="center" wrapText="1"/>
    </xf>
    <xf numFmtId="1" fontId="1" fillId="4" borderId="6" xfId="0" applyNumberFormat="1" applyFont="1" applyFill="1" applyBorder="1" applyAlignment="1">
      <alignment horizontal="center" vertical="center" wrapText="1"/>
    </xf>
    <xf numFmtId="2" fontId="1" fillId="0" borderId="4" xfId="1" applyNumberFormat="1" applyFont="1" applyFill="1" applyBorder="1" applyAlignment="1">
      <alignment horizontal="center" vertical="center" wrapText="1"/>
    </xf>
    <xf numFmtId="2" fontId="1" fillId="0" borderId="6" xfId="1"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7" xfId="0" applyBorder="1" applyAlignment="1">
      <alignment horizontal="center" vertical="center"/>
    </xf>
    <xf numFmtId="0" fontId="0" fillId="6" borderId="2" xfId="0" applyFill="1" applyBorder="1" applyAlignment="1">
      <alignment horizontal="center" vertical="center" wrapText="1"/>
    </xf>
    <xf numFmtId="0" fontId="0" fillId="6" borderId="8" xfId="0" applyFill="1" applyBorder="1" applyAlignment="1">
      <alignment horizontal="center" vertical="center" wrapText="1"/>
    </xf>
    <xf numFmtId="0" fontId="0" fillId="6" borderId="7" xfId="0" applyFill="1" applyBorder="1" applyAlignment="1">
      <alignment horizontal="center" vertical="center" wrapText="1"/>
    </xf>
    <xf numFmtId="0" fontId="22" fillId="7" borderId="2" xfId="0" applyFont="1" applyFill="1" applyBorder="1" applyAlignment="1">
      <alignment horizontal="center" vertical="center" wrapText="1"/>
    </xf>
    <xf numFmtId="0" fontId="0" fillId="7" borderId="8" xfId="0" applyFill="1" applyBorder="1" applyAlignment="1">
      <alignment horizontal="center" vertical="center" wrapText="1"/>
    </xf>
    <xf numFmtId="0" fontId="0" fillId="7" borderId="7" xfId="0" applyFill="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2"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169" fontId="0" fillId="6" borderId="1" xfId="2" applyNumberFormat="1" applyFont="1" applyFill="1" applyBorder="1" applyAlignment="1">
      <alignment horizontal="center" vertical="center" wrapText="1"/>
    </xf>
    <xf numFmtId="0" fontId="2" fillId="0" borderId="12" xfId="0" applyFont="1" applyBorder="1" applyAlignment="1">
      <alignment horizontal="center"/>
    </xf>
    <xf numFmtId="0" fontId="2" fillId="0" borderId="16" xfId="0" applyFont="1" applyBorder="1" applyAlignment="1">
      <alignment horizontal="center"/>
    </xf>
    <xf numFmtId="0" fontId="2" fillId="0" borderId="18" xfId="0" applyFont="1" applyBorder="1" applyAlignment="1">
      <alignment horizontal="center"/>
    </xf>
    <xf numFmtId="0" fontId="7" fillId="0" borderId="13" xfId="0" applyFont="1" applyBorder="1" applyAlignment="1">
      <alignment horizontal="center" vertical="center"/>
    </xf>
    <xf numFmtId="0" fontId="7" fillId="0" borderId="0" xfId="0" applyFont="1" applyAlignment="1">
      <alignment horizontal="center" vertical="center"/>
    </xf>
    <xf numFmtId="0" fontId="7" fillId="0" borderId="14" xfId="0" applyFont="1" applyBorder="1" applyAlignment="1">
      <alignment horizontal="center" vertical="center"/>
    </xf>
    <xf numFmtId="0" fontId="7" fillId="0" borderId="13" xfId="0" applyFont="1" applyBorder="1" applyAlignment="1">
      <alignment horizontal="center" vertical="center" wrapText="1"/>
    </xf>
    <xf numFmtId="0" fontId="7" fillId="0" borderId="0" xfId="0" applyFont="1" applyAlignment="1">
      <alignment horizontal="center" vertical="center" wrapText="1"/>
    </xf>
    <xf numFmtId="0" fontId="7" fillId="0" borderId="14"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25" fillId="11" borderId="23" xfId="0" applyFont="1" applyFill="1" applyBorder="1" applyAlignment="1">
      <alignment horizontal="center"/>
    </xf>
    <xf numFmtId="0" fontId="25" fillId="11" borderId="24" xfId="0" applyFont="1" applyFill="1" applyBorder="1" applyAlignment="1">
      <alignment horizontal="center"/>
    </xf>
    <xf numFmtId="0" fontId="25" fillId="11" borderId="25" xfId="0" applyFont="1" applyFill="1" applyBorder="1" applyAlignment="1">
      <alignment horizontal="center"/>
    </xf>
    <xf numFmtId="0" fontId="25" fillId="11" borderId="26" xfId="0" applyFont="1" applyFill="1" applyBorder="1" applyAlignment="1">
      <alignment horizontal="center"/>
    </xf>
    <xf numFmtId="0" fontId="26" fillId="12" borderId="27" xfId="0" applyFont="1" applyFill="1" applyBorder="1" applyAlignment="1">
      <alignment horizontal="center"/>
    </xf>
    <xf numFmtId="0" fontId="26" fillId="12" borderId="28" xfId="0" applyFont="1" applyFill="1" applyBorder="1" applyAlignment="1">
      <alignment horizontal="center"/>
    </xf>
    <xf numFmtId="0" fontId="26" fillId="12" borderId="29" xfId="0" applyFont="1" applyFill="1" applyBorder="1" applyAlignment="1">
      <alignment horizontal="center"/>
    </xf>
    <xf numFmtId="0" fontId="25" fillId="2" borderId="6"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13" borderId="6" xfId="0" applyFont="1" applyFill="1" applyBorder="1" applyAlignment="1">
      <alignment horizontal="center" vertical="center" wrapText="1"/>
    </xf>
    <xf numFmtId="0" fontId="25" fillId="13" borderId="1" xfId="0" applyFont="1" applyFill="1" applyBorder="1" applyAlignment="1">
      <alignment horizontal="center" vertical="center" wrapText="1"/>
    </xf>
    <xf numFmtId="0" fontId="25" fillId="13" borderId="4" xfId="0" applyFont="1" applyFill="1" applyBorder="1" applyAlignment="1">
      <alignment horizontal="center" vertical="center" wrapText="1"/>
    </xf>
    <xf numFmtId="0" fontId="25" fillId="13" borderId="30" xfId="0" applyFont="1" applyFill="1" applyBorder="1" applyAlignment="1">
      <alignment horizontal="center" vertical="center" wrapText="1"/>
    </xf>
    <xf numFmtId="0" fontId="25" fillId="13" borderId="16" xfId="0" applyFont="1" applyFill="1" applyBorder="1" applyAlignment="1">
      <alignment horizontal="center" vertical="center" wrapText="1"/>
    </xf>
    <xf numFmtId="0" fontId="25" fillId="13" borderId="41" xfId="0" applyFont="1" applyFill="1" applyBorder="1" applyAlignment="1">
      <alignment horizontal="center" vertical="center" wrapText="1"/>
    </xf>
    <xf numFmtId="0" fontId="25" fillId="13" borderId="31" xfId="0" applyFont="1" applyFill="1" applyBorder="1" applyAlignment="1">
      <alignment horizontal="center" vertical="center" wrapText="1"/>
    </xf>
    <xf numFmtId="0" fontId="25" fillId="13" borderId="5" xfId="0" applyFont="1" applyFill="1" applyBorder="1" applyAlignment="1">
      <alignment horizontal="center" vertical="center" wrapText="1"/>
    </xf>
    <xf numFmtId="0" fontId="25" fillId="13" borderId="42" xfId="0" applyFont="1" applyFill="1" applyBorder="1" applyAlignment="1">
      <alignment horizontal="center" vertical="center" wrapText="1"/>
    </xf>
    <xf numFmtId="0" fontId="25" fillId="4" borderId="38" xfId="0" applyFont="1" applyFill="1" applyBorder="1" applyAlignment="1">
      <alignment horizontal="center" vertical="center" wrapText="1"/>
    </xf>
    <xf numFmtId="0" fontId="25" fillId="4" borderId="40" xfId="0" applyFont="1" applyFill="1" applyBorder="1" applyAlignment="1">
      <alignment horizontal="center" vertical="center" wrapText="1"/>
    </xf>
    <xf numFmtId="0" fontId="30" fillId="4" borderId="38" xfId="0" applyFont="1" applyFill="1" applyBorder="1" applyAlignment="1">
      <alignment horizontal="center" vertical="center" wrapText="1"/>
    </xf>
    <xf numFmtId="0" fontId="30" fillId="4" borderId="40" xfId="0" applyFont="1" applyFill="1" applyBorder="1" applyAlignment="1">
      <alignment horizontal="center" vertical="center" wrapText="1"/>
    </xf>
    <xf numFmtId="0" fontId="25" fillId="14" borderId="30" xfId="0" applyFont="1" applyFill="1" applyBorder="1" applyAlignment="1">
      <alignment horizontal="center" vertical="center" wrapText="1"/>
    </xf>
    <xf numFmtId="0" fontId="25" fillId="14" borderId="6" xfId="0" applyFont="1" applyFill="1" applyBorder="1" applyAlignment="1">
      <alignment horizontal="center" vertical="center" wrapText="1"/>
    </xf>
    <xf numFmtId="0" fontId="29" fillId="14" borderId="6" xfId="0" applyFont="1" applyFill="1" applyBorder="1" applyAlignment="1">
      <alignment horizontal="center" vertical="center" wrapText="1"/>
    </xf>
    <xf numFmtId="0" fontId="25" fillId="14" borderId="9" xfId="0" applyFont="1" applyFill="1" applyBorder="1" applyAlignment="1">
      <alignment horizontal="center" vertical="center" wrapText="1"/>
    </xf>
    <xf numFmtId="0" fontId="25" fillId="14" borderId="3" xfId="0" applyFont="1" applyFill="1" applyBorder="1" applyAlignment="1">
      <alignment horizontal="center" vertical="center" wrapText="1"/>
    </xf>
    <xf numFmtId="0" fontId="25" fillId="14" borderId="10" xfId="0" applyFont="1" applyFill="1" applyBorder="1" applyAlignment="1">
      <alignment horizontal="center" vertical="center" wrapText="1"/>
    </xf>
    <xf numFmtId="0" fontId="25" fillId="14" borderId="5" xfId="0" applyFont="1" applyFill="1" applyBorder="1" applyAlignment="1">
      <alignment horizontal="center" vertical="center" wrapText="1"/>
    </xf>
    <xf numFmtId="0" fontId="25" fillId="14" borderId="33" xfId="0" applyFont="1" applyFill="1" applyBorder="1" applyAlignment="1">
      <alignment horizontal="center" vertical="center" wrapText="1"/>
    </xf>
    <xf numFmtId="0" fontId="25" fillId="14" borderId="34" xfId="0" applyFont="1" applyFill="1" applyBorder="1" applyAlignment="1">
      <alignment horizontal="center" vertical="center" wrapText="1"/>
    </xf>
    <xf numFmtId="0" fontId="25" fillId="4" borderId="33" xfId="0" applyFont="1" applyFill="1" applyBorder="1" applyAlignment="1">
      <alignment horizontal="center" vertical="center" wrapText="1"/>
    </xf>
    <xf numFmtId="0" fontId="25" fillId="4" borderId="34" xfId="0" applyFont="1" applyFill="1" applyBorder="1" applyAlignment="1">
      <alignment horizontal="center" vertical="center" wrapText="1"/>
    </xf>
    <xf numFmtId="0" fontId="25" fillId="4" borderId="35" xfId="0" applyFont="1" applyFill="1" applyBorder="1" applyAlignment="1">
      <alignment horizontal="center" vertical="center" wrapText="1"/>
    </xf>
    <xf numFmtId="0" fontId="25" fillId="4" borderId="24" xfId="0" applyFont="1" applyFill="1" applyBorder="1" applyAlignment="1">
      <alignment horizontal="center" vertical="center" wrapText="1"/>
    </xf>
    <xf numFmtId="0" fontId="25" fillId="4" borderId="25" xfId="0" applyFont="1" applyFill="1" applyBorder="1" applyAlignment="1">
      <alignment horizontal="center" vertical="center" wrapText="1"/>
    </xf>
    <xf numFmtId="0" fontId="29" fillId="4" borderId="33" xfId="0" applyFont="1" applyFill="1" applyBorder="1" applyAlignment="1">
      <alignment horizontal="center" vertical="center" wrapText="1"/>
    </xf>
    <xf numFmtId="0" fontId="29" fillId="4" borderId="34" xfId="0" applyFont="1" applyFill="1" applyBorder="1" applyAlignment="1">
      <alignment horizontal="center" vertical="center" wrapText="1"/>
    </xf>
    <xf numFmtId="0" fontId="29" fillId="4" borderId="36" xfId="0" applyFont="1" applyFill="1" applyBorder="1" applyAlignment="1">
      <alignment horizontal="center" vertical="center" wrapText="1"/>
    </xf>
    <xf numFmtId="0" fontId="29" fillId="4" borderId="37" xfId="0" applyFont="1" applyFill="1" applyBorder="1" applyAlignment="1">
      <alignment horizontal="center" vertical="center" wrapText="1"/>
    </xf>
    <xf numFmtId="0" fontId="29" fillId="4" borderId="14" xfId="0" applyFont="1" applyFill="1" applyBorder="1" applyAlignment="1">
      <alignment horizontal="center" vertical="center" wrapText="1"/>
    </xf>
    <xf numFmtId="0" fontId="29" fillId="4" borderId="39" xfId="0" applyFont="1" applyFill="1" applyBorder="1" applyAlignment="1">
      <alignment horizontal="center" vertical="center" wrapText="1"/>
    </xf>
    <xf numFmtId="0" fontId="29" fillId="4" borderId="10" xfId="0" applyFont="1" applyFill="1" applyBorder="1" applyAlignment="1">
      <alignment horizontal="center" vertical="center" wrapText="1"/>
    </xf>
    <xf numFmtId="9" fontId="29" fillId="14" borderId="13" xfId="3" applyFont="1" applyFill="1" applyBorder="1" applyAlignment="1">
      <alignment horizontal="center" vertical="center" wrapText="1"/>
    </xf>
    <xf numFmtId="0" fontId="25" fillId="4" borderId="30" xfId="0" applyFont="1" applyFill="1" applyBorder="1" applyAlignment="1">
      <alignment horizontal="center" vertical="center" wrapText="1"/>
    </xf>
    <xf numFmtId="0" fontId="25" fillId="4" borderId="41"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25" fillId="4" borderId="4" xfId="0" applyFont="1" applyFill="1" applyBorder="1" applyAlignment="1">
      <alignment horizontal="center" vertical="center" wrapText="1"/>
    </xf>
    <xf numFmtId="0" fontId="29" fillId="4" borderId="9" xfId="0" applyFont="1" applyFill="1" applyBorder="1" applyAlignment="1">
      <alignment horizontal="center" vertical="center" wrapText="1"/>
    </xf>
    <xf numFmtId="0" fontId="29" fillId="4" borderId="3"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28" fillId="4" borderId="9"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25" fillId="2" borderId="32"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43" xfId="0" applyFont="1" applyFill="1" applyBorder="1" applyAlignment="1">
      <alignment horizontal="center" vertical="center" wrapText="1"/>
    </xf>
    <xf numFmtId="9" fontId="32" fillId="0" borderId="1" xfId="2" applyNumberFormat="1" applyFont="1" applyFill="1" applyBorder="1" applyAlignment="1">
      <alignment horizontal="center" vertical="center" wrapText="1"/>
    </xf>
    <xf numFmtId="167" fontId="32" fillId="0" borderId="1" xfId="2" applyFont="1" applyFill="1" applyBorder="1" applyAlignment="1">
      <alignment horizontal="center" vertical="center" wrapText="1"/>
    </xf>
    <xf numFmtId="165" fontId="19" fillId="0" borderId="4" xfId="2" applyNumberFormat="1" applyFont="1" applyBorder="1" applyAlignment="1">
      <alignment horizontal="center" vertical="center" wrapText="1"/>
    </xf>
    <xf numFmtId="165" fontId="19" fillId="0" borderId="5" xfId="2" applyNumberFormat="1" applyFont="1" applyBorder="1" applyAlignment="1">
      <alignment horizontal="center" vertical="center" wrapText="1"/>
    </xf>
    <xf numFmtId="165" fontId="19" fillId="0" borderId="6" xfId="2" applyNumberFormat="1" applyFont="1" applyBorder="1" applyAlignment="1">
      <alignment horizontal="center" vertical="center" wrapText="1"/>
    </xf>
    <xf numFmtId="165" fontId="32" fillId="0" borderId="1" xfId="2" applyNumberFormat="1" applyFont="1" applyBorder="1" applyAlignment="1">
      <alignment horizontal="center" vertical="center" wrapText="1"/>
    </xf>
    <xf numFmtId="167" fontId="32" fillId="0" borderId="1" xfId="2" applyFont="1" applyBorder="1" applyAlignment="1">
      <alignment horizontal="center" vertical="center" wrapText="1"/>
    </xf>
    <xf numFmtId="165" fontId="19" fillId="0" borderId="1" xfId="2" applyNumberFormat="1" applyFont="1" applyBorder="1" applyAlignment="1">
      <alignment horizontal="center" vertical="center" wrapText="1"/>
    </xf>
    <xf numFmtId="167" fontId="19" fillId="0" borderId="1" xfId="2" applyFont="1" applyBorder="1" applyAlignment="1">
      <alignment horizontal="center" vertical="center" wrapText="1"/>
    </xf>
    <xf numFmtId="9" fontId="1" fillId="0" borderId="46" xfId="3" applyFont="1" applyBorder="1" applyAlignment="1">
      <alignment horizontal="center" vertical="center"/>
    </xf>
    <xf numFmtId="9" fontId="1" fillId="0" borderId="13" xfId="3" applyFont="1" applyBorder="1" applyAlignment="1">
      <alignment horizontal="center" vertical="center"/>
    </xf>
    <xf numFmtId="9" fontId="1" fillId="0" borderId="9" xfId="3" applyFont="1" applyBorder="1" applyAlignment="1">
      <alignment horizontal="center" vertical="center"/>
    </xf>
    <xf numFmtId="0" fontId="1" fillId="0" borderId="46" xfId="0" applyFont="1" applyBorder="1" applyAlignment="1">
      <alignment horizontal="center" vertical="center"/>
    </xf>
    <xf numFmtId="0" fontId="1" fillId="0" borderId="13" xfId="0" applyFont="1" applyBorder="1" applyAlignment="1">
      <alignment horizontal="center" vertical="center"/>
    </xf>
    <xf numFmtId="0" fontId="1" fillId="0" borderId="9" xfId="0" applyFont="1"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165" fontId="32" fillId="0" borderId="4" xfId="2" applyNumberFormat="1" applyFont="1" applyBorder="1" applyAlignment="1">
      <alignment horizontal="center" vertical="center" wrapText="1"/>
    </xf>
    <xf numFmtId="165" fontId="32" fillId="0" borderId="5" xfId="2" applyNumberFormat="1" applyFont="1" applyBorder="1" applyAlignment="1">
      <alignment horizontal="center" vertical="center" wrapText="1"/>
    </xf>
    <xf numFmtId="165" fontId="32" fillId="0" borderId="6" xfId="2" applyNumberFormat="1" applyFont="1" applyBorder="1" applyAlignment="1">
      <alignment horizontal="center" vertical="center" wrapText="1"/>
    </xf>
    <xf numFmtId="0" fontId="1" fillId="0" borderId="4"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0" fillId="4" borderId="1" xfId="3" applyNumberFormat="1" applyFont="1" applyFill="1" applyBorder="1" applyAlignment="1">
      <alignment horizontal="center" vertical="center" wrapText="1"/>
    </xf>
    <xf numFmtId="9" fontId="1" fillId="0" borderId="1" xfId="3" applyFont="1" applyFill="1" applyBorder="1" applyAlignment="1">
      <alignment horizontal="center" vertical="center" wrapText="1"/>
    </xf>
    <xf numFmtId="9" fontId="0" fillId="0" borderId="1" xfId="3" applyFont="1" applyFill="1" applyBorder="1" applyAlignment="1">
      <alignment horizontal="center" vertical="center" wrapText="1"/>
    </xf>
    <xf numFmtId="9" fontId="32" fillId="0" borderId="1" xfId="3"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 fontId="0" fillId="4" borderId="4" xfId="0" applyNumberFormat="1" applyFill="1" applyBorder="1" applyAlignment="1">
      <alignment horizontal="center" vertical="center" wrapText="1"/>
    </xf>
    <xf numFmtId="1" fontId="0" fillId="4" borderId="6" xfId="0" applyNumberFormat="1" applyFill="1" applyBorder="1" applyAlignment="1">
      <alignment horizontal="center" vertical="center" wrapText="1"/>
    </xf>
    <xf numFmtId="9" fontId="1" fillId="0" borderId="4" xfId="0" applyNumberFormat="1" applyFont="1" applyBorder="1" applyAlignment="1">
      <alignment horizontal="center" vertical="center"/>
    </xf>
    <xf numFmtId="9" fontId="1" fillId="0" borderId="5" xfId="0" applyNumberFormat="1" applyFont="1" applyBorder="1" applyAlignment="1">
      <alignment horizontal="center" vertical="center"/>
    </xf>
    <xf numFmtId="9" fontId="1" fillId="0" borderId="6" xfId="0" applyNumberFormat="1" applyFont="1" applyBorder="1" applyAlignment="1">
      <alignment horizontal="center" vertical="center"/>
    </xf>
    <xf numFmtId="9" fontId="1" fillId="0" borderId="4" xfId="3" applyFont="1" applyBorder="1" applyAlignment="1">
      <alignment horizontal="center" vertical="center"/>
    </xf>
    <xf numFmtId="9" fontId="1" fillId="0" borderId="5" xfId="3" applyFont="1" applyBorder="1" applyAlignment="1">
      <alignment horizontal="center" vertical="center"/>
    </xf>
    <xf numFmtId="9" fontId="1" fillId="0" borderId="6" xfId="3" applyFont="1" applyBorder="1" applyAlignment="1">
      <alignment horizontal="center" vertical="center"/>
    </xf>
    <xf numFmtId="14" fontId="0" fillId="0" borderId="4" xfId="0" applyNumberFormat="1" applyBorder="1" applyAlignment="1">
      <alignment horizontal="center" vertical="center"/>
    </xf>
    <xf numFmtId="14" fontId="0" fillId="0" borderId="6" xfId="0" applyNumberFormat="1" applyBorder="1" applyAlignment="1">
      <alignment horizontal="center" vertical="center"/>
    </xf>
    <xf numFmtId="1" fontId="0" fillId="4" borderId="5" xfId="0" applyNumberFormat="1" applyFill="1" applyBorder="1" applyAlignment="1">
      <alignment horizontal="center" vertical="center" wrapText="1"/>
    </xf>
    <xf numFmtId="0" fontId="1" fillId="0" borderId="5" xfId="0" applyFont="1" applyBorder="1" applyAlignment="1">
      <alignment horizontal="left" vertical="center" wrapText="1"/>
    </xf>
    <xf numFmtId="9" fontId="1" fillId="0" borderId="4" xfId="3" applyFont="1" applyFill="1" applyBorder="1" applyAlignment="1">
      <alignment horizontal="center" vertical="center" wrapText="1"/>
    </xf>
    <xf numFmtId="9" fontId="1" fillId="0" borderId="5" xfId="3" applyFont="1" applyFill="1" applyBorder="1" applyAlignment="1">
      <alignment horizontal="center" vertical="center" wrapText="1"/>
    </xf>
    <xf numFmtId="9" fontId="0" fillId="0" borderId="4" xfId="3" applyFont="1" applyBorder="1" applyAlignment="1">
      <alignment horizontal="center" vertical="center"/>
    </xf>
    <xf numFmtId="9" fontId="0" fillId="0" borderId="6" xfId="3" applyFont="1" applyBorder="1" applyAlignment="1">
      <alignment horizontal="center" vertical="center"/>
    </xf>
    <xf numFmtId="9" fontId="1" fillId="0" borderId="6" xfId="3" applyFont="1" applyFill="1" applyBorder="1" applyAlignment="1">
      <alignment horizontal="center" vertical="center" wrapText="1"/>
    </xf>
    <xf numFmtId="14" fontId="0" fillId="0" borderId="5" xfId="0" applyNumberForma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 xfId="3" applyNumberFormat="1" applyFont="1" applyFill="1" applyBorder="1" applyAlignment="1">
      <alignment horizontal="center" vertical="center" wrapText="1"/>
    </xf>
    <xf numFmtId="1" fontId="1" fillId="0" borderId="1" xfId="3" applyNumberFormat="1" applyFont="1" applyFill="1" applyBorder="1" applyAlignment="1">
      <alignment horizontal="center" vertical="center" wrapText="1"/>
    </xf>
    <xf numFmtId="1" fontId="0" fillId="5" borderId="1" xfId="0" applyNumberFormat="1" applyFill="1" applyBorder="1" applyAlignment="1">
      <alignment horizontal="center" vertical="center" wrapText="1"/>
    </xf>
    <xf numFmtId="9" fontId="1" fillId="0" borderId="1" xfId="3" applyFont="1" applyBorder="1" applyAlignment="1">
      <alignment horizontal="center" vertical="center"/>
    </xf>
    <xf numFmtId="9" fontId="1" fillId="0" borderId="1" xfId="0" applyNumberFormat="1" applyFont="1" applyBorder="1" applyAlignment="1">
      <alignment horizontal="center" vertical="center"/>
    </xf>
    <xf numFmtId="169" fontId="1" fillId="0" borderId="5" xfId="2" applyNumberFormat="1" applyFont="1" applyFill="1" applyBorder="1" applyAlignment="1">
      <alignment horizontal="center" vertical="center" wrapText="1"/>
    </xf>
    <xf numFmtId="0" fontId="1" fillId="0" borderId="13" xfId="0" applyFont="1" applyBorder="1" applyAlignment="1">
      <alignment horizontal="center" vertical="center" wrapText="1"/>
    </xf>
    <xf numFmtId="169" fontId="0" fillId="6" borderId="6" xfId="2" applyNumberFormat="1" applyFont="1" applyFill="1" applyBorder="1" applyAlignment="1">
      <alignment horizontal="center" vertical="center" wrapText="1"/>
    </xf>
    <xf numFmtId="167" fontId="32" fillId="0" borderId="6" xfId="2" applyFont="1" applyBorder="1" applyAlignment="1">
      <alignment horizontal="center" vertical="center" wrapText="1"/>
    </xf>
    <xf numFmtId="9" fontId="32" fillId="0" borderId="4" xfId="3" applyFont="1" applyFill="1" applyBorder="1" applyAlignment="1">
      <alignment horizontal="center" vertical="center" wrapText="1"/>
    </xf>
    <xf numFmtId="9" fontId="32" fillId="0" borderId="6" xfId="3" applyFont="1" applyFill="1" applyBorder="1" applyAlignment="1">
      <alignment horizontal="center" vertical="center" wrapText="1"/>
    </xf>
    <xf numFmtId="167" fontId="19" fillId="0" borderId="6" xfId="2" applyFont="1" applyBorder="1" applyAlignment="1">
      <alignment horizontal="center" vertical="center" wrapText="1"/>
    </xf>
  </cellXfs>
  <cellStyles count="4">
    <cellStyle name="Millares [0]" xfId="1" builtinId="6"/>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299376</xdr:colOff>
      <xdr:row>0</xdr:row>
      <xdr:rowOff>35718</xdr:rowOff>
    </xdr:from>
    <xdr:to>
      <xdr:col>1</xdr:col>
      <xdr:colOff>280986</xdr:colOff>
      <xdr:row>3</xdr:row>
      <xdr:rowOff>130968</xdr:rowOff>
    </xdr:to>
    <xdr:pic>
      <xdr:nvPicPr>
        <xdr:cNvPr id="2" name="Imagen 3">
          <a:extLst>
            <a:ext uri="{FF2B5EF4-FFF2-40B4-BE49-F238E27FC236}">
              <a16:creationId xmlns="" xmlns:a16="http://schemas.microsoft.com/office/drawing/2014/main" id="{EF1EF413-E4F1-4E10-8235-ABE15E15A7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9376" y="35718"/>
          <a:ext cx="74361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Juan Sebastian Diaz Dolugar" id="{89623E98-9F09-44E1-81F0-CC876607D7BA}" userId="S::juan.diaz21@est.uexternado.edu.co::98797548-ea26-4f10-af00-8938bba422f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E4" dT="2023-01-07T15:18:40.65" personId="{89623E98-9F09-44E1-81F0-CC876607D7BA}" id="{0669D4B5-01C3-4E7E-B633-845E5947CC1C}">
    <text xml:space="preserve">Se adelantó el proceso de gestión en su etapa precontractual. Una vez se adjudique se completa la entrega de incentivos. </text>
  </threadedComment>
  <threadedComment ref="AE30" dT="2023-01-07T15:59:17.63" personId="{89623E98-9F09-44E1-81F0-CC876607D7BA}" id="{811B6F82-A0C8-4AFF-AF9C-EC2E65280C78}">
    <text>Etapa precontractual ccc en sus EP</text>
  </threadedComment>
  <threadedComment ref="AE47" dT="2023-01-07T16:17:38.00" personId="{89623E98-9F09-44E1-81F0-CC876607D7BA}" id="{BF9821E7-E1E0-4114-A912-13E630D06966}">
    <text>Se hizo con la CIENTECH a través del bootcamp "Crearlo no es suficiente"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82"/>
  <sheetViews>
    <sheetView tabSelected="1" topLeftCell="X78" zoomScale="64" zoomScaleNormal="64" workbookViewId="0">
      <selection activeCell="AJ78" sqref="AJ78"/>
    </sheetView>
  </sheetViews>
  <sheetFormatPr baseColWidth="10" defaultColWidth="11.42578125" defaultRowHeight="18.75" x14ac:dyDescent="0.25"/>
  <cols>
    <col min="1" max="1" width="16.5703125" customWidth="1"/>
    <col min="2" max="2" width="18" customWidth="1"/>
    <col min="3" max="4" width="20.140625" customWidth="1"/>
    <col min="5" max="5" width="32.85546875" customWidth="1"/>
    <col min="6" max="6" width="19.85546875" customWidth="1"/>
    <col min="7" max="7" width="42.140625" customWidth="1"/>
    <col min="8" max="8" width="17.140625" style="1" customWidth="1"/>
    <col min="9" max="9" width="16.85546875" style="1" customWidth="1"/>
    <col min="10" max="10" width="35.140625" style="10" customWidth="1"/>
    <col min="11" max="11" width="11.85546875" style="9" customWidth="1"/>
    <col min="12" max="12" width="12.42578125" style="8" customWidth="1"/>
    <col min="13" max="13" width="13.42578125" style="7" customWidth="1"/>
    <col min="14" max="14" width="13.28515625" style="7" customWidth="1"/>
    <col min="15" max="15" width="12.28515625" style="7" customWidth="1"/>
    <col min="16" max="16" width="12.85546875" style="7" customWidth="1"/>
    <col min="17" max="17" width="14" style="7" customWidth="1"/>
    <col min="18" max="18" width="14.85546875" style="7" customWidth="1"/>
    <col min="19" max="19" width="13.85546875" style="7" customWidth="1"/>
    <col min="20" max="20" width="13.7109375" style="7" customWidth="1"/>
    <col min="21" max="21" width="35.7109375" style="6" customWidth="1"/>
    <col min="22" max="22" width="11.5703125" style="5" hidden="1" customWidth="1"/>
    <col min="23" max="23" width="23.140625" style="4" customWidth="1"/>
    <col min="24" max="24" width="11.140625" style="69" customWidth="1"/>
    <col min="25" max="25" width="11.140625" style="50" customWidth="1"/>
    <col min="26" max="27" width="11.140625" customWidth="1"/>
    <col min="28" max="28" width="11.140625" style="3" customWidth="1"/>
    <col min="29" max="29" width="11.140625" style="2" customWidth="1"/>
    <col min="30" max="38" width="11.140625" style="1" customWidth="1"/>
    <col min="39" max="40" width="11.140625" customWidth="1"/>
    <col min="41" max="44" width="19.140625" customWidth="1"/>
    <col min="45" max="45" width="17.140625" customWidth="1"/>
    <col min="46" max="47" width="23.42578125" style="86" customWidth="1"/>
    <col min="48" max="48" width="23.42578125" customWidth="1"/>
    <col min="49" max="49" width="21.140625" customWidth="1"/>
    <col min="50" max="51" width="27.85546875" customWidth="1"/>
    <col min="52" max="53" width="28.85546875" customWidth="1"/>
    <col min="54" max="54" width="28.85546875" style="55" customWidth="1"/>
    <col min="55" max="55" width="17.85546875" customWidth="1"/>
    <col min="56" max="56" width="16.5703125" customWidth="1"/>
    <col min="57" max="57" width="15.140625" customWidth="1"/>
    <col min="58" max="58" width="40.85546875" hidden="1" customWidth="1"/>
    <col min="59" max="59" width="110.42578125" customWidth="1"/>
  </cols>
  <sheetData>
    <row r="1" spans="1:59" ht="18.95" customHeight="1" x14ac:dyDescent="0.25">
      <c r="E1" s="344" t="s">
        <v>22</v>
      </c>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c r="AL1" s="344"/>
      <c r="AM1" s="344"/>
      <c r="AN1" s="186"/>
      <c r="AO1" s="186"/>
      <c r="AP1" s="186"/>
      <c r="AQ1" s="186"/>
      <c r="AR1" s="186"/>
    </row>
    <row r="2" spans="1:59" s="11" customFormat="1" ht="116.25" customHeight="1" x14ac:dyDescent="0.2">
      <c r="A2" s="12" t="s">
        <v>21</v>
      </c>
      <c r="B2" s="12" t="s">
        <v>20</v>
      </c>
      <c r="C2" s="12" t="s">
        <v>19</v>
      </c>
      <c r="D2" s="12" t="s">
        <v>18</v>
      </c>
      <c r="E2" s="12" t="s">
        <v>17</v>
      </c>
      <c r="F2" s="12" t="s">
        <v>16</v>
      </c>
      <c r="G2" s="12" t="s">
        <v>15</v>
      </c>
      <c r="H2" s="12" t="s">
        <v>14</v>
      </c>
      <c r="I2" s="12" t="s">
        <v>13</v>
      </c>
      <c r="J2" s="19" t="s">
        <v>12</v>
      </c>
      <c r="K2" s="12" t="s">
        <v>32</v>
      </c>
      <c r="L2" s="53" t="s">
        <v>11</v>
      </c>
      <c r="M2" s="53" t="s">
        <v>26</v>
      </c>
      <c r="N2" s="53" t="s">
        <v>243</v>
      </c>
      <c r="O2" s="64" t="s">
        <v>251</v>
      </c>
      <c r="P2" s="53" t="s">
        <v>261</v>
      </c>
      <c r="Q2" s="18" t="s">
        <v>271</v>
      </c>
      <c r="R2" s="66" t="s">
        <v>285</v>
      </c>
      <c r="S2" s="66" t="s">
        <v>286</v>
      </c>
      <c r="T2" s="66" t="s">
        <v>287</v>
      </c>
      <c r="U2" s="15" t="s">
        <v>10</v>
      </c>
      <c r="V2" s="17" t="s">
        <v>30</v>
      </c>
      <c r="W2" s="16" t="s">
        <v>9</v>
      </c>
      <c r="X2" s="20" t="s">
        <v>8</v>
      </c>
      <c r="Y2" s="12" t="s">
        <v>33</v>
      </c>
      <c r="Z2" s="14" t="s">
        <v>7</v>
      </c>
      <c r="AA2" s="14" t="s">
        <v>31</v>
      </c>
      <c r="AB2" s="14" t="s">
        <v>24</v>
      </c>
      <c r="AC2" s="14" t="s">
        <v>25</v>
      </c>
      <c r="AD2" s="14" t="s">
        <v>27</v>
      </c>
      <c r="AE2" s="14" t="s">
        <v>244</v>
      </c>
      <c r="AF2" s="63" t="s">
        <v>252</v>
      </c>
      <c r="AG2" s="14" t="s">
        <v>258</v>
      </c>
      <c r="AH2" s="52" t="s">
        <v>273</v>
      </c>
      <c r="AI2" s="184" t="s">
        <v>288</v>
      </c>
      <c r="AJ2" s="184" t="s">
        <v>289</v>
      </c>
      <c r="AK2" s="184" t="s">
        <v>290</v>
      </c>
      <c r="AL2" s="12" t="s">
        <v>6</v>
      </c>
      <c r="AM2" s="12" t="s">
        <v>5</v>
      </c>
      <c r="AN2" s="187" t="s">
        <v>293</v>
      </c>
      <c r="AO2" s="187" t="s">
        <v>291</v>
      </c>
      <c r="AP2" s="187" t="s">
        <v>323</v>
      </c>
      <c r="AQ2" s="187" t="s">
        <v>292</v>
      </c>
      <c r="AR2" s="187" t="s">
        <v>324</v>
      </c>
      <c r="AS2" s="12" t="s">
        <v>4</v>
      </c>
      <c r="AT2" s="87" t="s">
        <v>28</v>
      </c>
      <c r="AU2" s="87" t="s">
        <v>263</v>
      </c>
      <c r="AV2" s="54" t="s">
        <v>262</v>
      </c>
      <c r="AW2" s="54" t="s">
        <v>3</v>
      </c>
      <c r="AX2" s="12" t="s">
        <v>2</v>
      </c>
      <c r="AY2" s="12" t="s">
        <v>245</v>
      </c>
      <c r="AZ2" s="12" t="s">
        <v>1</v>
      </c>
      <c r="BA2" s="13" t="s">
        <v>253</v>
      </c>
      <c r="BB2" s="56" t="s">
        <v>254</v>
      </c>
      <c r="BC2" s="12" t="s">
        <v>0</v>
      </c>
      <c r="BD2" s="12" t="s">
        <v>29</v>
      </c>
      <c r="BE2" s="12" t="s">
        <v>23</v>
      </c>
      <c r="BF2" s="59" t="s">
        <v>274</v>
      </c>
      <c r="BG2" s="52" t="s">
        <v>269</v>
      </c>
    </row>
    <row r="3" spans="1:59" ht="30" customHeight="1" x14ac:dyDescent="0.25">
      <c r="A3" s="345" t="s">
        <v>34</v>
      </c>
      <c r="B3" s="345" t="s">
        <v>35</v>
      </c>
      <c r="C3" s="309" t="s">
        <v>36</v>
      </c>
      <c r="D3" s="346">
        <v>0</v>
      </c>
      <c r="E3" s="347" t="s">
        <v>37</v>
      </c>
      <c r="F3" s="347" t="s">
        <v>38</v>
      </c>
      <c r="G3" s="347" t="s">
        <v>75</v>
      </c>
      <c r="H3" s="309" t="s">
        <v>174</v>
      </c>
      <c r="I3" s="294">
        <v>0</v>
      </c>
      <c r="J3" s="347" t="s">
        <v>108</v>
      </c>
      <c r="K3" s="339">
        <v>500</v>
      </c>
      <c r="L3" s="372">
        <v>237.5</v>
      </c>
      <c r="M3" s="273">
        <v>25</v>
      </c>
      <c r="N3" s="273">
        <v>0</v>
      </c>
      <c r="O3" s="273">
        <v>0</v>
      </c>
      <c r="P3" s="273">
        <v>71</v>
      </c>
      <c r="Q3" s="273">
        <f>230-71</f>
        <v>159</v>
      </c>
      <c r="R3" s="88">
        <f>Q3+P3</f>
        <v>230</v>
      </c>
      <c r="S3" s="385">
        <f>R3/L3</f>
        <v>0.96842105263157896</v>
      </c>
      <c r="T3" s="180">
        <f>(R3+M3)/(K3)</f>
        <v>0.51</v>
      </c>
      <c r="U3" s="309" t="s">
        <v>149</v>
      </c>
      <c r="V3" s="309" t="s">
        <v>166</v>
      </c>
      <c r="W3" s="309" t="s">
        <v>167</v>
      </c>
      <c r="X3" s="67" t="s">
        <v>168</v>
      </c>
      <c r="Y3" s="48">
        <v>1</v>
      </c>
      <c r="Z3" s="315">
        <v>44562</v>
      </c>
      <c r="AA3" s="309">
        <v>364</v>
      </c>
      <c r="AB3" s="309">
        <v>500</v>
      </c>
      <c r="AC3" s="309">
        <v>500</v>
      </c>
      <c r="AD3" s="40">
        <v>0.35</v>
      </c>
      <c r="AE3" s="40">
        <v>0</v>
      </c>
      <c r="AF3" s="40">
        <v>0.5</v>
      </c>
      <c r="AG3" s="23">
        <v>0.5</v>
      </c>
      <c r="AH3" s="23">
        <v>0</v>
      </c>
      <c r="AI3" s="123">
        <f>(AH3+AG3+AF3+AE3)</f>
        <v>1</v>
      </c>
      <c r="AJ3" s="123">
        <f>AI3/Y3</f>
        <v>1</v>
      </c>
      <c r="AK3" s="123">
        <f>SUM(AJ3:AJ5)/(3)</f>
        <v>0.83266666666666678</v>
      </c>
      <c r="AL3" s="309" t="s">
        <v>171</v>
      </c>
      <c r="AM3" s="309" t="s">
        <v>172</v>
      </c>
      <c r="AN3" s="115" t="s">
        <v>294</v>
      </c>
      <c r="AO3" s="115">
        <v>402872690</v>
      </c>
      <c r="AP3" s="115">
        <v>0</v>
      </c>
      <c r="AQ3" s="115">
        <v>0</v>
      </c>
      <c r="AR3" s="123">
        <f>AQ3/AO3</f>
        <v>0</v>
      </c>
      <c r="AS3" s="309" t="s">
        <v>190</v>
      </c>
      <c r="AT3" s="342">
        <v>102872690</v>
      </c>
      <c r="AU3" s="361">
        <v>300000000</v>
      </c>
      <c r="AV3" s="392">
        <f>AT3+AU3</f>
        <v>402872690</v>
      </c>
      <c r="AW3" s="309" t="s">
        <v>189</v>
      </c>
      <c r="AX3" s="309" t="s">
        <v>149</v>
      </c>
      <c r="AY3" s="294" t="s">
        <v>246</v>
      </c>
      <c r="AZ3" s="309" t="s">
        <v>199</v>
      </c>
      <c r="BA3" s="376">
        <v>0</v>
      </c>
      <c r="BB3" s="350">
        <f>+BA3/AT3</f>
        <v>0</v>
      </c>
      <c r="BC3" s="309" t="s">
        <v>196</v>
      </c>
      <c r="BD3" s="309" t="s">
        <v>197</v>
      </c>
      <c r="BE3" s="309" t="s">
        <v>197</v>
      </c>
      <c r="BF3" s="269" t="s">
        <v>259</v>
      </c>
      <c r="BG3" s="269" t="s">
        <v>281</v>
      </c>
    </row>
    <row r="4" spans="1:59" ht="120" x14ac:dyDescent="0.25">
      <c r="A4" s="345"/>
      <c r="B4" s="345"/>
      <c r="C4" s="309"/>
      <c r="D4" s="346"/>
      <c r="E4" s="347"/>
      <c r="F4" s="347"/>
      <c r="G4" s="347"/>
      <c r="H4" s="309"/>
      <c r="I4" s="295"/>
      <c r="J4" s="347"/>
      <c r="K4" s="339"/>
      <c r="L4" s="372"/>
      <c r="M4" s="274"/>
      <c r="N4" s="274"/>
      <c r="O4" s="274"/>
      <c r="P4" s="274"/>
      <c r="Q4" s="274"/>
      <c r="R4" s="89"/>
      <c r="S4" s="386"/>
      <c r="T4" s="89"/>
      <c r="U4" s="309"/>
      <c r="V4" s="309"/>
      <c r="W4" s="309"/>
      <c r="X4" s="41" t="s">
        <v>169</v>
      </c>
      <c r="Y4" s="48">
        <v>1</v>
      </c>
      <c r="Z4" s="309"/>
      <c r="AA4" s="309"/>
      <c r="AB4" s="309"/>
      <c r="AC4" s="309"/>
      <c r="AD4" s="40">
        <v>0.35</v>
      </c>
      <c r="AE4" s="40">
        <v>0</v>
      </c>
      <c r="AF4" s="40">
        <v>0</v>
      </c>
      <c r="AG4" s="40">
        <v>0</v>
      </c>
      <c r="AH4" s="40">
        <v>0.5</v>
      </c>
      <c r="AI4" s="123">
        <f t="shared" ref="AI4:AI77" si="0">(AH4+AG4+AF4+AE4)</f>
        <v>0.5</v>
      </c>
      <c r="AJ4" s="123">
        <f t="shared" ref="AJ4:AJ75" si="1">AI4/Y4</f>
        <v>0.5</v>
      </c>
      <c r="AK4" s="40"/>
      <c r="AL4" s="309"/>
      <c r="AM4" s="309"/>
      <c r="AN4" s="115" t="s">
        <v>295</v>
      </c>
      <c r="AO4" s="115"/>
      <c r="AP4" s="115"/>
      <c r="AQ4" s="115"/>
      <c r="AR4" s="115"/>
      <c r="AS4" s="309"/>
      <c r="AT4" s="343"/>
      <c r="AU4" s="394"/>
      <c r="AV4" s="395"/>
      <c r="AW4" s="309"/>
      <c r="AX4" s="309"/>
      <c r="AY4" s="295"/>
      <c r="AZ4" s="309"/>
      <c r="BA4" s="377"/>
      <c r="BB4" s="351"/>
      <c r="BC4" s="309"/>
      <c r="BD4" s="309"/>
      <c r="BE4" s="309"/>
      <c r="BF4" s="305"/>
      <c r="BG4" s="305"/>
    </row>
    <row r="5" spans="1:59" ht="129.6" customHeight="1" x14ac:dyDescent="0.25">
      <c r="A5" s="345"/>
      <c r="B5" s="345"/>
      <c r="C5" s="309"/>
      <c r="D5" s="346"/>
      <c r="E5" s="347"/>
      <c r="F5" s="347"/>
      <c r="G5" s="347"/>
      <c r="H5" s="309"/>
      <c r="I5" s="295"/>
      <c r="J5" s="347"/>
      <c r="K5" s="339"/>
      <c r="L5" s="372"/>
      <c r="M5" s="275"/>
      <c r="N5" s="275"/>
      <c r="O5" s="275"/>
      <c r="P5" s="275"/>
      <c r="Q5" s="275"/>
      <c r="R5" s="90"/>
      <c r="S5" s="387"/>
      <c r="T5" s="90"/>
      <c r="U5" s="309"/>
      <c r="V5" s="309"/>
      <c r="W5" s="309"/>
      <c r="X5" s="41" t="s">
        <v>170</v>
      </c>
      <c r="Y5" s="48">
        <v>1</v>
      </c>
      <c r="Z5" s="309"/>
      <c r="AA5" s="309"/>
      <c r="AB5" s="309"/>
      <c r="AC5" s="309"/>
      <c r="AD5" s="40">
        <v>0.3</v>
      </c>
      <c r="AE5" s="40">
        <v>0.66600000000000004</v>
      </c>
      <c r="AF5" s="40">
        <v>0.16600000000000001</v>
      </c>
      <c r="AG5" s="40">
        <v>0.16600000000000001</v>
      </c>
      <c r="AH5" s="40">
        <v>0</v>
      </c>
      <c r="AI5" s="123">
        <f t="shared" si="0"/>
        <v>0.998</v>
      </c>
      <c r="AJ5" s="123">
        <f t="shared" si="1"/>
        <v>0.998</v>
      </c>
      <c r="AK5" s="40"/>
      <c r="AL5" s="309"/>
      <c r="AM5" s="309"/>
      <c r="AN5" s="115"/>
      <c r="AO5" s="115"/>
      <c r="AP5" s="115"/>
      <c r="AQ5" s="115"/>
      <c r="AR5" s="115"/>
      <c r="AS5" s="309"/>
      <c r="AT5" s="343"/>
      <c r="AU5" s="391"/>
      <c r="AV5" s="393"/>
      <c r="AW5" s="309"/>
      <c r="AX5" s="309"/>
      <c r="AY5" s="296"/>
      <c r="AZ5" s="309"/>
      <c r="BA5" s="377"/>
      <c r="BB5" s="352"/>
      <c r="BC5" s="309"/>
      <c r="BD5" s="309"/>
      <c r="BE5" s="309"/>
      <c r="BF5" s="270"/>
      <c r="BG5" s="270"/>
    </row>
    <row r="6" spans="1:59" ht="129.6" customHeight="1" x14ac:dyDescent="0.25">
      <c r="A6" s="345"/>
      <c r="B6" s="345"/>
      <c r="C6" s="309"/>
      <c r="D6" s="346"/>
      <c r="E6" s="347"/>
      <c r="F6" s="165"/>
      <c r="G6" s="165"/>
      <c r="H6" s="131"/>
      <c r="I6" s="295"/>
      <c r="J6" s="396" t="s">
        <v>305</v>
      </c>
      <c r="K6" s="397"/>
      <c r="L6" s="397"/>
      <c r="M6" s="397"/>
      <c r="N6" s="397"/>
      <c r="O6" s="397"/>
      <c r="P6" s="398"/>
      <c r="Q6" s="148"/>
      <c r="R6" s="148"/>
      <c r="S6" s="179">
        <f>+S3</f>
        <v>0.96842105263157896</v>
      </c>
      <c r="T6" s="189">
        <f>+T3</f>
        <v>0.51</v>
      </c>
      <c r="U6" s="322" t="s">
        <v>306</v>
      </c>
      <c r="V6" s="325"/>
      <c r="W6" s="325"/>
      <c r="X6" s="325"/>
      <c r="Y6" s="325"/>
      <c r="Z6" s="325"/>
      <c r="AA6" s="325"/>
      <c r="AB6" s="325"/>
      <c r="AC6" s="325"/>
      <c r="AD6" s="325"/>
      <c r="AE6" s="325"/>
      <c r="AF6" s="325"/>
      <c r="AG6" s="326"/>
      <c r="AH6" s="40"/>
      <c r="AI6" s="171"/>
      <c r="AJ6" s="171">
        <f>AVERAGE(AJ3:AJ5)</f>
        <v>0.83266666666666678</v>
      </c>
      <c r="AK6" s="40">
        <f>+AK3</f>
        <v>0.83266666666666678</v>
      </c>
      <c r="AL6" s="327" t="s">
        <v>322</v>
      </c>
      <c r="AM6" s="324"/>
      <c r="AN6" s="131"/>
      <c r="AO6" s="131">
        <v>402872690</v>
      </c>
      <c r="AP6" s="131">
        <v>0</v>
      </c>
      <c r="AQ6" s="131">
        <v>0</v>
      </c>
      <c r="AR6" s="203">
        <v>0</v>
      </c>
      <c r="AS6" s="131"/>
      <c r="AT6" s="137"/>
      <c r="AU6" s="139"/>
      <c r="AV6" s="141"/>
      <c r="AW6" s="131"/>
      <c r="AX6" s="131"/>
      <c r="AY6" s="153"/>
      <c r="AZ6" s="131"/>
      <c r="BA6" s="158"/>
      <c r="BB6" s="143"/>
      <c r="BC6" s="131"/>
      <c r="BD6" s="131"/>
      <c r="BE6" s="131"/>
      <c r="BF6" s="162"/>
      <c r="BG6" s="162"/>
    </row>
    <row r="7" spans="1:59" ht="55.5" customHeight="1" x14ac:dyDescent="0.25">
      <c r="A7" s="345"/>
      <c r="B7" s="345"/>
      <c r="C7" s="309"/>
      <c r="D7" s="346"/>
      <c r="E7" s="347"/>
      <c r="F7" s="347" t="s">
        <v>39</v>
      </c>
      <c r="G7" s="25" t="s">
        <v>76</v>
      </c>
      <c r="H7" s="21" t="s">
        <v>174</v>
      </c>
      <c r="I7" s="295"/>
      <c r="J7" s="25" t="s">
        <v>109</v>
      </c>
      <c r="K7" s="70">
        <v>1</v>
      </c>
      <c r="L7" s="71" t="s">
        <v>140</v>
      </c>
      <c r="M7" s="71">
        <v>1</v>
      </c>
      <c r="N7" s="71" t="s">
        <v>71</v>
      </c>
      <c r="O7" s="71" t="s">
        <v>71</v>
      </c>
      <c r="P7" s="71" t="s">
        <v>71</v>
      </c>
      <c r="Q7" s="71" t="s">
        <v>71</v>
      </c>
      <c r="R7" s="125"/>
      <c r="S7" s="176"/>
      <c r="T7" s="125"/>
      <c r="U7" s="309" t="s">
        <v>141</v>
      </c>
      <c r="V7" s="309" t="s">
        <v>151</v>
      </c>
      <c r="W7" s="309" t="s">
        <v>152</v>
      </c>
      <c r="X7" s="39" t="s">
        <v>192</v>
      </c>
      <c r="Y7" s="48">
        <v>1</v>
      </c>
      <c r="Z7" s="315">
        <v>44562</v>
      </c>
      <c r="AA7" s="309">
        <v>364</v>
      </c>
      <c r="AB7" s="309">
        <v>1028736</v>
      </c>
      <c r="AC7" s="309">
        <f>AB7</f>
        <v>1028736</v>
      </c>
      <c r="AD7" s="23">
        <v>0.25</v>
      </c>
      <c r="AE7" s="23">
        <v>0.8</v>
      </c>
      <c r="AF7" s="23">
        <v>0</v>
      </c>
      <c r="AG7" s="23">
        <v>0.08</v>
      </c>
      <c r="AH7" s="23">
        <v>0.12</v>
      </c>
      <c r="AI7" s="123">
        <f t="shared" si="0"/>
        <v>1</v>
      </c>
      <c r="AJ7" s="123">
        <f t="shared" si="1"/>
        <v>1</v>
      </c>
      <c r="AK7" s="123">
        <f>SUM(AJ7:AJ10)/(4)</f>
        <v>1</v>
      </c>
      <c r="AL7" s="309" t="s">
        <v>171</v>
      </c>
      <c r="AM7" s="309" t="s">
        <v>172</v>
      </c>
      <c r="AN7" s="115" t="s">
        <v>294</v>
      </c>
      <c r="AO7" s="115">
        <v>276577126</v>
      </c>
      <c r="AP7" s="115">
        <v>34320000</v>
      </c>
      <c r="AQ7" s="115">
        <v>34320000</v>
      </c>
      <c r="AR7" s="123">
        <f>AQ7/AO7</f>
        <v>0.12408835284520239</v>
      </c>
      <c r="AS7" s="309" t="s">
        <v>190</v>
      </c>
      <c r="AT7" s="342">
        <v>476577126</v>
      </c>
      <c r="AU7" s="361">
        <v>-200000000</v>
      </c>
      <c r="AV7" s="392">
        <f>AT7+AU7</f>
        <v>276577126</v>
      </c>
      <c r="AW7" s="309" t="s">
        <v>189</v>
      </c>
      <c r="AX7" s="309" t="s">
        <v>141</v>
      </c>
      <c r="AY7" s="294" t="s">
        <v>246</v>
      </c>
      <c r="AZ7" s="309" t="s">
        <v>198</v>
      </c>
      <c r="BA7" s="376">
        <v>34320000</v>
      </c>
      <c r="BB7" s="350">
        <f>+BA7/AV7</f>
        <v>0.12408835284520239</v>
      </c>
      <c r="BC7" s="309" t="s">
        <v>196</v>
      </c>
      <c r="BD7" s="309" t="s">
        <v>197</v>
      </c>
      <c r="BE7" s="309" t="s">
        <v>197</v>
      </c>
      <c r="BF7" s="306" t="s">
        <v>264</v>
      </c>
      <c r="BG7" s="306" t="s">
        <v>270</v>
      </c>
    </row>
    <row r="8" spans="1:59" ht="30.6" customHeight="1" x14ac:dyDescent="0.25">
      <c r="A8" s="345"/>
      <c r="B8" s="345"/>
      <c r="C8" s="309"/>
      <c r="D8" s="346"/>
      <c r="E8" s="347"/>
      <c r="F8" s="347"/>
      <c r="G8" s="347" t="s">
        <v>77</v>
      </c>
      <c r="H8" s="294" t="s">
        <v>174</v>
      </c>
      <c r="I8" s="295"/>
      <c r="J8" s="347" t="s">
        <v>110</v>
      </c>
      <c r="K8" s="407">
        <v>1</v>
      </c>
      <c r="L8" s="373">
        <v>0.35</v>
      </c>
      <c r="M8" s="276">
        <v>0.65</v>
      </c>
      <c r="N8" s="276">
        <v>0.3</v>
      </c>
      <c r="O8" s="276">
        <v>0</v>
      </c>
      <c r="P8" s="402">
        <v>0</v>
      </c>
      <c r="Q8" s="276">
        <v>0.05</v>
      </c>
      <c r="R8" s="276">
        <f>Q8+N8</f>
        <v>0.35</v>
      </c>
      <c r="S8" s="179">
        <f>R8/L8</f>
        <v>1</v>
      </c>
      <c r="T8" s="182">
        <f>(R8+M8)/(K8)</f>
        <v>1</v>
      </c>
      <c r="U8" s="309"/>
      <c r="V8" s="309"/>
      <c r="W8" s="309"/>
      <c r="X8" s="39" t="s">
        <v>193</v>
      </c>
      <c r="Y8" s="48">
        <v>1</v>
      </c>
      <c r="Z8" s="309"/>
      <c r="AA8" s="309"/>
      <c r="AB8" s="309"/>
      <c r="AC8" s="309"/>
      <c r="AD8" s="23">
        <v>0.25</v>
      </c>
      <c r="AE8" s="23">
        <v>0</v>
      </c>
      <c r="AF8" s="23">
        <v>0</v>
      </c>
      <c r="AG8" s="23">
        <v>0.1</v>
      </c>
      <c r="AH8" s="23">
        <v>0.9</v>
      </c>
      <c r="AI8" s="123">
        <f t="shared" si="0"/>
        <v>1</v>
      </c>
      <c r="AJ8" s="123">
        <f t="shared" si="1"/>
        <v>1</v>
      </c>
      <c r="AK8" s="123"/>
      <c r="AL8" s="309"/>
      <c r="AM8" s="309"/>
      <c r="AN8" s="115"/>
      <c r="AO8" s="115"/>
      <c r="AP8" s="115"/>
      <c r="AQ8" s="115"/>
      <c r="AR8" s="115"/>
      <c r="AS8" s="309"/>
      <c r="AT8" s="343"/>
      <c r="AU8" s="394"/>
      <c r="AV8" s="395"/>
      <c r="AW8" s="309"/>
      <c r="AX8" s="309"/>
      <c r="AY8" s="295"/>
      <c r="AZ8" s="309"/>
      <c r="BA8" s="377"/>
      <c r="BB8" s="351"/>
      <c r="BC8" s="309"/>
      <c r="BD8" s="309"/>
      <c r="BE8" s="309"/>
      <c r="BF8" s="307"/>
      <c r="BG8" s="307"/>
    </row>
    <row r="9" spans="1:59" ht="21.6" customHeight="1" x14ac:dyDescent="0.25">
      <c r="A9" s="345"/>
      <c r="B9" s="345"/>
      <c r="C9" s="309"/>
      <c r="D9" s="346"/>
      <c r="E9" s="347"/>
      <c r="F9" s="347"/>
      <c r="G9" s="347"/>
      <c r="H9" s="295"/>
      <c r="I9" s="295"/>
      <c r="J9" s="347"/>
      <c r="K9" s="407"/>
      <c r="L9" s="373"/>
      <c r="M9" s="277"/>
      <c r="N9" s="277"/>
      <c r="O9" s="277"/>
      <c r="P9" s="403"/>
      <c r="Q9" s="277"/>
      <c r="R9" s="277"/>
      <c r="S9" s="178"/>
      <c r="T9" s="91"/>
      <c r="U9" s="309"/>
      <c r="V9" s="309"/>
      <c r="W9" s="309"/>
      <c r="X9" s="39" t="s">
        <v>194</v>
      </c>
      <c r="Y9" s="48">
        <v>1</v>
      </c>
      <c r="Z9" s="309"/>
      <c r="AA9" s="309"/>
      <c r="AB9" s="309"/>
      <c r="AC9" s="309"/>
      <c r="AD9" s="23">
        <v>0.25</v>
      </c>
      <c r="AE9" s="23">
        <v>0</v>
      </c>
      <c r="AF9" s="23">
        <v>0.4</v>
      </c>
      <c r="AG9" s="65">
        <v>0.2</v>
      </c>
      <c r="AH9" s="65">
        <v>0.4</v>
      </c>
      <c r="AI9" s="123">
        <f t="shared" si="0"/>
        <v>1</v>
      </c>
      <c r="AJ9" s="123">
        <f t="shared" si="1"/>
        <v>1</v>
      </c>
      <c r="AK9" s="65"/>
      <c r="AL9" s="309"/>
      <c r="AM9" s="309"/>
      <c r="AN9" s="115"/>
      <c r="AO9" s="115"/>
      <c r="AP9" s="115"/>
      <c r="AQ9" s="115"/>
      <c r="AR9" s="115"/>
      <c r="AS9" s="309"/>
      <c r="AT9" s="343"/>
      <c r="AU9" s="394"/>
      <c r="AV9" s="395"/>
      <c r="AW9" s="309"/>
      <c r="AX9" s="309"/>
      <c r="AY9" s="295"/>
      <c r="AZ9" s="309"/>
      <c r="BA9" s="377"/>
      <c r="BB9" s="351"/>
      <c r="BC9" s="309"/>
      <c r="BD9" s="309"/>
      <c r="BE9" s="309"/>
      <c r="BF9" s="307"/>
      <c r="BG9" s="307"/>
    </row>
    <row r="10" spans="1:59" ht="15" x14ac:dyDescent="0.25">
      <c r="A10" s="345"/>
      <c r="B10" s="345"/>
      <c r="C10" s="309"/>
      <c r="D10" s="346"/>
      <c r="E10" s="347"/>
      <c r="F10" s="347"/>
      <c r="G10" s="347"/>
      <c r="H10" s="295"/>
      <c r="I10" s="295"/>
      <c r="J10" s="347"/>
      <c r="K10" s="407"/>
      <c r="L10" s="373"/>
      <c r="M10" s="277"/>
      <c r="N10" s="277"/>
      <c r="O10" s="277"/>
      <c r="P10" s="403"/>
      <c r="Q10" s="277"/>
      <c r="R10" s="277"/>
      <c r="S10" s="176"/>
      <c r="T10" s="91"/>
      <c r="U10" s="309"/>
      <c r="V10" s="309"/>
      <c r="W10" s="309"/>
      <c r="X10" s="269" t="s">
        <v>195</v>
      </c>
      <c r="Y10" s="336">
        <v>1</v>
      </c>
      <c r="Z10" s="309"/>
      <c r="AA10" s="309"/>
      <c r="AB10" s="309"/>
      <c r="AC10" s="309"/>
      <c r="AD10" s="316">
        <v>0.25</v>
      </c>
      <c r="AE10" s="316">
        <v>0</v>
      </c>
      <c r="AF10" s="316">
        <v>0.2</v>
      </c>
      <c r="AG10" s="350">
        <v>0.2</v>
      </c>
      <c r="AH10" s="350">
        <v>0.6</v>
      </c>
      <c r="AI10" s="123">
        <f t="shared" si="0"/>
        <v>1</v>
      </c>
      <c r="AJ10" s="123">
        <f t="shared" si="1"/>
        <v>1</v>
      </c>
      <c r="AK10" s="126"/>
      <c r="AL10" s="309"/>
      <c r="AM10" s="309"/>
      <c r="AN10" s="115"/>
      <c r="AO10" s="115"/>
      <c r="AP10" s="115"/>
      <c r="AQ10" s="115"/>
      <c r="AR10" s="115"/>
      <c r="AS10" s="309"/>
      <c r="AT10" s="343"/>
      <c r="AU10" s="394"/>
      <c r="AV10" s="395"/>
      <c r="AW10" s="309"/>
      <c r="AX10" s="309"/>
      <c r="AY10" s="295"/>
      <c r="AZ10" s="309"/>
      <c r="BA10" s="377"/>
      <c r="BB10" s="351"/>
      <c r="BC10" s="309"/>
      <c r="BD10" s="309"/>
      <c r="BE10" s="309"/>
      <c r="BF10" s="307"/>
      <c r="BG10" s="307"/>
    </row>
    <row r="11" spans="1:59" ht="15" x14ac:dyDescent="0.25">
      <c r="A11" s="345"/>
      <c r="B11" s="345"/>
      <c r="C11" s="309"/>
      <c r="D11" s="346"/>
      <c r="E11" s="347"/>
      <c r="F11" s="347"/>
      <c r="G11" s="347"/>
      <c r="H11" s="296"/>
      <c r="I11" s="295"/>
      <c r="J11" s="347"/>
      <c r="K11" s="407"/>
      <c r="L11" s="373"/>
      <c r="M11" s="278"/>
      <c r="N11" s="278"/>
      <c r="O11" s="278"/>
      <c r="P11" s="404"/>
      <c r="Q11" s="278"/>
      <c r="R11" s="278"/>
      <c r="S11" s="177"/>
      <c r="T11" s="92"/>
      <c r="U11" s="309"/>
      <c r="V11" s="309"/>
      <c r="W11" s="309"/>
      <c r="X11" s="305"/>
      <c r="Y11" s="338"/>
      <c r="Z11" s="309"/>
      <c r="AA11" s="309"/>
      <c r="AB11" s="309"/>
      <c r="AC11" s="309"/>
      <c r="AD11" s="317"/>
      <c r="AE11" s="317"/>
      <c r="AF11" s="317"/>
      <c r="AG11" s="351"/>
      <c r="AH11" s="351"/>
      <c r="AI11" s="123"/>
      <c r="AJ11" s="123"/>
      <c r="AK11" s="127"/>
      <c r="AL11" s="309"/>
      <c r="AM11" s="309"/>
      <c r="AN11" s="115"/>
      <c r="AO11" s="115"/>
      <c r="AP11" s="115"/>
      <c r="AQ11" s="115"/>
      <c r="AR11" s="115"/>
      <c r="AS11" s="309"/>
      <c r="AT11" s="343"/>
      <c r="AU11" s="394"/>
      <c r="AV11" s="395"/>
      <c r="AW11" s="309"/>
      <c r="AX11" s="309"/>
      <c r="AY11" s="295"/>
      <c r="AZ11" s="309"/>
      <c r="BA11" s="377"/>
      <c r="BB11" s="351"/>
      <c r="BC11" s="309"/>
      <c r="BD11" s="309"/>
      <c r="BE11" s="309"/>
      <c r="BF11" s="307"/>
      <c r="BG11" s="307"/>
    </row>
    <row r="12" spans="1:59" ht="15" customHeight="1" x14ac:dyDescent="0.25">
      <c r="A12" s="345"/>
      <c r="B12" s="345"/>
      <c r="C12" s="309"/>
      <c r="D12" s="346"/>
      <c r="E12" s="347"/>
      <c r="F12" s="347"/>
      <c r="G12" s="357" t="s">
        <v>78</v>
      </c>
      <c r="H12" s="294" t="s">
        <v>174</v>
      </c>
      <c r="I12" s="295"/>
      <c r="J12" s="357" t="s">
        <v>111</v>
      </c>
      <c r="K12" s="411">
        <v>4</v>
      </c>
      <c r="L12" s="279">
        <v>2</v>
      </c>
      <c r="M12" s="279">
        <v>0</v>
      </c>
      <c r="N12" s="279">
        <v>0</v>
      </c>
      <c r="O12" s="310">
        <v>0.5</v>
      </c>
      <c r="P12" s="405">
        <v>0.5</v>
      </c>
      <c r="Q12" s="279">
        <v>1</v>
      </c>
      <c r="R12" s="279">
        <f>Q12+P12+O12</f>
        <v>2</v>
      </c>
      <c r="S12" s="178">
        <f>R12/L12</f>
        <v>1</v>
      </c>
      <c r="T12" s="180">
        <f>(R12+M12)/(K12)</f>
        <v>0.5</v>
      </c>
      <c r="U12" s="309"/>
      <c r="V12" s="309"/>
      <c r="W12" s="309"/>
      <c r="X12" s="305"/>
      <c r="Y12" s="338"/>
      <c r="Z12" s="309"/>
      <c r="AA12" s="309"/>
      <c r="AB12" s="309"/>
      <c r="AC12" s="309"/>
      <c r="AD12" s="317"/>
      <c r="AE12" s="317"/>
      <c r="AF12" s="317"/>
      <c r="AG12" s="351"/>
      <c r="AH12" s="351"/>
      <c r="AI12" s="123"/>
      <c r="AJ12" s="123"/>
      <c r="AK12" s="127"/>
      <c r="AL12" s="309"/>
      <c r="AM12" s="309"/>
      <c r="AN12" s="115"/>
      <c r="AO12" s="115"/>
      <c r="AP12" s="115"/>
      <c r="AQ12" s="115"/>
      <c r="AR12" s="115"/>
      <c r="AS12" s="309"/>
      <c r="AT12" s="343"/>
      <c r="AU12" s="394"/>
      <c r="AV12" s="395"/>
      <c r="AW12" s="309"/>
      <c r="AX12" s="309"/>
      <c r="AY12" s="295"/>
      <c r="AZ12" s="309"/>
      <c r="BA12" s="377"/>
      <c r="BB12" s="351"/>
      <c r="BC12" s="309"/>
      <c r="BD12" s="309"/>
      <c r="BE12" s="309"/>
      <c r="BF12" s="307"/>
      <c r="BG12" s="307"/>
    </row>
    <row r="13" spans="1:59" ht="23.25" customHeight="1" x14ac:dyDescent="0.25">
      <c r="A13" s="345"/>
      <c r="B13" s="345"/>
      <c r="C13" s="309"/>
      <c r="D13" s="346"/>
      <c r="E13" s="347"/>
      <c r="F13" s="347"/>
      <c r="G13" s="358"/>
      <c r="H13" s="296"/>
      <c r="I13" s="295"/>
      <c r="J13" s="358"/>
      <c r="K13" s="413"/>
      <c r="L13" s="280"/>
      <c r="M13" s="280"/>
      <c r="N13" s="280"/>
      <c r="O13" s="311"/>
      <c r="P13" s="406"/>
      <c r="Q13" s="280"/>
      <c r="R13" s="280"/>
      <c r="S13" s="176"/>
      <c r="T13" s="93"/>
      <c r="U13" s="309"/>
      <c r="V13" s="309"/>
      <c r="W13" s="309"/>
      <c r="X13" s="305"/>
      <c r="Y13" s="338"/>
      <c r="Z13" s="309"/>
      <c r="AA13" s="309"/>
      <c r="AB13" s="309"/>
      <c r="AC13" s="309"/>
      <c r="AD13" s="317"/>
      <c r="AE13" s="317"/>
      <c r="AF13" s="317"/>
      <c r="AG13" s="351"/>
      <c r="AH13" s="351"/>
      <c r="AI13" s="123"/>
      <c r="AJ13" s="123"/>
      <c r="AK13" s="127"/>
      <c r="AL13" s="309"/>
      <c r="AM13" s="309"/>
      <c r="AN13" s="115"/>
      <c r="AO13" s="115"/>
      <c r="AP13" s="115"/>
      <c r="AQ13" s="115"/>
      <c r="AR13" s="115"/>
      <c r="AS13" s="309"/>
      <c r="AT13" s="343"/>
      <c r="AU13" s="394"/>
      <c r="AV13" s="395"/>
      <c r="AW13" s="309"/>
      <c r="AX13" s="309"/>
      <c r="AY13" s="295"/>
      <c r="AZ13" s="309"/>
      <c r="BA13" s="377"/>
      <c r="BB13" s="351"/>
      <c r="BC13" s="309"/>
      <c r="BD13" s="309"/>
      <c r="BE13" s="309"/>
      <c r="BF13" s="307"/>
      <c r="BG13" s="307"/>
    </row>
    <row r="14" spans="1:59" ht="15" x14ac:dyDescent="0.25">
      <c r="A14" s="345"/>
      <c r="B14" s="345"/>
      <c r="C14" s="309"/>
      <c r="D14" s="346"/>
      <c r="E14" s="347"/>
      <c r="F14" s="347"/>
      <c r="G14" s="357" t="s">
        <v>79</v>
      </c>
      <c r="H14" s="294" t="s">
        <v>174</v>
      </c>
      <c r="I14" s="295"/>
      <c r="J14" s="357" t="s">
        <v>112</v>
      </c>
      <c r="K14" s="411">
        <v>200</v>
      </c>
      <c r="L14" s="279">
        <v>100</v>
      </c>
      <c r="M14" s="279" t="s">
        <v>140</v>
      </c>
      <c r="N14" s="279">
        <v>0</v>
      </c>
      <c r="O14" s="279">
        <v>25</v>
      </c>
      <c r="P14" s="402">
        <v>0</v>
      </c>
      <c r="Q14" s="281">
        <v>209</v>
      </c>
      <c r="R14" s="281">
        <f>Q14+O14</f>
        <v>234</v>
      </c>
      <c r="S14" s="177">
        <f>100%</f>
        <v>1</v>
      </c>
      <c r="T14" s="182">
        <f>100%</f>
        <v>1</v>
      </c>
      <c r="U14" s="309"/>
      <c r="V14" s="309"/>
      <c r="W14" s="309"/>
      <c r="X14" s="305"/>
      <c r="Y14" s="338"/>
      <c r="Z14" s="309"/>
      <c r="AA14" s="309"/>
      <c r="AB14" s="309"/>
      <c r="AC14" s="309"/>
      <c r="AD14" s="317"/>
      <c r="AE14" s="317"/>
      <c r="AF14" s="317"/>
      <c r="AG14" s="351"/>
      <c r="AH14" s="351"/>
      <c r="AI14" s="123"/>
      <c r="AJ14" s="123"/>
      <c r="AK14" s="127"/>
      <c r="AL14" s="309"/>
      <c r="AM14" s="309"/>
      <c r="AN14" s="115"/>
      <c r="AO14" s="115"/>
      <c r="AP14" s="115"/>
      <c r="AQ14" s="115"/>
      <c r="AR14" s="115"/>
      <c r="AS14" s="309"/>
      <c r="AT14" s="343"/>
      <c r="AU14" s="394"/>
      <c r="AV14" s="395"/>
      <c r="AW14" s="309"/>
      <c r="AX14" s="309"/>
      <c r="AY14" s="295"/>
      <c r="AZ14" s="309"/>
      <c r="BA14" s="377"/>
      <c r="BB14" s="351"/>
      <c r="BC14" s="309"/>
      <c r="BD14" s="309"/>
      <c r="BE14" s="309"/>
      <c r="BF14" s="307"/>
      <c r="BG14" s="307"/>
    </row>
    <row r="15" spans="1:59" ht="15" x14ac:dyDescent="0.25">
      <c r="A15" s="345"/>
      <c r="B15" s="345"/>
      <c r="C15" s="309"/>
      <c r="D15" s="346"/>
      <c r="E15" s="347"/>
      <c r="F15" s="347"/>
      <c r="G15" s="359"/>
      <c r="H15" s="295"/>
      <c r="I15" s="295"/>
      <c r="J15" s="359"/>
      <c r="K15" s="412"/>
      <c r="L15" s="312"/>
      <c r="M15" s="312"/>
      <c r="N15" s="312"/>
      <c r="O15" s="312"/>
      <c r="P15" s="403"/>
      <c r="Q15" s="282"/>
      <c r="R15" s="282"/>
      <c r="S15" s="178"/>
      <c r="T15" s="94"/>
      <c r="U15" s="309"/>
      <c r="V15" s="309"/>
      <c r="W15" s="309"/>
      <c r="X15" s="305"/>
      <c r="Y15" s="338"/>
      <c r="Z15" s="309"/>
      <c r="AA15" s="309"/>
      <c r="AB15" s="309"/>
      <c r="AC15" s="309"/>
      <c r="AD15" s="317"/>
      <c r="AE15" s="317"/>
      <c r="AF15" s="317"/>
      <c r="AG15" s="351"/>
      <c r="AH15" s="351"/>
      <c r="AI15" s="123"/>
      <c r="AJ15" s="123"/>
      <c r="AK15" s="127"/>
      <c r="AL15" s="309"/>
      <c r="AM15" s="309"/>
      <c r="AN15" s="115"/>
      <c r="AO15" s="115"/>
      <c r="AP15" s="115"/>
      <c r="AQ15" s="115"/>
      <c r="AR15" s="115"/>
      <c r="AS15" s="309"/>
      <c r="AT15" s="343"/>
      <c r="AU15" s="394"/>
      <c r="AV15" s="395"/>
      <c r="AW15" s="309"/>
      <c r="AX15" s="309"/>
      <c r="AY15" s="295"/>
      <c r="AZ15" s="309"/>
      <c r="BA15" s="377"/>
      <c r="BB15" s="351"/>
      <c r="BC15" s="309"/>
      <c r="BD15" s="309"/>
      <c r="BE15" s="309"/>
      <c r="BF15" s="307"/>
      <c r="BG15" s="307"/>
    </row>
    <row r="16" spans="1:59" ht="34.5" customHeight="1" x14ac:dyDescent="0.25">
      <c r="A16" s="345"/>
      <c r="B16" s="345"/>
      <c r="C16" s="309"/>
      <c r="D16" s="346"/>
      <c r="E16" s="347"/>
      <c r="F16" s="347"/>
      <c r="G16" s="358"/>
      <c r="H16" s="296"/>
      <c r="I16" s="295"/>
      <c r="J16" s="358"/>
      <c r="K16" s="413"/>
      <c r="L16" s="280"/>
      <c r="M16" s="280"/>
      <c r="N16" s="280"/>
      <c r="O16" s="280"/>
      <c r="P16" s="403"/>
      <c r="Q16" s="283"/>
      <c r="R16" s="283"/>
      <c r="S16" s="176"/>
      <c r="T16" s="95"/>
      <c r="U16" s="309"/>
      <c r="V16" s="309"/>
      <c r="W16" s="309"/>
      <c r="X16" s="270"/>
      <c r="Y16" s="337"/>
      <c r="Z16" s="309"/>
      <c r="AA16" s="309"/>
      <c r="AB16" s="309"/>
      <c r="AC16" s="309"/>
      <c r="AD16" s="318"/>
      <c r="AE16" s="318"/>
      <c r="AF16" s="318"/>
      <c r="AG16" s="352"/>
      <c r="AH16" s="352"/>
      <c r="AI16" s="123"/>
      <c r="AJ16" s="123"/>
      <c r="AK16" s="128"/>
      <c r="AL16" s="309"/>
      <c r="AM16" s="309"/>
      <c r="AN16" s="115"/>
      <c r="AO16" s="115"/>
      <c r="AP16" s="115"/>
      <c r="AQ16" s="115"/>
      <c r="AR16" s="115"/>
      <c r="AS16" s="309"/>
      <c r="AT16" s="343"/>
      <c r="AU16" s="391"/>
      <c r="AV16" s="393"/>
      <c r="AW16" s="309"/>
      <c r="AX16" s="309"/>
      <c r="AY16" s="296"/>
      <c r="AZ16" s="309"/>
      <c r="BA16" s="377"/>
      <c r="BB16" s="352"/>
      <c r="BC16" s="309"/>
      <c r="BD16" s="309"/>
      <c r="BE16" s="309"/>
      <c r="BF16" s="308"/>
      <c r="BG16" s="308"/>
    </row>
    <row r="17" spans="1:59" ht="59.25" customHeight="1" x14ac:dyDescent="0.25">
      <c r="A17" s="345"/>
      <c r="B17" s="345"/>
      <c r="C17" s="309"/>
      <c r="D17" s="346"/>
      <c r="E17" s="347"/>
      <c r="F17" s="165"/>
      <c r="G17" s="167"/>
      <c r="H17" s="146"/>
      <c r="I17" s="295"/>
      <c r="J17" s="408" t="s">
        <v>307</v>
      </c>
      <c r="K17" s="409"/>
      <c r="L17" s="409"/>
      <c r="M17" s="409"/>
      <c r="N17" s="409"/>
      <c r="O17" s="409"/>
      <c r="P17" s="410"/>
      <c r="Q17" s="149"/>
      <c r="R17" s="149"/>
      <c r="S17" s="177">
        <f>AVERAGE(S8:S16)</f>
        <v>1</v>
      </c>
      <c r="T17" s="190">
        <f>AVERAGE(T7:T16)</f>
        <v>0.83333333333333337</v>
      </c>
      <c r="U17" s="322" t="s">
        <v>306</v>
      </c>
      <c r="V17" s="325"/>
      <c r="W17" s="325"/>
      <c r="X17" s="325"/>
      <c r="Y17" s="325"/>
      <c r="Z17" s="325"/>
      <c r="AA17" s="325"/>
      <c r="AB17" s="325"/>
      <c r="AC17" s="325"/>
      <c r="AD17" s="325"/>
      <c r="AE17" s="325"/>
      <c r="AF17" s="325"/>
      <c r="AG17" s="326"/>
      <c r="AH17" s="143"/>
      <c r="AI17" s="171"/>
      <c r="AJ17" s="171">
        <f>AVERAGE(AJ7:AJ16)</f>
        <v>1</v>
      </c>
      <c r="AK17" s="143">
        <f>AVERAGE(AK7:AK16)</f>
        <v>1</v>
      </c>
      <c r="AL17" s="327" t="s">
        <v>322</v>
      </c>
      <c r="AM17" s="324"/>
      <c r="AN17" s="131"/>
      <c r="AO17" s="131">
        <v>276577126</v>
      </c>
      <c r="AP17" s="131">
        <v>34320000</v>
      </c>
      <c r="AQ17" s="131">
        <v>34320000</v>
      </c>
      <c r="AR17" s="203">
        <v>0.12408835284520239</v>
      </c>
      <c r="AS17" s="131"/>
      <c r="AT17" s="137"/>
      <c r="AU17" s="139"/>
      <c r="AV17" s="141"/>
      <c r="AW17" s="131"/>
      <c r="AX17" s="131"/>
      <c r="AY17" s="153"/>
      <c r="AZ17" s="131"/>
      <c r="BA17" s="158"/>
      <c r="BB17" s="143"/>
      <c r="BC17" s="131"/>
      <c r="BD17" s="131"/>
      <c r="BE17" s="131"/>
      <c r="BF17" s="164"/>
      <c r="BG17" s="164"/>
    </row>
    <row r="18" spans="1:59" ht="75" customHeight="1" x14ac:dyDescent="0.25">
      <c r="A18" s="345"/>
      <c r="B18" s="345"/>
      <c r="C18" s="309"/>
      <c r="D18" s="346"/>
      <c r="E18" s="347"/>
      <c r="F18" s="347" t="s">
        <v>40</v>
      </c>
      <c r="G18" s="25" t="s">
        <v>80</v>
      </c>
      <c r="H18" s="21" t="s">
        <v>174</v>
      </c>
      <c r="I18" s="295"/>
      <c r="J18" s="25" t="s">
        <v>113</v>
      </c>
      <c r="K18" s="70">
        <v>5000</v>
      </c>
      <c r="L18" s="71">
        <v>2365</v>
      </c>
      <c r="M18" s="71">
        <v>569</v>
      </c>
      <c r="N18" s="71">
        <v>0</v>
      </c>
      <c r="O18" s="71">
        <v>0</v>
      </c>
      <c r="P18" s="71">
        <v>0</v>
      </c>
      <c r="Q18" s="71">
        <v>0</v>
      </c>
      <c r="R18" s="125">
        <f>0</f>
        <v>0</v>
      </c>
      <c r="S18" s="177">
        <f>0%</f>
        <v>0</v>
      </c>
      <c r="T18" s="183">
        <f>(M18)/(K18)</f>
        <v>0.1138</v>
      </c>
      <c r="U18" s="309" t="s">
        <v>142</v>
      </c>
      <c r="V18" s="309" t="s">
        <v>150</v>
      </c>
      <c r="W18" s="309" t="s">
        <v>153</v>
      </c>
      <c r="X18" s="269" t="s">
        <v>200</v>
      </c>
      <c r="Y18" s="336">
        <v>1</v>
      </c>
      <c r="Z18" s="315">
        <v>44562</v>
      </c>
      <c r="AA18" s="309">
        <v>364</v>
      </c>
      <c r="AB18" s="309">
        <v>1028736</v>
      </c>
      <c r="AC18" s="309">
        <f>AB18</f>
        <v>1028736</v>
      </c>
      <c r="AD18" s="316">
        <v>1</v>
      </c>
      <c r="AE18" s="316">
        <v>0.4</v>
      </c>
      <c r="AF18" s="316">
        <v>0.2</v>
      </c>
      <c r="AG18" s="350">
        <v>0.2</v>
      </c>
      <c r="AH18" s="350">
        <v>0.2</v>
      </c>
      <c r="AI18" s="123">
        <f t="shared" si="0"/>
        <v>1</v>
      </c>
      <c r="AJ18" s="123">
        <f t="shared" si="1"/>
        <v>1</v>
      </c>
      <c r="AK18" s="126">
        <f>AJ18</f>
        <v>1</v>
      </c>
      <c r="AL18" s="309" t="s">
        <v>171</v>
      </c>
      <c r="AM18" s="309" t="s">
        <v>172</v>
      </c>
      <c r="AN18" s="115" t="s">
        <v>295</v>
      </c>
      <c r="AO18" s="115">
        <v>702189566</v>
      </c>
      <c r="AP18" s="115">
        <v>47208000</v>
      </c>
      <c r="AQ18" s="115">
        <v>47148000</v>
      </c>
      <c r="AR18" s="123">
        <f>AQ18/AO18</f>
        <v>6.7144261724902926E-2</v>
      </c>
      <c r="AS18" s="309" t="s">
        <v>190</v>
      </c>
      <c r="AT18" s="342">
        <v>4902189566</v>
      </c>
      <c r="AU18" s="361">
        <v>-4200000000</v>
      </c>
      <c r="AV18" s="392">
        <f>AT18+AU18</f>
        <v>702189566</v>
      </c>
      <c r="AW18" s="309" t="s">
        <v>189</v>
      </c>
      <c r="AX18" s="309" t="str">
        <f>U18</f>
        <v>IMPLEMENTACIÓN DEL CENTRO DE FOMENTO AL EMPRENDIMIENTO Y A LA EMPLEABILIDAD PARA UNA CARTAGENA DE INDIAS INCLUSIVA Y MÁS COMPETITIVA EN CARTAGENA DE INDIAS</v>
      </c>
      <c r="AY18" s="294" t="s">
        <v>246</v>
      </c>
      <c r="AZ18" s="309" t="s">
        <v>201</v>
      </c>
      <c r="BA18" s="376">
        <v>47208000</v>
      </c>
      <c r="BB18" s="350">
        <f>+BA18/AV18</f>
        <v>6.7229708736515181E-2</v>
      </c>
      <c r="BC18" s="309" t="s">
        <v>196</v>
      </c>
      <c r="BD18" s="309" t="s">
        <v>197</v>
      </c>
      <c r="BE18" s="309" t="s">
        <v>197</v>
      </c>
      <c r="BF18" s="269" t="s">
        <v>268</v>
      </c>
      <c r="BG18" s="269" t="s">
        <v>282</v>
      </c>
    </row>
    <row r="19" spans="1:59" ht="15" x14ac:dyDescent="0.25">
      <c r="A19" s="345"/>
      <c r="B19" s="345"/>
      <c r="C19" s="309"/>
      <c r="D19" s="346"/>
      <c r="E19" s="347"/>
      <c r="F19" s="347"/>
      <c r="G19" s="347" t="s">
        <v>81</v>
      </c>
      <c r="H19" s="294" t="s">
        <v>174</v>
      </c>
      <c r="I19" s="295"/>
      <c r="J19" s="347" t="s">
        <v>114</v>
      </c>
      <c r="K19" s="407">
        <v>1</v>
      </c>
      <c r="L19" s="319">
        <v>1</v>
      </c>
      <c r="M19" s="370">
        <v>0.4</v>
      </c>
      <c r="N19" s="281">
        <v>0.16</v>
      </c>
      <c r="O19" s="281">
        <v>0.74</v>
      </c>
      <c r="P19" s="281">
        <v>0.1</v>
      </c>
      <c r="Q19" s="281">
        <v>0</v>
      </c>
      <c r="R19" s="281">
        <f>O19</f>
        <v>0.74</v>
      </c>
      <c r="S19" s="178">
        <f>1/1</f>
        <v>1</v>
      </c>
      <c r="T19" s="182">
        <f>100%</f>
        <v>1</v>
      </c>
      <c r="U19" s="309"/>
      <c r="V19" s="309"/>
      <c r="W19" s="309"/>
      <c r="X19" s="305"/>
      <c r="Y19" s="338"/>
      <c r="Z19" s="309"/>
      <c r="AA19" s="309"/>
      <c r="AB19" s="309"/>
      <c r="AC19" s="309"/>
      <c r="AD19" s="317"/>
      <c r="AE19" s="317"/>
      <c r="AF19" s="317"/>
      <c r="AG19" s="351"/>
      <c r="AH19" s="351"/>
      <c r="AI19" s="123"/>
      <c r="AJ19" s="123"/>
      <c r="AK19" s="127"/>
      <c r="AL19" s="309"/>
      <c r="AM19" s="309"/>
      <c r="AN19" s="115"/>
      <c r="AO19" s="115"/>
      <c r="AP19" s="115"/>
      <c r="AQ19" s="115"/>
      <c r="AR19" s="115"/>
      <c r="AS19" s="309"/>
      <c r="AT19" s="343"/>
      <c r="AU19" s="394"/>
      <c r="AV19" s="395"/>
      <c r="AW19" s="309"/>
      <c r="AX19" s="309"/>
      <c r="AY19" s="295"/>
      <c r="AZ19" s="309"/>
      <c r="BA19" s="377"/>
      <c r="BB19" s="351"/>
      <c r="BC19" s="309"/>
      <c r="BD19" s="309"/>
      <c r="BE19" s="309"/>
      <c r="BF19" s="305"/>
      <c r="BG19" s="305"/>
    </row>
    <row r="20" spans="1:59" ht="15" x14ac:dyDescent="0.25">
      <c r="A20" s="345"/>
      <c r="B20" s="345"/>
      <c r="C20" s="309"/>
      <c r="D20" s="346"/>
      <c r="E20" s="347"/>
      <c r="F20" s="347"/>
      <c r="G20" s="347"/>
      <c r="H20" s="295"/>
      <c r="I20" s="295"/>
      <c r="J20" s="347"/>
      <c r="K20" s="407"/>
      <c r="L20" s="320"/>
      <c r="M20" s="371"/>
      <c r="N20" s="283"/>
      <c r="O20" s="283"/>
      <c r="P20" s="283"/>
      <c r="Q20" s="283"/>
      <c r="R20" s="283"/>
      <c r="S20" s="176"/>
      <c r="T20" s="95"/>
      <c r="U20" s="309"/>
      <c r="V20" s="309"/>
      <c r="W20" s="309"/>
      <c r="X20" s="305"/>
      <c r="Y20" s="338"/>
      <c r="Z20" s="309"/>
      <c r="AA20" s="309"/>
      <c r="AB20" s="309"/>
      <c r="AC20" s="309"/>
      <c r="AD20" s="317"/>
      <c r="AE20" s="317"/>
      <c r="AF20" s="317"/>
      <c r="AG20" s="351"/>
      <c r="AH20" s="351"/>
      <c r="AI20" s="123"/>
      <c r="AJ20" s="123"/>
      <c r="AK20" s="127"/>
      <c r="AL20" s="309"/>
      <c r="AM20" s="309"/>
      <c r="AN20" s="115"/>
      <c r="AO20" s="115"/>
      <c r="AP20" s="115"/>
      <c r="AQ20" s="115"/>
      <c r="AR20" s="115"/>
      <c r="AS20" s="309"/>
      <c r="AT20" s="343"/>
      <c r="AU20" s="394"/>
      <c r="AV20" s="395"/>
      <c r="AW20" s="309"/>
      <c r="AX20" s="309"/>
      <c r="AY20" s="295"/>
      <c r="AZ20" s="309"/>
      <c r="BA20" s="377"/>
      <c r="BB20" s="351"/>
      <c r="BC20" s="309"/>
      <c r="BD20" s="309"/>
      <c r="BE20" s="309"/>
      <c r="BF20" s="305"/>
      <c r="BG20" s="305"/>
    </row>
    <row r="21" spans="1:59" ht="15" x14ac:dyDescent="0.25">
      <c r="A21" s="345"/>
      <c r="B21" s="345"/>
      <c r="C21" s="309"/>
      <c r="D21" s="346"/>
      <c r="E21" s="347"/>
      <c r="F21" s="347"/>
      <c r="G21" s="347" t="s">
        <v>82</v>
      </c>
      <c r="H21" s="294" t="s">
        <v>174</v>
      </c>
      <c r="I21" s="295"/>
      <c r="J21" s="347" t="s">
        <v>115</v>
      </c>
      <c r="K21" s="339">
        <v>1</v>
      </c>
      <c r="L21" s="294">
        <v>1</v>
      </c>
      <c r="M21" s="294" t="s">
        <v>140</v>
      </c>
      <c r="N21" s="279">
        <v>0</v>
      </c>
      <c r="O21" s="279">
        <v>0</v>
      </c>
      <c r="P21" s="279">
        <v>0</v>
      </c>
      <c r="Q21" s="279">
        <v>0</v>
      </c>
      <c r="R21" s="279">
        <f>0</f>
        <v>0</v>
      </c>
      <c r="S21" s="177">
        <f>R21/L21</f>
        <v>0</v>
      </c>
      <c r="T21" s="180">
        <f>0%</f>
        <v>0</v>
      </c>
      <c r="U21" s="309"/>
      <c r="V21" s="309"/>
      <c r="W21" s="309"/>
      <c r="X21" s="305"/>
      <c r="Y21" s="338"/>
      <c r="Z21" s="309"/>
      <c r="AA21" s="309"/>
      <c r="AB21" s="309"/>
      <c r="AC21" s="309"/>
      <c r="AD21" s="317"/>
      <c r="AE21" s="317"/>
      <c r="AF21" s="317"/>
      <c r="AG21" s="351"/>
      <c r="AH21" s="351"/>
      <c r="AI21" s="123"/>
      <c r="AJ21" s="123"/>
      <c r="AK21" s="127"/>
      <c r="AL21" s="309"/>
      <c r="AM21" s="309"/>
      <c r="AN21" s="115"/>
      <c r="AO21" s="115"/>
      <c r="AP21" s="115"/>
      <c r="AQ21" s="115"/>
      <c r="AR21" s="115"/>
      <c r="AS21" s="309"/>
      <c r="AT21" s="343"/>
      <c r="AU21" s="394"/>
      <c r="AV21" s="395"/>
      <c r="AW21" s="309"/>
      <c r="AX21" s="309"/>
      <c r="AY21" s="295"/>
      <c r="AZ21" s="309"/>
      <c r="BA21" s="377"/>
      <c r="BB21" s="351"/>
      <c r="BC21" s="309"/>
      <c r="BD21" s="309"/>
      <c r="BE21" s="309"/>
      <c r="BF21" s="305"/>
      <c r="BG21" s="305"/>
    </row>
    <row r="22" spans="1:59" ht="15" x14ac:dyDescent="0.25">
      <c r="A22" s="345"/>
      <c r="B22" s="345"/>
      <c r="C22" s="309"/>
      <c r="D22" s="346"/>
      <c r="E22" s="347"/>
      <c r="F22" s="347"/>
      <c r="G22" s="347"/>
      <c r="H22" s="296"/>
      <c r="I22" s="295"/>
      <c r="J22" s="347"/>
      <c r="K22" s="339"/>
      <c r="L22" s="296"/>
      <c r="M22" s="296"/>
      <c r="N22" s="280"/>
      <c r="O22" s="280"/>
      <c r="P22" s="280"/>
      <c r="Q22" s="280"/>
      <c r="R22" s="280"/>
      <c r="S22" s="178"/>
      <c r="T22" s="93"/>
      <c r="U22" s="309"/>
      <c r="V22" s="309"/>
      <c r="W22" s="309"/>
      <c r="X22" s="305"/>
      <c r="Y22" s="338"/>
      <c r="Z22" s="309"/>
      <c r="AA22" s="309"/>
      <c r="AB22" s="309"/>
      <c r="AC22" s="309"/>
      <c r="AD22" s="317"/>
      <c r="AE22" s="317"/>
      <c r="AF22" s="317"/>
      <c r="AG22" s="351"/>
      <c r="AH22" s="351"/>
      <c r="AI22" s="123"/>
      <c r="AJ22" s="123"/>
      <c r="AK22" s="127"/>
      <c r="AL22" s="309"/>
      <c r="AM22" s="309"/>
      <c r="AN22" s="115"/>
      <c r="AO22" s="115"/>
      <c r="AP22" s="115"/>
      <c r="AQ22" s="115"/>
      <c r="AR22" s="115"/>
      <c r="AS22" s="309"/>
      <c r="AT22" s="343"/>
      <c r="AU22" s="394"/>
      <c r="AV22" s="395"/>
      <c r="AW22" s="309"/>
      <c r="AX22" s="309"/>
      <c r="AY22" s="295"/>
      <c r="AZ22" s="309"/>
      <c r="BA22" s="377"/>
      <c r="BB22" s="351"/>
      <c r="BC22" s="309"/>
      <c r="BD22" s="309"/>
      <c r="BE22" s="309"/>
      <c r="BF22" s="305"/>
      <c r="BG22" s="305"/>
    </row>
    <row r="23" spans="1:59" ht="94.5" customHeight="1" x14ac:dyDescent="0.25">
      <c r="A23" s="345"/>
      <c r="B23" s="345"/>
      <c r="C23" s="309"/>
      <c r="D23" s="346"/>
      <c r="E23" s="347"/>
      <c r="F23" s="347"/>
      <c r="G23" s="25" t="s">
        <v>83</v>
      </c>
      <c r="H23" s="21" t="s">
        <v>174</v>
      </c>
      <c r="I23" s="295"/>
      <c r="J23" s="25" t="s">
        <v>116</v>
      </c>
      <c r="K23" s="70">
        <v>40</v>
      </c>
      <c r="L23" s="80">
        <v>20</v>
      </c>
      <c r="M23" s="80" t="s">
        <v>140</v>
      </c>
      <c r="N23" s="80">
        <v>0</v>
      </c>
      <c r="O23" s="80">
        <v>0</v>
      </c>
      <c r="P23" s="80">
        <v>0</v>
      </c>
      <c r="Q23" s="80">
        <v>0</v>
      </c>
      <c r="R23" s="80">
        <f>0</f>
        <v>0</v>
      </c>
      <c r="S23" s="180">
        <f t="shared" ref="S23" si="2">R23/L23</f>
        <v>0</v>
      </c>
      <c r="T23" s="183">
        <f>0%</f>
        <v>0</v>
      </c>
      <c r="U23" s="309"/>
      <c r="V23" s="309"/>
      <c r="W23" s="309"/>
      <c r="X23" s="270"/>
      <c r="Y23" s="337"/>
      <c r="Z23" s="309"/>
      <c r="AA23" s="309"/>
      <c r="AB23" s="309"/>
      <c r="AC23" s="309"/>
      <c r="AD23" s="318"/>
      <c r="AE23" s="318"/>
      <c r="AF23" s="318"/>
      <c r="AG23" s="352"/>
      <c r="AH23" s="352"/>
      <c r="AI23" s="123"/>
      <c r="AJ23" s="123"/>
      <c r="AK23" s="128"/>
      <c r="AL23" s="309"/>
      <c r="AM23" s="309"/>
      <c r="AN23" s="115"/>
      <c r="AO23" s="115"/>
      <c r="AP23" s="115"/>
      <c r="AQ23" s="115"/>
      <c r="AR23" s="115"/>
      <c r="AS23" s="309"/>
      <c r="AT23" s="343"/>
      <c r="AU23" s="391"/>
      <c r="AV23" s="393"/>
      <c r="AW23" s="309"/>
      <c r="AX23" s="309"/>
      <c r="AY23" s="296"/>
      <c r="AZ23" s="309"/>
      <c r="BA23" s="377"/>
      <c r="BB23" s="352"/>
      <c r="BC23" s="309"/>
      <c r="BD23" s="309"/>
      <c r="BE23" s="309"/>
      <c r="BF23" s="270"/>
      <c r="BG23" s="270"/>
    </row>
    <row r="24" spans="1:59" ht="94.5" customHeight="1" x14ac:dyDescent="0.25">
      <c r="A24" s="345"/>
      <c r="B24" s="345"/>
      <c r="C24" s="309"/>
      <c r="D24" s="346"/>
      <c r="E24" s="347"/>
      <c r="F24" s="165"/>
      <c r="G24" s="165"/>
      <c r="H24" s="145"/>
      <c r="I24" s="295"/>
      <c r="J24" s="396" t="s">
        <v>308</v>
      </c>
      <c r="K24" s="397"/>
      <c r="L24" s="397"/>
      <c r="M24" s="397"/>
      <c r="N24" s="397"/>
      <c r="O24" s="397"/>
      <c r="P24" s="398"/>
      <c r="Q24" s="147"/>
      <c r="R24" s="147"/>
      <c r="S24" s="179">
        <f>AVERAGE(S18:S23)</f>
        <v>0.25</v>
      </c>
      <c r="T24" s="180">
        <f>AVERAGE(T18:T23)</f>
        <v>0.27844999999999998</v>
      </c>
      <c r="U24" s="322" t="s">
        <v>306</v>
      </c>
      <c r="V24" s="325"/>
      <c r="W24" s="325"/>
      <c r="X24" s="325"/>
      <c r="Y24" s="325"/>
      <c r="Z24" s="325"/>
      <c r="AA24" s="325"/>
      <c r="AB24" s="325"/>
      <c r="AC24" s="325"/>
      <c r="AD24" s="325"/>
      <c r="AE24" s="325"/>
      <c r="AF24" s="325"/>
      <c r="AG24" s="326"/>
      <c r="AH24" s="144"/>
      <c r="AI24" s="171"/>
      <c r="AJ24" s="171">
        <v>1</v>
      </c>
      <c r="AK24" s="144">
        <v>1</v>
      </c>
      <c r="AL24" s="327" t="s">
        <v>322</v>
      </c>
      <c r="AM24" s="324"/>
      <c r="AN24" s="131"/>
      <c r="AO24" s="226">
        <f>+AO18</f>
        <v>702189566</v>
      </c>
      <c r="AP24" s="131">
        <v>47208000</v>
      </c>
      <c r="AQ24" s="131">
        <v>47148000</v>
      </c>
      <c r="AR24" s="203">
        <v>6.7144261724902926E-2</v>
      </c>
      <c r="AS24" s="131"/>
      <c r="AT24" s="137"/>
      <c r="AU24" s="139"/>
      <c r="AV24" s="141"/>
      <c r="AW24" s="131"/>
      <c r="AX24" s="131"/>
      <c r="AY24" s="153"/>
      <c r="AZ24" s="131"/>
      <c r="BA24" s="158"/>
      <c r="BB24" s="143"/>
      <c r="BC24" s="131"/>
      <c r="BD24" s="131"/>
      <c r="BE24" s="131"/>
      <c r="BF24" s="162"/>
      <c r="BG24" s="162"/>
    </row>
    <row r="25" spans="1:59" ht="27" customHeight="1" x14ac:dyDescent="0.25">
      <c r="A25" s="345"/>
      <c r="B25" s="345"/>
      <c r="C25" s="309"/>
      <c r="D25" s="346"/>
      <c r="E25" s="347"/>
      <c r="F25" s="347" t="s">
        <v>41</v>
      </c>
      <c r="G25" s="347" t="s">
        <v>84</v>
      </c>
      <c r="H25" s="294" t="s">
        <v>174</v>
      </c>
      <c r="I25" s="295"/>
      <c r="J25" s="347" t="s">
        <v>117</v>
      </c>
      <c r="K25" s="339">
        <v>1</v>
      </c>
      <c r="L25" s="414" t="s">
        <v>140</v>
      </c>
      <c r="M25" s="284">
        <v>1</v>
      </c>
      <c r="N25" s="284" t="s">
        <v>71</v>
      </c>
      <c r="O25" s="284" t="s">
        <v>71</v>
      </c>
      <c r="P25" s="284" t="s">
        <v>71</v>
      </c>
      <c r="Q25" s="284" t="s">
        <v>71</v>
      </c>
      <c r="R25" s="96"/>
      <c r="S25" s="177"/>
      <c r="T25" s="182">
        <f>M25/K25</f>
        <v>1</v>
      </c>
      <c r="U25" s="309" t="s">
        <v>143</v>
      </c>
      <c r="V25" s="309" t="s">
        <v>154</v>
      </c>
      <c r="W25" s="309" t="s">
        <v>155</v>
      </c>
      <c r="X25" s="68" t="s">
        <v>202</v>
      </c>
      <c r="Y25" s="48">
        <v>1</v>
      </c>
      <c r="Z25" s="315">
        <v>44562</v>
      </c>
      <c r="AA25" s="309">
        <v>364</v>
      </c>
      <c r="AB25" s="309">
        <v>1028736</v>
      </c>
      <c r="AC25" s="309">
        <f>AB25</f>
        <v>1028736</v>
      </c>
      <c r="AD25" s="40">
        <v>0.3</v>
      </c>
      <c r="AE25" s="40">
        <v>0</v>
      </c>
      <c r="AF25" s="40">
        <v>0.05</v>
      </c>
      <c r="AG25" s="40">
        <v>0.05</v>
      </c>
      <c r="AH25" s="40">
        <v>0.3</v>
      </c>
      <c r="AI25" s="123">
        <f t="shared" si="0"/>
        <v>0.39999999999999997</v>
      </c>
      <c r="AJ25" s="123">
        <f t="shared" si="1"/>
        <v>0.39999999999999997</v>
      </c>
      <c r="AK25" s="40">
        <f>SUM(AJ25:AJ27)/(3)</f>
        <v>0.53333333333333333</v>
      </c>
      <c r="AL25" s="309" t="s">
        <v>171</v>
      </c>
      <c r="AM25" s="309" t="s">
        <v>172</v>
      </c>
      <c r="AN25" s="115" t="s">
        <v>296</v>
      </c>
      <c r="AO25" s="115">
        <v>402189566</v>
      </c>
      <c r="AP25" s="115">
        <v>41808000</v>
      </c>
      <c r="AQ25" s="115">
        <v>41808000</v>
      </c>
      <c r="AR25" s="123">
        <f>AQ25/AO25</f>
        <v>0.10395098116493653</v>
      </c>
      <c r="AS25" s="309" t="s">
        <v>190</v>
      </c>
      <c r="AT25" s="342">
        <v>402189566</v>
      </c>
      <c r="AU25" s="361">
        <v>0</v>
      </c>
      <c r="AV25" s="392">
        <f>AT25+AU25</f>
        <v>402189566</v>
      </c>
      <c r="AW25" s="309" t="s">
        <v>189</v>
      </c>
      <c r="AX25" s="309" t="str">
        <f>U25</f>
        <v>DESARROLLO DE ESTRATEGIAS  PARA EL APROVECHAMIENTO DE LAS ECONOMÍAS DE AGLOMERACIÓN EN EL DISTRITO DE CARTAGENA DE INDIAS</v>
      </c>
      <c r="AY25" s="294" t="s">
        <v>246</v>
      </c>
      <c r="AZ25" s="309" t="s">
        <v>205</v>
      </c>
      <c r="BA25" s="376">
        <v>41808000</v>
      </c>
      <c r="BB25" s="350">
        <f>+BA25/AV25</f>
        <v>0.10395098116493653</v>
      </c>
      <c r="BC25" s="309" t="s">
        <v>196</v>
      </c>
      <c r="BD25" s="309" t="s">
        <v>197</v>
      </c>
      <c r="BE25" s="309" t="s">
        <v>197</v>
      </c>
      <c r="BF25" s="269" t="s">
        <v>248</v>
      </c>
      <c r="BG25" s="269" t="s">
        <v>276</v>
      </c>
    </row>
    <row r="26" spans="1:59" ht="28.35" customHeight="1" x14ac:dyDescent="0.25">
      <c r="A26" s="345"/>
      <c r="B26" s="345"/>
      <c r="C26" s="309"/>
      <c r="D26" s="346"/>
      <c r="E26" s="347"/>
      <c r="F26" s="347"/>
      <c r="G26" s="347"/>
      <c r="H26" s="296"/>
      <c r="I26" s="295"/>
      <c r="J26" s="347"/>
      <c r="K26" s="339"/>
      <c r="L26" s="415"/>
      <c r="M26" s="285"/>
      <c r="N26" s="285"/>
      <c r="O26" s="285"/>
      <c r="P26" s="285"/>
      <c r="Q26" s="285"/>
      <c r="R26" s="97"/>
      <c r="S26" s="178"/>
      <c r="T26" s="97"/>
      <c r="U26" s="309"/>
      <c r="V26" s="309"/>
      <c r="W26" s="309"/>
      <c r="X26" s="68" t="s">
        <v>203</v>
      </c>
      <c r="Y26" s="48">
        <v>1</v>
      </c>
      <c r="Z26" s="309"/>
      <c r="AA26" s="309"/>
      <c r="AB26" s="309"/>
      <c r="AC26" s="309"/>
      <c r="AD26" s="40">
        <v>0.3</v>
      </c>
      <c r="AE26" s="40">
        <v>0.1</v>
      </c>
      <c r="AF26" s="40">
        <v>0.05</v>
      </c>
      <c r="AG26" s="40">
        <v>0.05</v>
      </c>
      <c r="AH26" s="40">
        <v>0.8</v>
      </c>
      <c r="AI26" s="123">
        <f t="shared" si="0"/>
        <v>1.0000000000000002</v>
      </c>
      <c r="AJ26" s="123">
        <f t="shared" si="1"/>
        <v>1.0000000000000002</v>
      </c>
      <c r="AK26" s="40"/>
      <c r="AL26" s="309"/>
      <c r="AM26" s="309"/>
      <c r="AN26" s="115"/>
      <c r="AO26" s="115"/>
      <c r="AP26" s="115"/>
      <c r="AQ26" s="115"/>
      <c r="AR26" s="115"/>
      <c r="AS26" s="309"/>
      <c r="AT26" s="343"/>
      <c r="AU26" s="394"/>
      <c r="AV26" s="395"/>
      <c r="AW26" s="309"/>
      <c r="AX26" s="309"/>
      <c r="AY26" s="295"/>
      <c r="AZ26" s="309"/>
      <c r="BA26" s="377"/>
      <c r="BB26" s="351"/>
      <c r="BC26" s="309"/>
      <c r="BD26" s="309"/>
      <c r="BE26" s="309"/>
      <c r="BF26" s="305"/>
      <c r="BG26" s="305"/>
    </row>
    <row r="27" spans="1:59" ht="32.25" customHeight="1" x14ac:dyDescent="0.25">
      <c r="A27" s="345"/>
      <c r="B27" s="345"/>
      <c r="C27" s="309"/>
      <c r="D27" s="346"/>
      <c r="E27" s="347"/>
      <c r="F27" s="347"/>
      <c r="G27" s="357" t="s">
        <v>85</v>
      </c>
      <c r="H27" s="294" t="s">
        <v>184</v>
      </c>
      <c r="I27" s="295"/>
      <c r="J27" s="357" t="s">
        <v>118</v>
      </c>
      <c r="K27" s="340">
        <v>0.3</v>
      </c>
      <c r="L27" s="286">
        <v>0.3</v>
      </c>
      <c r="M27" s="286" t="s">
        <v>140</v>
      </c>
      <c r="N27" s="286">
        <v>0</v>
      </c>
      <c r="O27" s="313">
        <v>0.18</v>
      </c>
      <c r="P27" s="286">
        <v>0</v>
      </c>
      <c r="Q27" s="286">
        <f>49.5%-18%</f>
        <v>0.315</v>
      </c>
      <c r="R27" s="286">
        <f>Q27</f>
        <v>0.315</v>
      </c>
      <c r="S27" s="98">
        <f>100%</f>
        <v>1</v>
      </c>
      <c r="T27" s="98">
        <f>100%</f>
        <v>1</v>
      </c>
      <c r="U27" s="309"/>
      <c r="V27" s="309"/>
      <c r="W27" s="309"/>
      <c r="X27" s="367" t="s">
        <v>204</v>
      </c>
      <c r="Y27" s="336">
        <v>1</v>
      </c>
      <c r="Z27" s="309"/>
      <c r="AA27" s="309"/>
      <c r="AB27" s="309"/>
      <c r="AC27" s="309"/>
      <c r="AD27" s="328">
        <v>0.4</v>
      </c>
      <c r="AE27" s="328">
        <v>0</v>
      </c>
      <c r="AF27" s="328">
        <v>0</v>
      </c>
      <c r="AG27" s="328">
        <v>0</v>
      </c>
      <c r="AH27" s="328">
        <f>1/5</f>
        <v>0.2</v>
      </c>
      <c r="AI27" s="123">
        <f t="shared" si="0"/>
        <v>0.2</v>
      </c>
      <c r="AJ27" s="123">
        <f t="shared" si="1"/>
        <v>0.2</v>
      </c>
      <c r="AK27" s="121"/>
      <c r="AL27" s="309"/>
      <c r="AM27" s="309"/>
      <c r="AN27" s="115"/>
      <c r="AO27" s="115"/>
      <c r="AP27" s="115"/>
      <c r="AQ27" s="115"/>
      <c r="AR27" s="115"/>
      <c r="AS27" s="309"/>
      <c r="AT27" s="343"/>
      <c r="AU27" s="394"/>
      <c r="AV27" s="395"/>
      <c r="AW27" s="309"/>
      <c r="AX27" s="309"/>
      <c r="AY27" s="295"/>
      <c r="AZ27" s="309"/>
      <c r="BA27" s="377"/>
      <c r="BB27" s="351"/>
      <c r="BC27" s="309"/>
      <c r="BD27" s="309"/>
      <c r="BE27" s="309"/>
      <c r="BF27" s="305"/>
      <c r="BG27" s="305"/>
    </row>
    <row r="28" spans="1:59" ht="38.1" customHeight="1" x14ac:dyDescent="0.25">
      <c r="A28" s="345"/>
      <c r="B28" s="345"/>
      <c r="C28" s="309"/>
      <c r="D28" s="346"/>
      <c r="E28" s="347"/>
      <c r="F28" s="347"/>
      <c r="G28" s="358"/>
      <c r="H28" s="296"/>
      <c r="I28" s="295"/>
      <c r="J28" s="358"/>
      <c r="K28" s="341"/>
      <c r="L28" s="287"/>
      <c r="M28" s="287"/>
      <c r="N28" s="287"/>
      <c r="O28" s="314"/>
      <c r="P28" s="287"/>
      <c r="Q28" s="287"/>
      <c r="R28" s="287"/>
      <c r="S28" s="99"/>
      <c r="T28" s="99"/>
      <c r="U28" s="309"/>
      <c r="V28" s="309"/>
      <c r="W28" s="309"/>
      <c r="X28" s="368"/>
      <c r="Y28" s="338"/>
      <c r="Z28" s="309"/>
      <c r="AA28" s="309"/>
      <c r="AB28" s="309"/>
      <c r="AC28" s="309"/>
      <c r="AD28" s="349"/>
      <c r="AE28" s="349"/>
      <c r="AF28" s="349"/>
      <c r="AG28" s="349"/>
      <c r="AH28" s="349"/>
      <c r="AI28" s="123"/>
      <c r="AJ28" s="123"/>
      <c r="AK28" s="129"/>
      <c r="AL28" s="309"/>
      <c r="AM28" s="309"/>
      <c r="AN28" s="115"/>
      <c r="AO28" s="115"/>
      <c r="AP28" s="115"/>
      <c r="AQ28" s="115"/>
      <c r="AR28" s="115"/>
      <c r="AS28" s="309"/>
      <c r="AT28" s="343"/>
      <c r="AU28" s="394"/>
      <c r="AV28" s="395"/>
      <c r="AW28" s="309"/>
      <c r="AX28" s="309"/>
      <c r="AY28" s="295"/>
      <c r="AZ28" s="309"/>
      <c r="BA28" s="377"/>
      <c r="BB28" s="351"/>
      <c r="BC28" s="309"/>
      <c r="BD28" s="309"/>
      <c r="BE28" s="309"/>
      <c r="BF28" s="305"/>
      <c r="BG28" s="305"/>
    </row>
    <row r="29" spans="1:59" ht="216" customHeight="1" x14ac:dyDescent="0.25">
      <c r="A29" s="345"/>
      <c r="B29" s="345"/>
      <c r="C29" s="309"/>
      <c r="D29" s="346"/>
      <c r="E29" s="347"/>
      <c r="F29" s="347"/>
      <c r="G29" s="25" t="s">
        <v>86</v>
      </c>
      <c r="H29" s="38" t="s">
        <v>184</v>
      </c>
      <c r="I29" s="295"/>
      <c r="J29" s="25" t="s">
        <v>119</v>
      </c>
      <c r="K29" s="33">
        <v>0.1</v>
      </c>
      <c r="L29" s="35">
        <v>0.05</v>
      </c>
      <c r="M29" s="35">
        <v>0</v>
      </c>
      <c r="N29" s="35">
        <v>0</v>
      </c>
      <c r="O29" s="35">
        <v>0</v>
      </c>
      <c r="P29" s="35">
        <v>0</v>
      </c>
      <c r="Q29" s="35">
        <v>0</v>
      </c>
      <c r="R29" s="98">
        <f>0%</f>
        <v>0</v>
      </c>
      <c r="S29" s="98">
        <f>R29/L29</f>
        <v>0</v>
      </c>
      <c r="T29" s="98">
        <f>0%</f>
        <v>0</v>
      </c>
      <c r="U29" s="309"/>
      <c r="V29" s="309"/>
      <c r="W29" s="309"/>
      <c r="X29" s="369"/>
      <c r="Y29" s="337"/>
      <c r="Z29" s="309"/>
      <c r="AA29" s="309"/>
      <c r="AB29" s="309"/>
      <c r="AC29" s="309"/>
      <c r="AD29" s="329"/>
      <c r="AE29" s="329"/>
      <c r="AF29" s="329"/>
      <c r="AG29" s="329"/>
      <c r="AH29" s="329"/>
      <c r="AI29" s="123"/>
      <c r="AJ29" s="123"/>
      <c r="AK29" s="122"/>
      <c r="AL29" s="309"/>
      <c r="AM29" s="309"/>
      <c r="AN29" s="115"/>
      <c r="AO29" s="115"/>
      <c r="AP29" s="115"/>
      <c r="AQ29" s="115"/>
      <c r="AR29" s="115"/>
      <c r="AS29" s="309"/>
      <c r="AT29" s="343"/>
      <c r="AU29" s="391"/>
      <c r="AV29" s="393"/>
      <c r="AW29" s="309"/>
      <c r="AX29" s="309"/>
      <c r="AY29" s="296"/>
      <c r="AZ29" s="309"/>
      <c r="BA29" s="377"/>
      <c r="BB29" s="352"/>
      <c r="BC29" s="309"/>
      <c r="BD29" s="309"/>
      <c r="BE29" s="309"/>
      <c r="BF29" s="270"/>
      <c r="BG29" s="270"/>
    </row>
    <row r="30" spans="1:59" ht="216" customHeight="1" x14ac:dyDescent="0.25">
      <c r="A30" s="345"/>
      <c r="B30" s="345"/>
      <c r="C30" s="309"/>
      <c r="D30" s="346"/>
      <c r="E30" s="347"/>
      <c r="F30" s="165"/>
      <c r="G30" s="165"/>
      <c r="H30" s="145"/>
      <c r="I30" s="295"/>
      <c r="J30" s="396" t="s">
        <v>309</v>
      </c>
      <c r="K30" s="397"/>
      <c r="L30" s="397"/>
      <c r="M30" s="397"/>
      <c r="N30" s="397"/>
      <c r="O30" s="397"/>
      <c r="P30" s="398"/>
      <c r="Q30" s="150"/>
      <c r="R30" s="150"/>
      <c r="S30" s="150">
        <f>AVERAGE(S25:S29)</f>
        <v>0.5</v>
      </c>
      <c r="T30" s="150">
        <f>AVERAGE(T25:T29)</f>
        <v>0.66666666666666663</v>
      </c>
      <c r="U30" s="322" t="s">
        <v>306</v>
      </c>
      <c r="V30" s="325"/>
      <c r="W30" s="325"/>
      <c r="X30" s="325"/>
      <c r="Y30" s="325"/>
      <c r="Z30" s="325"/>
      <c r="AA30" s="325"/>
      <c r="AB30" s="325"/>
      <c r="AC30" s="325"/>
      <c r="AD30" s="325"/>
      <c r="AE30" s="325"/>
      <c r="AF30" s="325"/>
      <c r="AG30" s="326"/>
      <c r="AH30" s="136"/>
      <c r="AI30" s="171"/>
      <c r="AJ30" s="171">
        <f>AVERAGE(AJ25:AJ29)</f>
        <v>0.53333333333333333</v>
      </c>
      <c r="AK30" s="136">
        <f>AVERAGE(AK25:AK29)</f>
        <v>0.53333333333333333</v>
      </c>
      <c r="AL30" s="327" t="s">
        <v>322</v>
      </c>
      <c r="AM30" s="324"/>
      <c r="AN30" s="131"/>
      <c r="AO30" s="131">
        <v>402189566</v>
      </c>
      <c r="AP30" s="131">
        <v>41808000</v>
      </c>
      <c r="AQ30" s="131">
        <v>41808000</v>
      </c>
      <c r="AR30" s="203">
        <v>0.10395098116493653</v>
      </c>
      <c r="AS30" s="131"/>
      <c r="AT30" s="137"/>
      <c r="AU30" s="139"/>
      <c r="AV30" s="141"/>
      <c r="AW30" s="131"/>
      <c r="AX30" s="131"/>
      <c r="AY30" s="153"/>
      <c r="AZ30" s="131"/>
      <c r="BA30" s="191"/>
      <c r="BB30" s="143"/>
      <c r="BC30" s="131"/>
      <c r="BD30" s="131"/>
      <c r="BE30" s="131"/>
      <c r="BF30" s="162"/>
      <c r="BG30" s="162"/>
    </row>
    <row r="31" spans="1:59" ht="30.75" customHeight="1" x14ac:dyDescent="0.25">
      <c r="A31" s="345"/>
      <c r="B31" s="345"/>
      <c r="C31" s="309"/>
      <c r="D31" s="346"/>
      <c r="E31" s="347"/>
      <c r="F31" s="347" t="s">
        <v>42</v>
      </c>
      <c r="G31" s="347" t="s">
        <v>87</v>
      </c>
      <c r="H31" s="294" t="s">
        <v>174</v>
      </c>
      <c r="I31" s="295"/>
      <c r="J31" s="347" t="s">
        <v>120</v>
      </c>
      <c r="K31" s="332">
        <v>6</v>
      </c>
      <c r="L31" s="288">
        <v>3</v>
      </c>
      <c r="M31" s="288">
        <v>2</v>
      </c>
      <c r="N31" s="288">
        <v>2</v>
      </c>
      <c r="O31" s="288">
        <v>1</v>
      </c>
      <c r="P31" s="288">
        <v>0</v>
      </c>
      <c r="Q31" s="288">
        <v>1</v>
      </c>
      <c r="R31" s="288">
        <f>Q31+O31+N31</f>
        <v>4</v>
      </c>
      <c r="S31" s="98">
        <f>100%</f>
        <v>1</v>
      </c>
      <c r="T31" s="98">
        <f>(R31+M31)/(K31)</f>
        <v>1</v>
      </c>
      <c r="U31" s="309" t="s">
        <v>144</v>
      </c>
      <c r="V31" s="309" t="s">
        <v>156</v>
      </c>
      <c r="W31" s="309" t="s">
        <v>157</v>
      </c>
      <c r="X31" s="44" t="s">
        <v>175</v>
      </c>
      <c r="Y31" s="48">
        <v>1</v>
      </c>
      <c r="Z31" s="315">
        <v>44562</v>
      </c>
      <c r="AA31" s="309">
        <v>364</v>
      </c>
      <c r="AB31" s="309">
        <v>1028736</v>
      </c>
      <c r="AC31" s="309">
        <f>AB31</f>
        <v>1028736</v>
      </c>
      <c r="AD31" s="23">
        <v>0.1</v>
      </c>
      <c r="AE31" s="23">
        <v>0.7</v>
      </c>
      <c r="AF31" s="23">
        <v>0.2</v>
      </c>
      <c r="AG31" s="23">
        <v>0.1</v>
      </c>
      <c r="AH31" s="23">
        <v>0</v>
      </c>
      <c r="AI31" s="123">
        <f t="shared" si="0"/>
        <v>1</v>
      </c>
      <c r="AJ31" s="123">
        <f t="shared" si="1"/>
        <v>1</v>
      </c>
      <c r="AK31" s="123">
        <f>SUM(AJ31:AJ37)/(7)</f>
        <v>0.56357142857142861</v>
      </c>
      <c r="AL31" s="309" t="s">
        <v>171</v>
      </c>
      <c r="AM31" s="309" t="s">
        <v>172</v>
      </c>
      <c r="AN31" s="115" t="s">
        <v>295</v>
      </c>
      <c r="AO31" s="115">
        <v>702189567</v>
      </c>
      <c r="AP31" s="115">
        <v>142257820</v>
      </c>
      <c r="AQ31" s="115">
        <v>92732400</v>
      </c>
      <c r="AR31" s="123">
        <f>AQ31/AO31</f>
        <v>0.13206177413911932</v>
      </c>
      <c r="AS31" s="309" t="s">
        <v>190</v>
      </c>
      <c r="AT31" s="342">
        <v>902189567</v>
      </c>
      <c r="AU31" s="361">
        <v>-200000000</v>
      </c>
      <c r="AV31" s="392">
        <f>AT31+AU31</f>
        <v>702189567</v>
      </c>
      <c r="AW31" s="309" t="s">
        <v>189</v>
      </c>
      <c r="AX31" s="309" t="str">
        <f>U31</f>
        <v>CONSOLIDACIÓN DEL CIERRE DE BRECHAS PARA LA EMPLEABILIDAD Y EMPLEOS INCLUSIVOS A LOS GRUPOS POBLACIONALES VULNERABLES EN EL DISTRITO DE   CARTAGENA DE INDIAS</v>
      </c>
      <c r="AY31" s="294" t="s">
        <v>246</v>
      </c>
      <c r="AZ31" s="309" t="s">
        <v>207</v>
      </c>
      <c r="BA31" s="378">
        <v>142257820</v>
      </c>
      <c r="BB31" s="350">
        <f>+BA31/AV31</f>
        <v>0.20259175966936574</v>
      </c>
      <c r="BC31" s="309" t="s">
        <v>196</v>
      </c>
      <c r="BD31" s="309" t="s">
        <v>197</v>
      </c>
      <c r="BE31" s="309" t="s">
        <v>197</v>
      </c>
      <c r="BF31" s="269" t="s">
        <v>265</v>
      </c>
      <c r="BG31" s="269" t="s">
        <v>280</v>
      </c>
    </row>
    <row r="32" spans="1:59" ht="105" x14ac:dyDescent="0.25">
      <c r="A32" s="345"/>
      <c r="B32" s="345"/>
      <c r="C32" s="309"/>
      <c r="D32" s="346"/>
      <c r="E32" s="347"/>
      <c r="F32" s="347"/>
      <c r="G32" s="347"/>
      <c r="H32" s="295"/>
      <c r="I32" s="295"/>
      <c r="J32" s="347"/>
      <c r="K32" s="332"/>
      <c r="L32" s="289"/>
      <c r="M32" s="289"/>
      <c r="N32" s="289"/>
      <c r="O32" s="289"/>
      <c r="P32" s="289"/>
      <c r="Q32" s="289"/>
      <c r="R32" s="289"/>
      <c r="S32" s="101"/>
      <c r="T32" s="101"/>
      <c r="U32" s="309"/>
      <c r="V32" s="309"/>
      <c r="W32" s="309"/>
      <c r="X32" s="44" t="s">
        <v>234</v>
      </c>
      <c r="Y32" s="48">
        <v>1</v>
      </c>
      <c r="Z32" s="309"/>
      <c r="AA32" s="309"/>
      <c r="AB32" s="309"/>
      <c r="AC32" s="309"/>
      <c r="AD32" s="23">
        <v>0.1</v>
      </c>
      <c r="AE32" s="23">
        <v>0.7</v>
      </c>
      <c r="AF32" s="23">
        <v>0.2</v>
      </c>
      <c r="AG32" s="23">
        <v>0.1</v>
      </c>
      <c r="AH32" s="23">
        <v>0</v>
      </c>
      <c r="AI32" s="123">
        <f t="shared" si="0"/>
        <v>1</v>
      </c>
      <c r="AJ32" s="123">
        <f t="shared" si="1"/>
        <v>1</v>
      </c>
      <c r="AK32" s="123"/>
      <c r="AL32" s="309"/>
      <c r="AM32" s="309"/>
      <c r="AN32" s="115" t="s">
        <v>296</v>
      </c>
      <c r="AO32" s="115"/>
      <c r="AP32" s="115"/>
      <c r="AQ32" s="115"/>
      <c r="AR32" s="115"/>
      <c r="AS32" s="309"/>
      <c r="AT32" s="343"/>
      <c r="AU32" s="394"/>
      <c r="AV32" s="395"/>
      <c r="AW32" s="309"/>
      <c r="AX32" s="309"/>
      <c r="AY32" s="295"/>
      <c r="AZ32" s="309"/>
      <c r="BA32" s="379"/>
      <c r="BB32" s="351"/>
      <c r="BC32" s="309"/>
      <c r="BD32" s="309"/>
      <c r="BE32" s="309"/>
      <c r="BF32" s="305"/>
      <c r="BG32" s="305"/>
    </row>
    <row r="33" spans="1:59" ht="225" x14ac:dyDescent="0.25">
      <c r="A33" s="345"/>
      <c r="B33" s="345"/>
      <c r="C33" s="309"/>
      <c r="D33" s="346"/>
      <c r="E33" s="347"/>
      <c r="F33" s="347"/>
      <c r="G33" s="347"/>
      <c r="H33" s="295"/>
      <c r="I33" s="295"/>
      <c r="J33" s="347"/>
      <c r="K33" s="332"/>
      <c r="L33" s="289"/>
      <c r="M33" s="289"/>
      <c r="N33" s="289"/>
      <c r="O33" s="289"/>
      <c r="P33" s="289"/>
      <c r="Q33" s="289"/>
      <c r="R33" s="289"/>
      <c r="S33" s="101"/>
      <c r="T33" s="101"/>
      <c r="U33" s="309"/>
      <c r="V33" s="309"/>
      <c r="W33" s="309"/>
      <c r="X33" s="44" t="s">
        <v>241</v>
      </c>
      <c r="Y33" s="48">
        <v>4</v>
      </c>
      <c r="Z33" s="309"/>
      <c r="AA33" s="309"/>
      <c r="AB33" s="309"/>
      <c r="AC33" s="309"/>
      <c r="AD33" s="23">
        <v>0.1</v>
      </c>
      <c r="AE33" s="23">
        <v>1</v>
      </c>
      <c r="AF33" s="23">
        <v>1</v>
      </c>
      <c r="AG33" s="23">
        <v>1</v>
      </c>
      <c r="AH33" s="23">
        <v>1</v>
      </c>
      <c r="AI33" s="123">
        <f>100%</f>
        <v>1</v>
      </c>
      <c r="AJ33" s="123">
        <f t="shared" si="1"/>
        <v>0.25</v>
      </c>
      <c r="AK33" s="123"/>
      <c r="AL33" s="309"/>
      <c r="AM33" s="309"/>
      <c r="AN33" s="115" t="s">
        <v>294</v>
      </c>
      <c r="AO33" s="115"/>
      <c r="AP33" s="115"/>
      <c r="AQ33" s="115"/>
      <c r="AR33" s="115"/>
      <c r="AS33" s="309"/>
      <c r="AT33" s="343"/>
      <c r="AU33" s="394"/>
      <c r="AV33" s="395"/>
      <c r="AW33" s="309"/>
      <c r="AX33" s="309"/>
      <c r="AY33" s="295"/>
      <c r="AZ33" s="309"/>
      <c r="BA33" s="379"/>
      <c r="BB33" s="351"/>
      <c r="BC33" s="309"/>
      <c r="BD33" s="309"/>
      <c r="BE33" s="309"/>
      <c r="BF33" s="305"/>
      <c r="BG33" s="305"/>
    </row>
    <row r="34" spans="1:59" ht="210" x14ac:dyDescent="0.25">
      <c r="A34" s="345"/>
      <c r="B34" s="345"/>
      <c r="C34" s="309"/>
      <c r="D34" s="346"/>
      <c r="E34" s="347"/>
      <c r="F34" s="347"/>
      <c r="G34" s="347"/>
      <c r="H34" s="296"/>
      <c r="I34" s="295"/>
      <c r="J34" s="347"/>
      <c r="K34" s="332"/>
      <c r="L34" s="290"/>
      <c r="M34" s="290"/>
      <c r="N34" s="290"/>
      <c r="O34" s="290"/>
      <c r="P34" s="290"/>
      <c r="Q34" s="290"/>
      <c r="R34" s="290"/>
      <c r="S34" s="102"/>
      <c r="T34" s="102"/>
      <c r="U34" s="309"/>
      <c r="V34" s="309"/>
      <c r="W34" s="309"/>
      <c r="X34" s="44" t="s">
        <v>240</v>
      </c>
      <c r="Y34" s="48">
        <v>1</v>
      </c>
      <c r="Z34" s="309"/>
      <c r="AA34" s="309"/>
      <c r="AB34" s="309"/>
      <c r="AC34" s="309"/>
      <c r="AD34" s="23">
        <v>0.1</v>
      </c>
      <c r="AE34" s="23">
        <v>0</v>
      </c>
      <c r="AF34" s="23">
        <v>0.05</v>
      </c>
      <c r="AG34" s="23">
        <v>0</v>
      </c>
      <c r="AH34" s="23">
        <v>0.05</v>
      </c>
      <c r="AI34" s="123">
        <f t="shared" si="0"/>
        <v>0.1</v>
      </c>
      <c r="AJ34" s="123">
        <f t="shared" si="1"/>
        <v>0.1</v>
      </c>
      <c r="AK34" s="123"/>
      <c r="AL34" s="309"/>
      <c r="AM34" s="309"/>
      <c r="AN34" s="115"/>
      <c r="AO34" s="115"/>
      <c r="AP34" s="115"/>
      <c r="AQ34" s="115"/>
      <c r="AR34" s="115"/>
      <c r="AS34" s="309"/>
      <c r="AT34" s="343"/>
      <c r="AU34" s="394"/>
      <c r="AV34" s="395"/>
      <c r="AW34" s="309"/>
      <c r="AX34" s="309"/>
      <c r="AY34" s="295"/>
      <c r="AZ34" s="309"/>
      <c r="BA34" s="379"/>
      <c r="BB34" s="351"/>
      <c r="BC34" s="309"/>
      <c r="BD34" s="309"/>
      <c r="BE34" s="309"/>
      <c r="BF34" s="305"/>
      <c r="BG34" s="305"/>
    </row>
    <row r="35" spans="1:59" ht="90" x14ac:dyDescent="0.25">
      <c r="A35" s="345"/>
      <c r="B35" s="345"/>
      <c r="C35" s="309"/>
      <c r="D35" s="346"/>
      <c r="E35" s="347"/>
      <c r="F35" s="347"/>
      <c r="G35" s="347" t="s">
        <v>88</v>
      </c>
      <c r="H35" s="294" t="s">
        <v>174</v>
      </c>
      <c r="I35" s="295"/>
      <c r="J35" s="347" t="s">
        <v>121</v>
      </c>
      <c r="K35" s="332">
        <v>800</v>
      </c>
      <c r="L35" s="319">
        <v>500</v>
      </c>
      <c r="M35" s="319">
        <v>199</v>
      </c>
      <c r="N35" s="319">
        <v>205</v>
      </c>
      <c r="O35" s="319">
        <v>0</v>
      </c>
      <c r="P35" s="291">
        <v>84</v>
      </c>
      <c r="Q35" s="291">
        <v>0</v>
      </c>
      <c r="R35" s="291">
        <f>P35+N35</f>
        <v>289</v>
      </c>
      <c r="S35" s="116">
        <f>R35/L35</f>
        <v>0.57799999999999996</v>
      </c>
      <c r="T35" s="116">
        <f>(R35+M35)/(K35)</f>
        <v>0.61</v>
      </c>
      <c r="U35" s="309"/>
      <c r="V35" s="309"/>
      <c r="W35" s="309"/>
      <c r="X35" s="44" t="s">
        <v>206</v>
      </c>
      <c r="Y35" s="48">
        <v>1</v>
      </c>
      <c r="Z35" s="309"/>
      <c r="AA35" s="309"/>
      <c r="AB35" s="309"/>
      <c r="AC35" s="309"/>
      <c r="AD35" s="23">
        <v>0.3</v>
      </c>
      <c r="AE35" s="23">
        <v>0.33300000000000002</v>
      </c>
      <c r="AF35" s="23">
        <v>0.16600000000000001</v>
      </c>
      <c r="AG35" s="23">
        <v>0.16600000000000001</v>
      </c>
      <c r="AH35" s="23">
        <v>0.33</v>
      </c>
      <c r="AI35" s="123">
        <f t="shared" si="0"/>
        <v>0.99500000000000011</v>
      </c>
      <c r="AJ35" s="123">
        <f t="shared" si="1"/>
        <v>0.99500000000000011</v>
      </c>
      <c r="AK35" s="123"/>
      <c r="AL35" s="309"/>
      <c r="AM35" s="309"/>
      <c r="AN35" s="115"/>
      <c r="AO35" s="115"/>
      <c r="AP35" s="115"/>
      <c r="AQ35" s="115"/>
      <c r="AR35" s="115"/>
      <c r="AS35" s="309"/>
      <c r="AT35" s="343"/>
      <c r="AU35" s="394"/>
      <c r="AV35" s="395"/>
      <c r="AW35" s="309"/>
      <c r="AX35" s="309"/>
      <c r="AY35" s="295"/>
      <c r="AZ35" s="309"/>
      <c r="BA35" s="379"/>
      <c r="BB35" s="351"/>
      <c r="BC35" s="309"/>
      <c r="BD35" s="309"/>
      <c r="BE35" s="309"/>
      <c r="BF35" s="305"/>
      <c r="BG35" s="305"/>
    </row>
    <row r="36" spans="1:59" ht="165" x14ac:dyDescent="0.25">
      <c r="A36" s="345"/>
      <c r="B36" s="345"/>
      <c r="C36" s="309"/>
      <c r="D36" s="346"/>
      <c r="E36" s="347"/>
      <c r="F36" s="347"/>
      <c r="G36" s="347"/>
      <c r="H36" s="295"/>
      <c r="I36" s="295"/>
      <c r="J36" s="347"/>
      <c r="K36" s="332"/>
      <c r="L36" s="320"/>
      <c r="M36" s="320"/>
      <c r="N36" s="320"/>
      <c r="O36" s="320"/>
      <c r="P36" s="292"/>
      <c r="Q36" s="292"/>
      <c r="R36" s="292"/>
      <c r="S36" s="103"/>
      <c r="T36" s="103"/>
      <c r="U36" s="309"/>
      <c r="V36" s="309"/>
      <c r="W36" s="309"/>
      <c r="X36" s="44" t="s">
        <v>239</v>
      </c>
      <c r="Y36" s="48">
        <v>1</v>
      </c>
      <c r="Z36" s="309"/>
      <c r="AA36" s="309"/>
      <c r="AB36" s="309"/>
      <c r="AC36" s="309"/>
      <c r="AD36" s="23">
        <v>0.1</v>
      </c>
      <c r="AE36" s="23">
        <v>0</v>
      </c>
      <c r="AF36" s="23">
        <v>0</v>
      </c>
      <c r="AG36" s="23">
        <v>0</v>
      </c>
      <c r="AH36" s="23">
        <v>0</v>
      </c>
      <c r="AI36" s="123">
        <f t="shared" si="0"/>
        <v>0</v>
      </c>
      <c r="AJ36" s="123">
        <f t="shared" si="1"/>
        <v>0</v>
      </c>
      <c r="AK36" s="123"/>
      <c r="AL36" s="309"/>
      <c r="AM36" s="309"/>
      <c r="AN36" s="115"/>
      <c r="AO36" s="115"/>
      <c r="AP36" s="115"/>
      <c r="AQ36" s="115"/>
      <c r="AR36" s="115"/>
      <c r="AS36" s="309"/>
      <c r="AT36" s="343"/>
      <c r="AU36" s="394"/>
      <c r="AV36" s="395"/>
      <c r="AW36" s="309"/>
      <c r="AX36" s="309"/>
      <c r="AY36" s="295"/>
      <c r="AZ36" s="309"/>
      <c r="BA36" s="379"/>
      <c r="BB36" s="351"/>
      <c r="BC36" s="309"/>
      <c r="BD36" s="309"/>
      <c r="BE36" s="309"/>
      <c r="BF36" s="305"/>
      <c r="BG36" s="305"/>
    </row>
    <row r="37" spans="1:59" ht="315" x14ac:dyDescent="0.25">
      <c r="A37" s="345"/>
      <c r="B37" s="345"/>
      <c r="C37" s="309"/>
      <c r="D37" s="346"/>
      <c r="E37" s="347"/>
      <c r="F37" s="347"/>
      <c r="G37" s="347"/>
      <c r="H37" s="295"/>
      <c r="I37" s="295"/>
      <c r="J37" s="347"/>
      <c r="K37" s="332"/>
      <c r="L37" s="320"/>
      <c r="M37" s="320"/>
      <c r="N37" s="320"/>
      <c r="O37" s="320"/>
      <c r="P37" s="292"/>
      <c r="Q37" s="292"/>
      <c r="R37" s="292"/>
      <c r="S37" s="103"/>
      <c r="T37" s="103"/>
      <c r="U37" s="309"/>
      <c r="V37" s="309"/>
      <c r="W37" s="309"/>
      <c r="X37" s="39" t="s">
        <v>238</v>
      </c>
      <c r="Y37" s="48">
        <v>1</v>
      </c>
      <c r="Z37" s="309"/>
      <c r="AA37" s="309"/>
      <c r="AB37" s="309"/>
      <c r="AC37" s="309"/>
      <c r="AD37" s="23">
        <v>0.1</v>
      </c>
      <c r="AE37" s="23">
        <v>0</v>
      </c>
      <c r="AF37" s="23">
        <v>0.5</v>
      </c>
      <c r="AG37" s="23">
        <v>0.1</v>
      </c>
      <c r="AH37" s="23">
        <v>0</v>
      </c>
      <c r="AI37" s="123">
        <f t="shared" si="0"/>
        <v>0.6</v>
      </c>
      <c r="AJ37" s="123">
        <f t="shared" si="1"/>
        <v>0.6</v>
      </c>
      <c r="AK37" s="123"/>
      <c r="AL37" s="309"/>
      <c r="AM37" s="309"/>
      <c r="AN37" s="115"/>
      <c r="AO37" s="115"/>
      <c r="AP37" s="115"/>
      <c r="AQ37" s="115"/>
      <c r="AR37" s="115"/>
      <c r="AS37" s="309"/>
      <c r="AT37" s="343"/>
      <c r="AU37" s="394"/>
      <c r="AV37" s="395"/>
      <c r="AW37" s="309"/>
      <c r="AX37" s="309"/>
      <c r="AY37" s="295"/>
      <c r="AZ37" s="309"/>
      <c r="BA37" s="379"/>
      <c r="BB37" s="351"/>
      <c r="BC37" s="309"/>
      <c r="BD37" s="309"/>
      <c r="BE37" s="309"/>
      <c r="BF37" s="305"/>
      <c r="BG37" s="305"/>
    </row>
    <row r="38" spans="1:59" ht="115.9" customHeight="1" x14ac:dyDescent="0.25">
      <c r="A38" s="345"/>
      <c r="B38" s="345"/>
      <c r="C38" s="309"/>
      <c r="D38" s="346"/>
      <c r="E38" s="347"/>
      <c r="F38" s="347"/>
      <c r="G38" s="347"/>
      <c r="H38" s="295"/>
      <c r="I38" s="295"/>
      <c r="J38" s="347"/>
      <c r="K38" s="332"/>
      <c r="L38" s="320"/>
      <c r="M38" s="320"/>
      <c r="N38" s="321"/>
      <c r="O38" s="321"/>
      <c r="P38" s="293"/>
      <c r="Q38" s="293"/>
      <c r="R38" s="293"/>
      <c r="S38" s="104"/>
      <c r="T38" s="104"/>
      <c r="U38" s="309"/>
      <c r="V38" s="309"/>
      <c r="W38" s="309"/>
      <c r="X38" s="45" t="s">
        <v>237</v>
      </c>
      <c r="Y38" s="48">
        <v>1</v>
      </c>
      <c r="Z38" s="309"/>
      <c r="AA38" s="309"/>
      <c r="AB38" s="309"/>
      <c r="AC38" s="309"/>
      <c r="AD38" s="23">
        <v>0.1</v>
      </c>
      <c r="AE38" s="23">
        <v>0</v>
      </c>
      <c r="AF38" s="23">
        <v>0</v>
      </c>
      <c r="AG38" s="23">
        <v>0</v>
      </c>
      <c r="AH38" s="23">
        <v>0</v>
      </c>
      <c r="AI38" s="123">
        <f t="shared" si="0"/>
        <v>0</v>
      </c>
      <c r="AJ38" s="123">
        <f t="shared" si="1"/>
        <v>0</v>
      </c>
      <c r="AK38" s="123"/>
      <c r="AL38" s="309"/>
      <c r="AM38" s="309"/>
      <c r="AN38" s="115"/>
      <c r="AO38" s="115"/>
      <c r="AP38" s="115"/>
      <c r="AQ38" s="115"/>
      <c r="AR38" s="115"/>
      <c r="AS38" s="309"/>
      <c r="AT38" s="343"/>
      <c r="AU38" s="391"/>
      <c r="AV38" s="393"/>
      <c r="AW38" s="309"/>
      <c r="AX38" s="309"/>
      <c r="AY38" s="296"/>
      <c r="AZ38" s="309"/>
      <c r="BA38" s="380"/>
      <c r="BB38" s="352"/>
      <c r="BC38" s="309"/>
      <c r="BD38" s="309"/>
      <c r="BE38" s="309"/>
      <c r="BF38" s="270"/>
      <c r="BG38" s="270"/>
    </row>
    <row r="39" spans="1:59" ht="115.9" customHeight="1" x14ac:dyDescent="0.25">
      <c r="A39" s="345"/>
      <c r="B39" s="345"/>
      <c r="C39" s="309"/>
      <c r="D39" s="346"/>
      <c r="E39" s="347"/>
      <c r="F39" s="165"/>
      <c r="G39" s="165"/>
      <c r="H39" s="153"/>
      <c r="I39" s="295"/>
      <c r="J39" s="408" t="s">
        <v>310</v>
      </c>
      <c r="K39" s="409"/>
      <c r="L39" s="409"/>
      <c r="M39" s="409"/>
      <c r="N39" s="409"/>
      <c r="O39" s="409"/>
      <c r="P39" s="410"/>
      <c r="Q39" s="163"/>
      <c r="R39" s="163"/>
      <c r="S39" s="175">
        <f>AVERAGE(S31:S38)</f>
        <v>0.78899999999999992</v>
      </c>
      <c r="T39" s="175">
        <f>AVERAGE(T31:T38)</f>
        <v>0.80499999999999994</v>
      </c>
      <c r="U39" s="322" t="s">
        <v>306</v>
      </c>
      <c r="V39" s="323"/>
      <c r="W39" s="323"/>
      <c r="X39" s="323"/>
      <c r="Y39" s="323"/>
      <c r="Z39" s="323"/>
      <c r="AA39" s="323"/>
      <c r="AB39" s="323"/>
      <c r="AC39" s="323"/>
      <c r="AD39" s="323"/>
      <c r="AE39" s="323"/>
      <c r="AF39" s="323"/>
      <c r="AG39" s="324"/>
      <c r="AH39" s="171"/>
      <c r="AI39" s="171"/>
      <c r="AJ39" s="171">
        <f>AVERAGE(AJ31:AJ38)</f>
        <v>0.49312500000000004</v>
      </c>
      <c r="AK39" s="171">
        <f>AVERAGE(AK31:AK38)</f>
        <v>0.56357142857142861</v>
      </c>
      <c r="AL39" s="327" t="s">
        <v>322</v>
      </c>
      <c r="AM39" s="324"/>
      <c r="AN39" s="131"/>
      <c r="AO39" s="226">
        <f>+AO31</f>
        <v>702189567</v>
      </c>
      <c r="AP39" s="131">
        <v>142257820</v>
      </c>
      <c r="AQ39" s="131">
        <v>92732400</v>
      </c>
      <c r="AR39" s="203">
        <v>0.13206177413911932</v>
      </c>
      <c r="AS39" s="131"/>
      <c r="AT39" s="137"/>
      <c r="AU39" s="139"/>
      <c r="AV39" s="141"/>
      <c r="AW39" s="131"/>
      <c r="AX39" s="131"/>
      <c r="AY39" s="153"/>
      <c r="AZ39" s="131"/>
      <c r="BA39" s="159"/>
      <c r="BB39" s="143"/>
      <c r="BC39" s="131"/>
      <c r="BD39" s="131"/>
      <c r="BE39" s="131"/>
      <c r="BF39" s="162"/>
      <c r="BG39" s="162"/>
    </row>
    <row r="40" spans="1:59" ht="57.75" customHeight="1" x14ac:dyDescent="0.25">
      <c r="A40" s="345"/>
      <c r="B40" s="345"/>
      <c r="C40" s="309"/>
      <c r="D40" s="346"/>
      <c r="E40" s="347"/>
      <c r="F40" s="347" t="s">
        <v>43</v>
      </c>
      <c r="G40" s="25" t="s">
        <v>89</v>
      </c>
      <c r="H40" s="21" t="s">
        <v>174</v>
      </c>
      <c r="I40" s="295"/>
      <c r="J40" s="25" t="s">
        <v>122</v>
      </c>
      <c r="K40" s="27">
        <v>1</v>
      </c>
      <c r="L40" s="30">
        <v>1</v>
      </c>
      <c r="M40" s="30">
        <v>0</v>
      </c>
      <c r="N40" s="32">
        <v>0.25</v>
      </c>
      <c r="O40" s="32">
        <v>0.25</v>
      </c>
      <c r="P40" s="32">
        <v>0.1</v>
      </c>
      <c r="Q40" s="32">
        <v>0.4</v>
      </c>
      <c r="R40" s="124">
        <f>Q40+P40+O40+N40</f>
        <v>1</v>
      </c>
      <c r="S40" s="60">
        <f>R40/L40</f>
        <v>1</v>
      </c>
      <c r="T40" s="60">
        <f>R40/K40</f>
        <v>1</v>
      </c>
      <c r="U40" s="309" t="s">
        <v>145</v>
      </c>
      <c r="V40" s="309" t="s">
        <v>158</v>
      </c>
      <c r="W40" s="309" t="s">
        <v>159</v>
      </c>
      <c r="X40" s="45" t="s">
        <v>236</v>
      </c>
      <c r="Y40" s="48">
        <v>1</v>
      </c>
      <c r="Z40" s="315">
        <v>44562</v>
      </c>
      <c r="AA40" s="309">
        <v>364</v>
      </c>
      <c r="AB40" s="309">
        <v>1028736</v>
      </c>
      <c r="AC40" s="309">
        <f>AB40</f>
        <v>1028736</v>
      </c>
      <c r="AD40" s="23">
        <v>0.2</v>
      </c>
      <c r="AE40" s="23">
        <v>0.1</v>
      </c>
      <c r="AF40" s="23">
        <v>0.1</v>
      </c>
      <c r="AG40" s="23">
        <v>0.05</v>
      </c>
      <c r="AH40" s="23">
        <v>0</v>
      </c>
      <c r="AI40" s="123">
        <f t="shared" si="0"/>
        <v>0.25</v>
      </c>
      <c r="AJ40" s="123">
        <f t="shared" si="1"/>
        <v>0.25</v>
      </c>
      <c r="AK40" s="123">
        <f>SUM(AJ40:AJ45)/(6)</f>
        <v>0.59933333333333338</v>
      </c>
      <c r="AL40" s="309" t="s">
        <v>171</v>
      </c>
      <c r="AM40" s="309" t="s">
        <v>172</v>
      </c>
      <c r="AN40" s="115" t="s">
        <v>295</v>
      </c>
      <c r="AO40" s="115">
        <v>402189567</v>
      </c>
      <c r="AP40" s="115">
        <v>112925866</v>
      </c>
      <c r="AQ40" s="115">
        <v>112925866</v>
      </c>
      <c r="AR40" s="123">
        <f>AQ40/AO40</f>
        <v>0.28077771097428789</v>
      </c>
      <c r="AS40" s="309" t="s">
        <v>190</v>
      </c>
      <c r="AT40" s="342">
        <v>902189567</v>
      </c>
      <c r="AU40" s="361">
        <v>-500000000</v>
      </c>
      <c r="AV40" s="392">
        <f>AT40+AU40</f>
        <v>402189567</v>
      </c>
      <c r="AW40" s="309" t="s">
        <v>189</v>
      </c>
      <c r="AX40" s="309" t="str">
        <f>U40</f>
        <v xml:space="preserve">
 HABILITACIÓN DE LAS ACCIONES PARA IDENTIFICAR Y CERRAR LAS BRECHAS DE CAPITAL HUMANO DE FORMA PERTINENTE, SUFICIENTE Y DE CALIDAD EN EL DISTRITO DE CARTAGENA DE INDIAS.
</v>
      </c>
      <c r="AY40" s="294" t="s">
        <v>246</v>
      </c>
      <c r="AZ40" s="309" t="s">
        <v>212</v>
      </c>
      <c r="BA40" s="381">
        <v>112925866</v>
      </c>
      <c r="BB40" s="350">
        <f>+BA40/AV40</f>
        <v>0.28077771097428789</v>
      </c>
      <c r="BC40" s="309" t="s">
        <v>196</v>
      </c>
      <c r="BD40" s="309" t="s">
        <v>197</v>
      </c>
      <c r="BE40" s="309" t="s">
        <v>197</v>
      </c>
      <c r="BF40" s="269" t="s">
        <v>266</v>
      </c>
      <c r="BG40" s="269" t="s">
        <v>272</v>
      </c>
    </row>
    <row r="41" spans="1:59" ht="375" x14ac:dyDescent="0.25">
      <c r="A41" s="345"/>
      <c r="B41" s="345"/>
      <c r="C41" s="309"/>
      <c r="D41" s="346"/>
      <c r="E41" s="347"/>
      <c r="F41" s="347"/>
      <c r="G41" s="347" t="s">
        <v>90</v>
      </c>
      <c r="H41" s="294" t="s">
        <v>174</v>
      </c>
      <c r="I41" s="295"/>
      <c r="J41" s="347" t="s">
        <v>123</v>
      </c>
      <c r="K41" s="332">
        <v>6</v>
      </c>
      <c r="L41" s="294">
        <v>4</v>
      </c>
      <c r="M41" s="294">
        <v>1</v>
      </c>
      <c r="N41" s="294">
        <v>0</v>
      </c>
      <c r="O41" s="294">
        <v>0</v>
      </c>
      <c r="P41" s="294">
        <v>5</v>
      </c>
      <c r="Q41" s="294">
        <v>0</v>
      </c>
      <c r="R41" s="294">
        <f>P41</f>
        <v>5</v>
      </c>
      <c r="S41" s="117">
        <f>100%</f>
        <v>1</v>
      </c>
      <c r="T41" s="117">
        <f>(R41+M41)/(K41)</f>
        <v>1</v>
      </c>
      <c r="U41" s="309"/>
      <c r="V41" s="309"/>
      <c r="W41" s="309"/>
      <c r="X41" s="45" t="s">
        <v>235</v>
      </c>
      <c r="Y41" s="48">
        <v>1</v>
      </c>
      <c r="Z41" s="309"/>
      <c r="AA41" s="309"/>
      <c r="AB41" s="309"/>
      <c r="AC41" s="309"/>
      <c r="AD41" s="23">
        <v>0.15</v>
      </c>
      <c r="AE41" s="23">
        <v>0.33300000000000002</v>
      </c>
      <c r="AF41" s="23">
        <v>0.33300000000000002</v>
      </c>
      <c r="AG41" s="23">
        <v>0.03</v>
      </c>
      <c r="AH41" s="23">
        <v>0.3</v>
      </c>
      <c r="AI41" s="123">
        <f t="shared" si="0"/>
        <v>0.996</v>
      </c>
      <c r="AJ41" s="123">
        <f t="shared" si="1"/>
        <v>0.996</v>
      </c>
      <c r="AK41" s="123"/>
      <c r="AL41" s="309"/>
      <c r="AM41" s="309"/>
      <c r="AN41" s="115" t="s">
        <v>294</v>
      </c>
      <c r="AO41" s="115"/>
      <c r="AP41" s="115"/>
      <c r="AQ41" s="115"/>
      <c r="AR41" s="115"/>
      <c r="AS41" s="309"/>
      <c r="AT41" s="343"/>
      <c r="AU41" s="394"/>
      <c r="AV41" s="395"/>
      <c r="AW41" s="309"/>
      <c r="AX41" s="309"/>
      <c r="AY41" s="295"/>
      <c r="AZ41" s="309"/>
      <c r="BA41" s="382"/>
      <c r="BB41" s="351"/>
      <c r="BC41" s="309"/>
      <c r="BD41" s="309"/>
      <c r="BE41" s="309"/>
      <c r="BF41" s="305"/>
      <c r="BG41" s="305"/>
    </row>
    <row r="42" spans="1:59" ht="409.5" x14ac:dyDescent="0.25">
      <c r="A42" s="345"/>
      <c r="B42" s="345"/>
      <c r="C42" s="309"/>
      <c r="D42" s="346"/>
      <c r="E42" s="347"/>
      <c r="F42" s="347"/>
      <c r="G42" s="347"/>
      <c r="H42" s="295"/>
      <c r="I42" s="295"/>
      <c r="J42" s="347"/>
      <c r="K42" s="332"/>
      <c r="L42" s="295"/>
      <c r="M42" s="295"/>
      <c r="N42" s="295"/>
      <c r="O42" s="295"/>
      <c r="P42" s="295"/>
      <c r="Q42" s="295"/>
      <c r="R42" s="295"/>
      <c r="S42" s="106"/>
      <c r="T42" s="106"/>
      <c r="U42" s="309"/>
      <c r="V42" s="309"/>
      <c r="W42" s="309"/>
      <c r="X42" s="45" t="s">
        <v>208</v>
      </c>
      <c r="Y42" s="48">
        <v>1</v>
      </c>
      <c r="Z42" s="309"/>
      <c r="AA42" s="309"/>
      <c r="AB42" s="309"/>
      <c r="AC42" s="309"/>
      <c r="AD42" s="23">
        <v>0.25</v>
      </c>
      <c r="AE42" s="23">
        <v>0.4</v>
      </c>
      <c r="AF42" s="23">
        <v>0.2</v>
      </c>
      <c r="AG42" s="23">
        <v>0.08</v>
      </c>
      <c r="AH42" s="23">
        <v>0.32</v>
      </c>
      <c r="AI42" s="123">
        <f t="shared" si="0"/>
        <v>1</v>
      </c>
      <c r="AJ42" s="123">
        <f t="shared" si="1"/>
        <v>1</v>
      </c>
      <c r="AK42" s="123"/>
      <c r="AL42" s="309"/>
      <c r="AM42" s="309"/>
      <c r="AN42" s="115"/>
      <c r="AO42" s="115"/>
      <c r="AP42" s="115"/>
      <c r="AQ42" s="115"/>
      <c r="AR42" s="115"/>
      <c r="AS42" s="309"/>
      <c r="AT42" s="343"/>
      <c r="AU42" s="394"/>
      <c r="AV42" s="395"/>
      <c r="AW42" s="309"/>
      <c r="AX42" s="309"/>
      <c r="AY42" s="295"/>
      <c r="AZ42" s="309"/>
      <c r="BA42" s="382"/>
      <c r="BB42" s="351"/>
      <c r="BC42" s="309"/>
      <c r="BD42" s="309"/>
      <c r="BE42" s="309"/>
      <c r="BF42" s="305"/>
      <c r="BG42" s="305"/>
    </row>
    <row r="43" spans="1:59" ht="165" x14ac:dyDescent="0.25">
      <c r="A43" s="345"/>
      <c r="B43" s="345"/>
      <c r="C43" s="309"/>
      <c r="D43" s="346"/>
      <c r="E43" s="347"/>
      <c r="F43" s="347"/>
      <c r="G43" s="347"/>
      <c r="H43" s="295"/>
      <c r="I43" s="295"/>
      <c r="J43" s="347"/>
      <c r="K43" s="332"/>
      <c r="L43" s="295"/>
      <c r="M43" s="295"/>
      <c r="N43" s="295"/>
      <c r="O43" s="295"/>
      <c r="P43" s="295"/>
      <c r="Q43" s="295"/>
      <c r="R43" s="295"/>
      <c r="S43" s="106"/>
      <c r="T43" s="106"/>
      <c r="U43" s="309"/>
      <c r="V43" s="309"/>
      <c r="W43" s="309"/>
      <c r="X43" s="45" t="s">
        <v>209</v>
      </c>
      <c r="Y43" s="48">
        <v>4</v>
      </c>
      <c r="Z43" s="309"/>
      <c r="AA43" s="309"/>
      <c r="AB43" s="309"/>
      <c r="AC43" s="309"/>
      <c r="AD43" s="23">
        <v>0.15</v>
      </c>
      <c r="AE43" s="23">
        <v>1</v>
      </c>
      <c r="AF43" s="23">
        <v>1</v>
      </c>
      <c r="AG43" s="23">
        <v>1</v>
      </c>
      <c r="AH43" s="23">
        <v>1</v>
      </c>
      <c r="AI43" s="123">
        <f>100%</f>
        <v>1</v>
      </c>
      <c r="AJ43" s="123">
        <f t="shared" si="1"/>
        <v>0.25</v>
      </c>
      <c r="AK43" s="123"/>
      <c r="AL43" s="309"/>
      <c r="AM43" s="309"/>
      <c r="AN43" s="115"/>
      <c r="AO43" s="115"/>
      <c r="AP43" s="115"/>
      <c r="AQ43" s="115"/>
      <c r="AR43" s="115"/>
      <c r="AS43" s="309"/>
      <c r="AT43" s="343"/>
      <c r="AU43" s="394"/>
      <c r="AV43" s="395"/>
      <c r="AW43" s="309"/>
      <c r="AX43" s="309"/>
      <c r="AY43" s="295"/>
      <c r="AZ43" s="309"/>
      <c r="BA43" s="382"/>
      <c r="BB43" s="351"/>
      <c r="BC43" s="309"/>
      <c r="BD43" s="309"/>
      <c r="BE43" s="309"/>
      <c r="BF43" s="305"/>
      <c r="BG43" s="305"/>
    </row>
    <row r="44" spans="1:59" ht="180" x14ac:dyDescent="0.25">
      <c r="A44" s="345"/>
      <c r="B44" s="345"/>
      <c r="C44" s="309"/>
      <c r="D44" s="346"/>
      <c r="E44" s="347"/>
      <c r="F44" s="347"/>
      <c r="G44" s="347"/>
      <c r="H44" s="296"/>
      <c r="I44" s="295"/>
      <c r="J44" s="347"/>
      <c r="K44" s="332"/>
      <c r="L44" s="296"/>
      <c r="M44" s="296"/>
      <c r="N44" s="296"/>
      <c r="O44" s="296"/>
      <c r="P44" s="296"/>
      <c r="Q44" s="296"/>
      <c r="R44" s="296"/>
      <c r="S44" s="107"/>
      <c r="T44" s="107"/>
      <c r="U44" s="309"/>
      <c r="V44" s="309"/>
      <c r="W44" s="309"/>
      <c r="X44" s="45" t="s">
        <v>210</v>
      </c>
      <c r="Y44" s="48">
        <v>1</v>
      </c>
      <c r="Z44" s="309"/>
      <c r="AA44" s="309"/>
      <c r="AB44" s="309"/>
      <c r="AC44" s="309"/>
      <c r="AD44" s="23">
        <v>0.15</v>
      </c>
      <c r="AE44" s="23">
        <v>0.05</v>
      </c>
      <c r="AF44" s="23">
        <v>0.03</v>
      </c>
      <c r="AG44" s="23">
        <v>0</v>
      </c>
      <c r="AH44" s="23">
        <v>0.02</v>
      </c>
      <c r="AI44" s="123">
        <f t="shared" si="0"/>
        <v>0.1</v>
      </c>
      <c r="AJ44" s="123">
        <f t="shared" si="1"/>
        <v>0.1</v>
      </c>
      <c r="AK44" s="123"/>
      <c r="AL44" s="309"/>
      <c r="AM44" s="309"/>
      <c r="AN44" s="115"/>
      <c r="AO44" s="115"/>
      <c r="AP44" s="115"/>
      <c r="AQ44" s="115"/>
      <c r="AR44" s="115"/>
      <c r="AS44" s="309"/>
      <c r="AT44" s="343"/>
      <c r="AU44" s="394"/>
      <c r="AV44" s="395"/>
      <c r="AW44" s="309"/>
      <c r="AX44" s="309"/>
      <c r="AY44" s="295"/>
      <c r="AZ44" s="309"/>
      <c r="BA44" s="382"/>
      <c r="BB44" s="351"/>
      <c r="BC44" s="309"/>
      <c r="BD44" s="309"/>
      <c r="BE44" s="309"/>
      <c r="BF44" s="305"/>
      <c r="BG44" s="305"/>
    </row>
    <row r="45" spans="1:59" ht="240" x14ac:dyDescent="0.25">
      <c r="A45" s="345"/>
      <c r="B45" s="345"/>
      <c r="C45" s="309"/>
      <c r="D45" s="346"/>
      <c r="E45" s="347"/>
      <c r="F45" s="347"/>
      <c r="G45" s="42" t="s">
        <v>91</v>
      </c>
      <c r="H45" s="38" t="s">
        <v>174</v>
      </c>
      <c r="I45" s="295"/>
      <c r="J45" s="42" t="s">
        <v>124</v>
      </c>
      <c r="K45" s="43">
        <v>1</v>
      </c>
      <c r="L45" s="37">
        <v>1</v>
      </c>
      <c r="M45" s="37">
        <v>0</v>
      </c>
      <c r="N45" s="37">
        <v>0.1</v>
      </c>
      <c r="O45" s="37">
        <v>0.25</v>
      </c>
      <c r="P45" s="37">
        <v>0.25</v>
      </c>
      <c r="Q45" s="37">
        <v>0.4</v>
      </c>
      <c r="R45" s="100">
        <f>Q45+P45+O45+N45</f>
        <v>1</v>
      </c>
      <c r="S45" s="98">
        <f>R45/L45</f>
        <v>1</v>
      </c>
      <c r="T45" s="98">
        <f>R45/K45</f>
        <v>1</v>
      </c>
      <c r="U45" s="309"/>
      <c r="V45" s="309"/>
      <c r="W45" s="309"/>
      <c r="X45" s="45" t="s">
        <v>211</v>
      </c>
      <c r="Y45" s="48">
        <v>1</v>
      </c>
      <c r="Z45" s="309"/>
      <c r="AA45" s="309"/>
      <c r="AB45" s="309"/>
      <c r="AC45" s="309"/>
      <c r="AD45" s="23">
        <v>0.1</v>
      </c>
      <c r="AE45" s="23">
        <v>0.3</v>
      </c>
      <c r="AF45" s="23">
        <v>0.3</v>
      </c>
      <c r="AG45" s="23">
        <v>0.05</v>
      </c>
      <c r="AH45" s="23">
        <v>0.35</v>
      </c>
      <c r="AI45" s="123">
        <f t="shared" si="0"/>
        <v>1</v>
      </c>
      <c r="AJ45" s="123">
        <f t="shared" si="1"/>
        <v>1</v>
      </c>
      <c r="AK45" s="123"/>
      <c r="AL45" s="309"/>
      <c r="AM45" s="309"/>
      <c r="AN45" s="115"/>
      <c r="AO45" s="115"/>
      <c r="AP45" s="115"/>
      <c r="AQ45" s="115"/>
      <c r="AR45" s="115"/>
      <c r="AS45" s="309"/>
      <c r="AT45" s="343"/>
      <c r="AU45" s="391"/>
      <c r="AV45" s="393"/>
      <c r="AW45" s="309"/>
      <c r="AX45" s="309"/>
      <c r="AY45" s="296"/>
      <c r="AZ45" s="309"/>
      <c r="BA45" s="383"/>
      <c r="BB45" s="352"/>
      <c r="BC45" s="309"/>
      <c r="BD45" s="309"/>
      <c r="BE45" s="309"/>
      <c r="BF45" s="270"/>
      <c r="BG45" s="270"/>
    </row>
    <row r="46" spans="1:59" ht="88.5" customHeight="1" x14ac:dyDescent="0.25">
      <c r="A46" s="345"/>
      <c r="B46" s="172"/>
      <c r="C46" s="131"/>
      <c r="D46" s="173"/>
      <c r="E46" s="165"/>
      <c r="F46" s="165"/>
      <c r="G46" s="166"/>
      <c r="H46" s="145"/>
      <c r="I46" s="153"/>
      <c r="J46" s="396" t="s">
        <v>311</v>
      </c>
      <c r="K46" s="397"/>
      <c r="L46" s="397"/>
      <c r="M46" s="397"/>
      <c r="N46" s="397"/>
      <c r="O46" s="397"/>
      <c r="P46" s="398"/>
      <c r="Q46" s="151"/>
      <c r="R46" s="151"/>
      <c r="S46" s="150">
        <f>AVERAGE(S40:S45)</f>
        <v>1</v>
      </c>
      <c r="T46" s="150">
        <f>AVERAGE(T40:T45)</f>
        <v>1</v>
      </c>
      <c r="U46" s="322" t="s">
        <v>306</v>
      </c>
      <c r="V46" s="323"/>
      <c r="W46" s="323"/>
      <c r="X46" s="323"/>
      <c r="Y46" s="323"/>
      <c r="Z46" s="323"/>
      <c r="AA46" s="323"/>
      <c r="AB46" s="323"/>
      <c r="AC46" s="323"/>
      <c r="AD46" s="323"/>
      <c r="AE46" s="323"/>
      <c r="AF46" s="323"/>
      <c r="AG46" s="324"/>
      <c r="AH46" s="171"/>
      <c r="AI46" s="171"/>
      <c r="AJ46" s="171">
        <f>AVERAGE(AJ40:AJ45)</f>
        <v>0.59933333333333338</v>
      </c>
      <c r="AK46" s="171">
        <f>AVERAGE(AK40:AK45)</f>
        <v>0.59933333333333338</v>
      </c>
      <c r="AL46" s="327" t="s">
        <v>322</v>
      </c>
      <c r="AM46" s="324"/>
      <c r="AN46" s="131"/>
      <c r="AO46" s="204">
        <f>AO40</f>
        <v>402189567</v>
      </c>
      <c r="AP46" s="131">
        <v>112925866</v>
      </c>
      <c r="AQ46" s="131">
        <v>112925866</v>
      </c>
      <c r="AR46" s="203">
        <v>0.28077771097428789</v>
      </c>
      <c r="AS46" s="131"/>
      <c r="AT46" s="137"/>
      <c r="AU46" s="139"/>
      <c r="AV46" s="141"/>
      <c r="AW46" s="131"/>
      <c r="AX46" s="131"/>
      <c r="AY46" s="153"/>
      <c r="AZ46" s="131"/>
      <c r="BA46" s="160"/>
      <c r="BB46" s="143"/>
      <c r="BC46" s="131"/>
      <c r="BD46" s="131"/>
      <c r="BE46" s="131"/>
      <c r="BF46" s="162"/>
      <c r="BG46" s="162"/>
    </row>
    <row r="47" spans="1:59" ht="111.75" customHeight="1" x14ac:dyDescent="0.25">
      <c r="A47" s="345"/>
      <c r="B47" s="348" t="s">
        <v>44</v>
      </c>
      <c r="C47" s="309" t="s">
        <v>45</v>
      </c>
      <c r="D47" s="309" t="s">
        <v>46</v>
      </c>
      <c r="E47" s="354" t="s">
        <v>47</v>
      </c>
      <c r="F47" s="354" t="s">
        <v>48</v>
      </c>
      <c r="G47" s="26" t="s">
        <v>92</v>
      </c>
      <c r="H47" s="21" t="s">
        <v>174</v>
      </c>
      <c r="I47" s="294" t="s">
        <v>46</v>
      </c>
      <c r="J47" s="26" t="s">
        <v>125</v>
      </c>
      <c r="K47" s="73">
        <v>4</v>
      </c>
      <c r="L47" s="74">
        <v>1</v>
      </c>
      <c r="M47" s="74">
        <v>2</v>
      </c>
      <c r="N47" s="74">
        <v>1</v>
      </c>
      <c r="O47" s="74">
        <v>0</v>
      </c>
      <c r="P47" s="74">
        <v>0</v>
      </c>
      <c r="Q47" s="74">
        <v>1</v>
      </c>
      <c r="R47" s="74">
        <f>Q47</f>
        <v>1</v>
      </c>
      <c r="S47" s="181">
        <f>R47/L47</f>
        <v>1</v>
      </c>
      <c r="T47" s="181">
        <f>(R47+M47)/(K47)</f>
        <v>0.75</v>
      </c>
      <c r="U47" s="309" t="s">
        <v>146</v>
      </c>
      <c r="V47" s="309" t="s">
        <v>160</v>
      </c>
      <c r="W47" s="309" t="s">
        <v>161</v>
      </c>
      <c r="X47" s="45" t="s">
        <v>213</v>
      </c>
      <c r="Y47" s="48">
        <v>1</v>
      </c>
      <c r="Z47" s="315">
        <v>44562</v>
      </c>
      <c r="AA47" s="309">
        <v>364</v>
      </c>
      <c r="AB47" s="309">
        <v>1028736</v>
      </c>
      <c r="AC47" s="309">
        <f>AB47</f>
        <v>1028736</v>
      </c>
      <c r="AD47" s="23">
        <v>0.1</v>
      </c>
      <c r="AE47" s="23">
        <v>0.1</v>
      </c>
      <c r="AF47" s="23">
        <v>0.05</v>
      </c>
      <c r="AG47" s="23">
        <v>0.05</v>
      </c>
      <c r="AH47" s="23">
        <v>0.8</v>
      </c>
      <c r="AI47" s="123">
        <f t="shared" si="0"/>
        <v>1.0000000000000002</v>
      </c>
      <c r="AJ47" s="123">
        <f t="shared" si="1"/>
        <v>1.0000000000000002</v>
      </c>
      <c r="AK47" s="123">
        <f>SUM(AJ47:AJ55)/(9)</f>
        <v>0.61111111111111116</v>
      </c>
      <c r="AL47" s="309" t="s">
        <v>171</v>
      </c>
      <c r="AM47" s="309" t="s">
        <v>172</v>
      </c>
      <c r="AN47" s="115" t="s">
        <v>294</v>
      </c>
      <c r="AO47" s="115">
        <v>1251094783</v>
      </c>
      <c r="AP47" s="115">
        <v>244994783</v>
      </c>
      <c r="AQ47" s="115">
        <v>244994783</v>
      </c>
      <c r="AR47" s="123">
        <f>AQ47/AO47</f>
        <v>0.19582431829227762</v>
      </c>
      <c r="AS47" s="309" t="s">
        <v>190</v>
      </c>
      <c r="AT47" s="342">
        <v>451094783</v>
      </c>
      <c r="AU47" s="361">
        <v>800000000</v>
      </c>
      <c r="AV47" s="392">
        <f>AT47+AU47</f>
        <v>1251094783</v>
      </c>
      <c r="AW47" s="309" t="s">
        <v>189</v>
      </c>
      <c r="AX47" s="309" t="str">
        <f>U47</f>
        <v>IMPLEMENTACIÓN DE ESTRATEGIAS DE ARTICULACIÓN ENTRE ACTORES E INICIATIVAS PARA EL IMPULSO DE UNA CULTURA DE LA INNOVACIÓN EN CARTAGENA DE INDIAS</v>
      </c>
      <c r="AY47" s="294" t="s">
        <v>246</v>
      </c>
      <c r="AZ47" s="309" t="s">
        <v>222</v>
      </c>
      <c r="BA47" s="374">
        <v>244994783</v>
      </c>
      <c r="BB47" s="316">
        <f>+BA47/AV47</f>
        <v>0.19582431829227762</v>
      </c>
      <c r="BC47" s="309" t="s">
        <v>196</v>
      </c>
      <c r="BD47" s="309" t="s">
        <v>197</v>
      </c>
      <c r="BE47" s="309" t="s">
        <v>197</v>
      </c>
      <c r="BF47" s="269" t="s">
        <v>260</v>
      </c>
      <c r="BG47" s="269" t="s">
        <v>275</v>
      </c>
    </row>
    <row r="48" spans="1:59" ht="43.5" customHeight="1" x14ac:dyDescent="0.25">
      <c r="A48" s="345"/>
      <c r="B48" s="348"/>
      <c r="C48" s="309"/>
      <c r="D48" s="309"/>
      <c r="E48" s="354"/>
      <c r="F48" s="354"/>
      <c r="G48" s="26" t="s">
        <v>93</v>
      </c>
      <c r="H48" s="21" t="s">
        <v>174</v>
      </c>
      <c r="I48" s="295"/>
      <c r="J48" s="26" t="s">
        <v>126</v>
      </c>
      <c r="K48" s="73">
        <v>4</v>
      </c>
      <c r="L48" s="74">
        <v>1</v>
      </c>
      <c r="M48" s="74">
        <v>1</v>
      </c>
      <c r="N48" s="74">
        <v>0.1</v>
      </c>
      <c r="O48" s="74">
        <v>0.4</v>
      </c>
      <c r="P48" s="74">
        <v>0.1</v>
      </c>
      <c r="Q48" s="74">
        <v>0.4</v>
      </c>
      <c r="R48" s="74">
        <f>Q48+P48+O48+N48</f>
        <v>1</v>
      </c>
      <c r="S48" s="181">
        <f>R48/L48</f>
        <v>1</v>
      </c>
      <c r="T48" s="181">
        <f>(R48+M48)/(K48)</f>
        <v>0.5</v>
      </c>
      <c r="U48" s="309"/>
      <c r="V48" s="309"/>
      <c r="W48" s="309"/>
      <c r="X48" s="45" t="s">
        <v>214</v>
      </c>
      <c r="Y48" s="48">
        <v>1</v>
      </c>
      <c r="Z48" s="309"/>
      <c r="AA48" s="309"/>
      <c r="AB48" s="309"/>
      <c r="AC48" s="309"/>
      <c r="AD48" s="23">
        <v>0.1</v>
      </c>
      <c r="AE48" s="23">
        <v>1</v>
      </c>
      <c r="AF48" s="23">
        <v>0</v>
      </c>
      <c r="AG48" s="23">
        <v>0</v>
      </c>
      <c r="AH48" s="23">
        <v>0</v>
      </c>
      <c r="AI48" s="123">
        <f t="shared" si="0"/>
        <v>1</v>
      </c>
      <c r="AJ48" s="123">
        <f t="shared" si="1"/>
        <v>1</v>
      </c>
      <c r="AK48" s="123"/>
      <c r="AL48" s="309"/>
      <c r="AM48" s="309"/>
      <c r="AN48" s="115" t="s">
        <v>295</v>
      </c>
      <c r="AO48" s="115"/>
      <c r="AP48" s="115"/>
      <c r="AQ48" s="115"/>
      <c r="AR48" s="115"/>
      <c r="AS48" s="309"/>
      <c r="AT48" s="343"/>
      <c r="AU48" s="394"/>
      <c r="AV48" s="395"/>
      <c r="AW48" s="309"/>
      <c r="AX48" s="309"/>
      <c r="AY48" s="295"/>
      <c r="AZ48" s="309"/>
      <c r="BA48" s="384"/>
      <c r="BB48" s="317"/>
      <c r="BC48" s="309"/>
      <c r="BD48" s="309"/>
      <c r="BE48" s="309"/>
      <c r="BF48" s="305"/>
      <c r="BG48" s="305"/>
    </row>
    <row r="49" spans="1:59" ht="225" x14ac:dyDescent="0.25">
      <c r="A49" s="345"/>
      <c r="B49" s="348"/>
      <c r="C49" s="309"/>
      <c r="D49" s="309"/>
      <c r="E49" s="354"/>
      <c r="F49" s="354"/>
      <c r="G49" s="26" t="s">
        <v>94</v>
      </c>
      <c r="H49" s="21" t="s">
        <v>174</v>
      </c>
      <c r="I49" s="295"/>
      <c r="J49" s="26" t="s">
        <v>127</v>
      </c>
      <c r="K49" s="73">
        <v>1</v>
      </c>
      <c r="L49" s="74">
        <v>1</v>
      </c>
      <c r="M49" s="72" t="s">
        <v>71</v>
      </c>
      <c r="N49" s="74">
        <v>0</v>
      </c>
      <c r="O49" s="75">
        <v>0</v>
      </c>
      <c r="P49" s="75">
        <v>0</v>
      </c>
      <c r="Q49" s="75">
        <v>0</v>
      </c>
      <c r="R49" s="75">
        <f>0</f>
        <v>0</v>
      </c>
      <c r="S49" s="181">
        <f>R49/L49</f>
        <v>0</v>
      </c>
      <c r="T49" s="181">
        <f>0%</f>
        <v>0</v>
      </c>
      <c r="U49" s="309"/>
      <c r="V49" s="309"/>
      <c r="W49" s="309"/>
      <c r="X49" s="45" t="s">
        <v>215</v>
      </c>
      <c r="Y49" s="48">
        <v>2</v>
      </c>
      <c r="Z49" s="309"/>
      <c r="AA49" s="309"/>
      <c r="AB49" s="309"/>
      <c r="AC49" s="309"/>
      <c r="AD49" s="23">
        <v>0.1</v>
      </c>
      <c r="AE49" s="23">
        <v>0</v>
      </c>
      <c r="AF49" s="23">
        <v>0</v>
      </c>
      <c r="AG49" s="23">
        <v>0.3</v>
      </c>
      <c r="AH49" s="23">
        <v>0.7</v>
      </c>
      <c r="AI49" s="123">
        <f t="shared" si="0"/>
        <v>1</v>
      </c>
      <c r="AJ49" s="123">
        <f t="shared" si="1"/>
        <v>0.5</v>
      </c>
      <c r="AK49" s="123"/>
      <c r="AL49" s="309"/>
      <c r="AM49" s="309"/>
      <c r="AN49" s="115"/>
      <c r="AO49" s="115"/>
      <c r="AP49" s="115"/>
      <c r="AQ49" s="115"/>
      <c r="AR49" s="115"/>
      <c r="AS49" s="309"/>
      <c r="AT49" s="343"/>
      <c r="AU49" s="394"/>
      <c r="AV49" s="395"/>
      <c r="AW49" s="309"/>
      <c r="AX49" s="309"/>
      <c r="AY49" s="295"/>
      <c r="AZ49" s="309"/>
      <c r="BA49" s="384"/>
      <c r="BB49" s="317"/>
      <c r="BC49" s="309"/>
      <c r="BD49" s="309"/>
      <c r="BE49" s="309"/>
      <c r="BF49" s="305"/>
      <c r="BG49" s="305"/>
    </row>
    <row r="50" spans="1:59" ht="195" x14ac:dyDescent="0.25">
      <c r="A50" s="345"/>
      <c r="B50" s="348"/>
      <c r="C50" s="309"/>
      <c r="D50" s="309"/>
      <c r="E50" s="354"/>
      <c r="F50" s="354"/>
      <c r="G50" s="354" t="s">
        <v>95</v>
      </c>
      <c r="H50" s="294" t="s">
        <v>174</v>
      </c>
      <c r="I50" s="295"/>
      <c r="J50" s="354" t="s">
        <v>128</v>
      </c>
      <c r="K50" s="333">
        <v>1</v>
      </c>
      <c r="L50" s="300" t="s">
        <v>140</v>
      </c>
      <c r="M50" s="297">
        <v>1</v>
      </c>
      <c r="N50" s="297" t="s">
        <v>71</v>
      </c>
      <c r="O50" s="297" t="s">
        <v>71</v>
      </c>
      <c r="P50" s="297" t="s">
        <v>71</v>
      </c>
      <c r="Q50" s="297" t="s">
        <v>71</v>
      </c>
      <c r="R50" s="297"/>
      <c r="S50" s="108"/>
      <c r="T50" s="182">
        <f>0%</f>
        <v>0</v>
      </c>
      <c r="U50" s="309"/>
      <c r="V50" s="309"/>
      <c r="W50" s="309"/>
      <c r="X50" s="45" t="s">
        <v>216</v>
      </c>
      <c r="Y50" s="48">
        <v>2</v>
      </c>
      <c r="Z50" s="309"/>
      <c r="AA50" s="309"/>
      <c r="AB50" s="309"/>
      <c r="AC50" s="309"/>
      <c r="AD50" s="23">
        <v>0.1</v>
      </c>
      <c r="AE50" s="23">
        <v>0</v>
      </c>
      <c r="AF50" s="23">
        <v>0</v>
      </c>
      <c r="AG50" s="23">
        <v>0</v>
      </c>
      <c r="AH50" s="23">
        <v>1</v>
      </c>
      <c r="AI50" s="123">
        <f t="shared" si="0"/>
        <v>1</v>
      </c>
      <c r="AJ50" s="123">
        <f t="shared" si="1"/>
        <v>0.5</v>
      </c>
      <c r="AK50" s="123"/>
      <c r="AL50" s="309"/>
      <c r="AM50" s="309"/>
      <c r="AN50" s="115"/>
      <c r="AO50" s="115"/>
      <c r="AP50" s="115"/>
      <c r="AQ50" s="115"/>
      <c r="AR50" s="115"/>
      <c r="AS50" s="309"/>
      <c r="AT50" s="343"/>
      <c r="AU50" s="394"/>
      <c r="AV50" s="395"/>
      <c r="AW50" s="309"/>
      <c r="AX50" s="309"/>
      <c r="AY50" s="295"/>
      <c r="AZ50" s="309"/>
      <c r="BA50" s="384"/>
      <c r="BB50" s="317"/>
      <c r="BC50" s="309"/>
      <c r="BD50" s="309"/>
      <c r="BE50" s="309"/>
      <c r="BF50" s="305"/>
      <c r="BG50" s="305"/>
    </row>
    <row r="51" spans="1:59" ht="210" x14ac:dyDescent="0.25">
      <c r="A51" s="345"/>
      <c r="B51" s="348"/>
      <c r="C51" s="309"/>
      <c r="D51" s="309"/>
      <c r="E51" s="354"/>
      <c r="F51" s="354"/>
      <c r="G51" s="354"/>
      <c r="H51" s="295"/>
      <c r="I51" s="295"/>
      <c r="J51" s="354"/>
      <c r="K51" s="333"/>
      <c r="L51" s="301"/>
      <c r="M51" s="298"/>
      <c r="N51" s="298"/>
      <c r="O51" s="298"/>
      <c r="P51" s="298"/>
      <c r="Q51" s="298"/>
      <c r="R51" s="298"/>
      <c r="S51" s="109"/>
      <c r="T51" s="109"/>
      <c r="U51" s="309"/>
      <c r="V51" s="309"/>
      <c r="W51" s="309"/>
      <c r="X51" s="45" t="s">
        <v>217</v>
      </c>
      <c r="Y51" s="48">
        <v>2</v>
      </c>
      <c r="Z51" s="309"/>
      <c r="AA51" s="309"/>
      <c r="AB51" s="309"/>
      <c r="AC51" s="309"/>
      <c r="AD51" s="23">
        <v>0.1</v>
      </c>
      <c r="AE51" s="23">
        <v>0</v>
      </c>
      <c r="AF51" s="23">
        <v>0</v>
      </c>
      <c r="AG51" s="23">
        <v>0</v>
      </c>
      <c r="AH51" s="23">
        <v>1</v>
      </c>
      <c r="AI51" s="123">
        <f t="shared" si="0"/>
        <v>1</v>
      </c>
      <c r="AJ51" s="123">
        <f t="shared" si="1"/>
        <v>0.5</v>
      </c>
      <c r="AK51" s="123"/>
      <c r="AL51" s="309"/>
      <c r="AM51" s="309"/>
      <c r="AN51" s="115"/>
      <c r="AO51" s="115"/>
      <c r="AP51" s="115"/>
      <c r="AQ51" s="115"/>
      <c r="AR51" s="115"/>
      <c r="AS51" s="309"/>
      <c r="AT51" s="343"/>
      <c r="AU51" s="394"/>
      <c r="AV51" s="395"/>
      <c r="AW51" s="309"/>
      <c r="AX51" s="309"/>
      <c r="AY51" s="295"/>
      <c r="AZ51" s="309"/>
      <c r="BA51" s="384"/>
      <c r="BB51" s="317"/>
      <c r="BC51" s="309"/>
      <c r="BD51" s="309"/>
      <c r="BE51" s="309"/>
      <c r="BF51" s="305"/>
      <c r="BG51" s="305"/>
    </row>
    <row r="52" spans="1:59" ht="105" x14ac:dyDescent="0.25">
      <c r="A52" s="345"/>
      <c r="B52" s="348"/>
      <c r="C52" s="309"/>
      <c r="D52" s="309"/>
      <c r="E52" s="354"/>
      <c r="F52" s="354"/>
      <c r="G52" s="354"/>
      <c r="H52" s="295"/>
      <c r="I52" s="295"/>
      <c r="J52" s="354"/>
      <c r="K52" s="333"/>
      <c r="L52" s="301"/>
      <c r="M52" s="298"/>
      <c r="N52" s="298"/>
      <c r="O52" s="298"/>
      <c r="P52" s="298"/>
      <c r="Q52" s="298"/>
      <c r="R52" s="298"/>
      <c r="S52" s="109"/>
      <c r="T52" s="109"/>
      <c r="U52" s="309"/>
      <c r="V52" s="309"/>
      <c r="W52" s="309"/>
      <c r="X52" s="45" t="s">
        <v>218</v>
      </c>
      <c r="Y52" s="48">
        <v>2</v>
      </c>
      <c r="Z52" s="309"/>
      <c r="AA52" s="309"/>
      <c r="AB52" s="309"/>
      <c r="AC52" s="309"/>
      <c r="AD52" s="23">
        <v>0.1</v>
      </c>
      <c r="AE52" s="23">
        <v>0</v>
      </c>
      <c r="AF52" s="23">
        <v>0</v>
      </c>
      <c r="AG52" s="23">
        <v>0</v>
      </c>
      <c r="AH52" s="23">
        <v>1</v>
      </c>
      <c r="AI52" s="123">
        <f t="shared" si="0"/>
        <v>1</v>
      </c>
      <c r="AJ52" s="123">
        <f t="shared" si="1"/>
        <v>0.5</v>
      </c>
      <c r="AK52" s="123"/>
      <c r="AL52" s="309"/>
      <c r="AM52" s="309"/>
      <c r="AN52" s="115"/>
      <c r="AO52" s="115"/>
      <c r="AP52" s="115"/>
      <c r="AQ52" s="115"/>
      <c r="AR52" s="115"/>
      <c r="AS52" s="309"/>
      <c r="AT52" s="343"/>
      <c r="AU52" s="394"/>
      <c r="AV52" s="395"/>
      <c r="AW52" s="309"/>
      <c r="AX52" s="309"/>
      <c r="AY52" s="295"/>
      <c r="AZ52" s="309"/>
      <c r="BA52" s="384"/>
      <c r="BB52" s="317"/>
      <c r="BC52" s="309"/>
      <c r="BD52" s="309"/>
      <c r="BE52" s="309"/>
      <c r="BF52" s="305"/>
      <c r="BG52" s="305"/>
    </row>
    <row r="53" spans="1:59" ht="360" x14ac:dyDescent="0.25">
      <c r="A53" s="345"/>
      <c r="B53" s="348"/>
      <c r="C53" s="309"/>
      <c r="D53" s="309"/>
      <c r="E53" s="354"/>
      <c r="F53" s="354"/>
      <c r="G53" s="354"/>
      <c r="H53" s="295"/>
      <c r="I53" s="295"/>
      <c r="J53" s="354"/>
      <c r="K53" s="333"/>
      <c r="L53" s="301"/>
      <c r="M53" s="298"/>
      <c r="N53" s="298"/>
      <c r="O53" s="298"/>
      <c r="P53" s="298"/>
      <c r="Q53" s="298"/>
      <c r="R53" s="298"/>
      <c r="S53" s="109"/>
      <c r="T53" s="109"/>
      <c r="U53" s="309"/>
      <c r="V53" s="309"/>
      <c r="W53" s="309"/>
      <c r="X53" s="45" t="s">
        <v>219</v>
      </c>
      <c r="Y53" s="48">
        <v>1</v>
      </c>
      <c r="Z53" s="309"/>
      <c r="AA53" s="309"/>
      <c r="AB53" s="309"/>
      <c r="AC53" s="309"/>
      <c r="AD53" s="23">
        <v>0.1</v>
      </c>
      <c r="AE53" s="23">
        <v>0</v>
      </c>
      <c r="AF53" s="23">
        <v>0</v>
      </c>
      <c r="AG53" s="23">
        <v>0</v>
      </c>
      <c r="AH53" s="23">
        <v>0.5</v>
      </c>
      <c r="AI53" s="123">
        <f t="shared" si="0"/>
        <v>0.5</v>
      </c>
      <c r="AJ53" s="123">
        <f t="shared" si="1"/>
        <v>0.5</v>
      </c>
      <c r="AK53" s="123"/>
      <c r="AL53" s="309"/>
      <c r="AM53" s="309"/>
      <c r="AN53" s="115"/>
      <c r="AO53" s="115"/>
      <c r="AP53" s="115"/>
      <c r="AQ53" s="115"/>
      <c r="AR53" s="115"/>
      <c r="AS53" s="309"/>
      <c r="AT53" s="343"/>
      <c r="AU53" s="394"/>
      <c r="AV53" s="395"/>
      <c r="AW53" s="309"/>
      <c r="AX53" s="309"/>
      <c r="AY53" s="295"/>
      <c r="AZ53" s="309"/>
      <c r="BA53" s="384"/>
      <c r="BB53" s="317"/>
      <c r="BC53" s="309"/>
      <c r="BD53" s="309"/>
      <c r="BE53" s="309"/>
      <c r="BF53" s="305"/>
      <c r="BG53" s="305"/>
    </row>
    <row r="54" spans="1:59" ht="180" x14ac:dyDescent="0.25">
      <c r="A54" s="345"/>
      <c r="B54" s="348"/>
      <c r="C54" s="309"/>
      <c r="D54" s="309"/>
      <c r="E54" s="354"/>
      <c r="F54" s="354"/>
      <c r="G54" s="354"/>
      <c r="H54" s="295"/>
      <c r="I54" s="295"/>
      <c r="J54" s="354"/>
      <c r="K54" s="333"/>
      <c r="L54" s="301"/>
      <c r="M54" s="298"/>
      <c r="N54" s="298"/>
      <c r="O54" s="298"/>
      <c r="P54" s="298"/>
      <c r="Q54" s="298"/>
      <c r="R54" s="298"/>
      <c r="S54" s="109"/>
      <c r="T54" s="109"/>
      <c r="U54" s="309"/>
      <c r="V54" s="309"/>
      <c r="W54" s="309"/>
      <c r="X54" s="45" t="s">
        <v>220</v>
      </c>
      <c r="Y54" s="48">
        <v>1</v>
      </c>
      <c r="Z54" s="309"/>
      <c r="AA54" s="309"/>
      <c r="AB54" s="309"/>
      <c r="AC54" s="309"/>
      <c r="AD54" s="23">
        <v>0.2</v>
      </c>
      <c r="AE54" s="23">
        <v>0</v>
      </c>
      <c r="AF54" s="23">
        <v>0</v>
      </c>
      <c r="AG54" s="23">
        <v>0</v>
      </c>
      <c r="AH54" s="23">
        <v>0</v>
      </c>
      <c r="AI54" s="123">
        <f t="shared" si="0"/>
        <v>0</v>
      </c>
      <c r="AJ54" s="123">
        <f t="shared" si="1"/>
        <v>0</v>
      </c>
      <c r="AK54" s="123"/>
      <c r="AL54" s="309"/>
      <c r="AM54" s="309"/>
      <c r="AN54" s="115"/>
      <c r="AO54" s="115"/>
      <c r="AP54" s="115"/>
      <c r="AQ54" s="115"/>
      <c r="AR54" s="115"/>
      <c r="AS54" s="309"/>
      <c r="AT54" s="343"/>
      <c r="AU54" s="394"/>
      <c r="AV54" s="395"/>
      <c r="AW54" s="309"/>
      <c r="AX54" s="309"/>
      <c r="AY54" s="295"/>
      <c r="AZ54" s="309"/>
      <c r="BA54" s="384"/>
      <c r="BB54" s="317"/>
      <c r="BC54" s="309"/>
      <c r="BD54" s="309"/>
      <c r="BE54" s="309"/>
      <c r="BF54" s="305"/>
      <c r="BG54" s="305"/>
    </row>
    <row r="55" spans="1:59" ht="216" customHeight="1" x14ac:dyDescent="0.25">
      <c r="A55" s="345"/>
      <c r="B55" s="348"/>
      <c r="C55" s="309"/>
      <c r="D55" s="309"/>
      <c r="E55" s="354"/>
      <c r="F55" s="354"/>
      <c r="G55" s="354"/>
      <c r="H55" s="296"/>
      <c r="I55" s="295"/>
      <c r="J55" s="354"/>
      <c r="K55" s="333"/>
      <c r="L55" s="302"/>
      <c r="M55" s="299"/>
      <c r="N55" s="299"/>
      <c r="O55" s="299"/>
      <c r="P55" s="299"/>
      <c r="Q55" s="299"/>
      <c r="R55" s="299"/>
      <c r="S55" s="110"/>
      <c r="T55" s="110"/>
      <c r="U55" s="309"/>
      <c r="V55" s="309"/>
      <c r="W55" s="309"/>
      <c r="X55" s="45" t="s">
        <v>221</v>
      </c>
      <c r="Y55" s="48">
        <v>1</v>
      </c>
      <c r="Z55" s="309"/>
      <c r="AA55" s="309"/>
      <c r="AB55" s="309"/>
      <c r="AC55" s="309"/>
      <c r="AD55" s="23">
        <v>0.1</v>
      </c>
      <c r="AE55" s="23">
        <v>0.3</v>
      </c>
      <c r="AF55" s="23">
        <v>0.3</v>
      </c>
      <c r="AG55" s="23">
        <v>0.2</v>
      </c>
      <c r="AH55" s="23">
        <v>0.2</v>
      </c>
      <c r="AI55" s="123">
        <f t="shared" si="0"/>
        <v>1</v>
      </c>
      <c r="AJ55" s="123">
        <f t="shared" si="1"/>
        <v>1</v>
      </c>
      <c r="AK55" s="123"/>
      <c r="AL55" s="309"/>
      <c r="AM55" s="309"/>
      <c r="AN55" s="115"/>
      <c r="AO55" s="115"/>
      <c r="AP55" s="115"/>
      <c r="AQ55" s="115"/>
      <c r="AR55" s="115"/>
      <c r="AS55" s="309"/>
      <c r="AT55" s="343"/>
      <c r="AU55" s="391"/>
      <c r="AV55" s="393"/>
      <c r="AW55" s="309"/>
      <c r="AX55" s="309"/>
      <c r="AY55" s="296"/>
      <c r="AZ55" s="309"/>
      <c r="BA55" s="375"/>
      <c r="BB55" s="318"/>
      <c r="BC55" s="309"/>
      <c r="BD55" s="309"/>
      <c r="BE55" s="309"/>
      <c r="BF55" s="270"/>
      <c r="BG55" s="270"/>
    </row>
    <row r="56" spans="1:59" ht="216" customHeight="1" x14ac:dyDescent="0.25">
      <c r="A56" s="345"/>
      <c r="B56" s="348"/>
      <c r="C56" s="309"/>
      <c r="D56" s="309"/>
      <c r="E56" s="354"/>
      <c r="F56" s="168"/>
      <c r="G56" s="168"/>
      <c r="H56" s="146"/>
      <c r="I56" s="295"/>
      <c r="J56" s="399" t="s">
        <v>312</v>
      </c>
      <c r="K56" s="400"/>
      <c r="L56" s="400"/>
      <c r="M56" s="400"/>
      <c r="N56" s="400"/>
      <c r="O56" s="400"/>
      <c r="P56" s="401"/>
      <c r="Q56" s="156"/>
      <c r="R56" s="156"/>
      <c r="S56" s="192">
        <f>AVERAGE(S47:S55)</f>
        <v>0.66666666666666663</v>
      </c>
      <c r="T56" s="192">
        <f>AVERAGE(T47:T55)</f>
        <v>0.3125</v>
      </c>
      <c r="U56" s="322" t="s">
        <v>306</v>
      </c>
      <c r="V56" s="325"/>
      <c r="W56" s="325"/>
      <c r="X56" s="325"/>
      <c r="Y56" s="325"/>
      <c r="Z56" s="325"/>
      <c r="AA56" s="325"/>
      <c r="AB56" s="325"/>
      <c r="AC56" s="325"/>
      <c r="AD56" s="325"/>
      <c r="AE56" s="325"/>
      <c r="AF56" s="325"/>
      <c r="AG56" s="326"/>
      <c r="AH56" s="171"/>
      <c r="AI56" s="171"/>
      <c r="AJ56" s="171">
        <f>AVERAGE(AJ47:AJ55)</f>
        <v>0.61111111111111116</v>
      </c>
      <c r="AK56" s="171">
        <f>AVERAGE(AK47:AK55)</f>
        <v>0.61111111111111116</v>
      </c>
      <c r="AL56" s="327" t="s">
        <v>322</v>
      </c>
      <c r="AM56" s="324"/>
      <c r="AN56" s="131"/>
      <c r="AO56" s="131">
        <v>1251094783</v>
      </c>
      <c r="AP56" s="131">
        <v>244994783</v>
      </c>
      <c r="AQ56" s="131">
        <v>244994783</v>
      </c>
      <c r="AR56" s="203">
        <v>0.19582431829227762</v>
      </c>
      <c r="AS56" s="131"/>
      <c r="AT56" s="137"/>
      <c r="AU56" s="139"/>
      <c r="AV56" s="141"/>
      <c r="AW56" s="131"/>
      <c r="AX56" s="131"/>
      <c r="AY56" s="153"/>
      <c r="AZ56" s="131"/>
      <c r="BA56" s="161"/>
      <c r="BB56" s="135"/>
      <c r="BC56" s="131"/>
      <c r="BD56" s="131"/>
      <c r="BE56" s="131"/>
      <c r="BF56" s="162"/>
      <c r="BG56" s="162"/>
    </row>
    <row r="57" spans="1:59" ht="72" customHeight="1" x14ac:dyDescent="0.25">
      <c r="A57" s="345"/>
      <c r="B57" s="348"/>
      <c r="C57" s="309"/>
      <c r="D57" s="309"/>
      <c r="E57" s="354"/>
      <c r="F57" s="354" t="s">
        <v>49</v>
      </c>
      <c r="G57" s="26" t="s">
        <v>96</v>
      </c>
      <c r="H57" s="21" t="s">
        <v>174</v>
      </c>
      <c r="I57" s="295"/>
      <c r="J57" s="26" t="s">
        <v>129</v>
      </c>
      <c r="K57" s="77">
        <v>1</v>
      </c>
      <c r="L57" s="78" t="s">
        <v>140</v>
      </c>
      <c r="M57" s="74">
        <v>1</v>
      </c>
      <c r="N57" s="78" t="s">
        <v>71</v>
      </c>
      <c r="O57" s="78" t="s">
        <v>71</v>
      </c>
      <c r="P57" s="78" t="s">
        <v>71</v>
      </c>
      <c r="Q57" s="78" t="s">
        <v>71</v>
      </c>
      <c r="R57" s="78"/>
      <c r="S57" s="78"/>
      <c r="T57" s="78"/>
      <c r="U57" s="309" t="s">
        <v>147</v>
      </c>
      <c r="V57" s="309" t="s">
        <v>162</v>
      </c>
      <c r="W57" s="309" t="s">
        <v>163</v>
      </c>
      <c r="X57" s="39" t="s">
        <v>223</v>
      </c>
      <c r="Y57" s="48">
        <v>1</v>
      </c>
      <c r="Z57" s="315">
        <v>44562</v>
      </c>
      <c r="AA57" s="309">
        <v>364</v>
      </c>
      <c r="AB57" s="309">
        <v>1028736</v>
      </c>
      <c r="AC57" s="309">
        <f>AB57</f>
        <v>1028736</v>
      </c>
      <c r="AD57" s="23">
        <v>0.45</v>
      </c>
      <c r="AE57" s="23">
        <v>0</v>
      </c>
      <c r="AF57" s="23">
        <v>0.222</v>
      </c>
      <c r="AG57" s="23">
        <v>0.43</v>
      </c>
      <c r="AH57" s="23">
        <v>0.35</v>
      </c>
      <c r="AI57" s="123">
        <f t="shared" si="0"/>
        <v>1.002</v>
      </c>
      <c r="AJ57" s="123">
        <f t="shared" si="1"/>
        <v>1.002</v>
      </c>
      <c r="AK57" s="123">
        <f>SUM(AJ57:AJ60)/(4)</f>
        <v>1.0004999999999999</v>
      </c>
      <c r="AL57" s="309" t="s">
        <v>171</v>
      </c>
      <c r="AM57" s="309" t="s">
        <v>172</v>
      </c>
      <c r="AN57" s="115" t="s">
        <v>294</v>
      </c>
      <c r="AO57" s="115">
        <v>301976358</v>
      </c>
      <c r="AP57" s="115">
        <v>301900000</v>
      </c>
      <c r="AQ57" s="115">
        <v>252720000</v>
      </c>
      <c r="AR57" s="123">
        <f>AQ57/AO57</f>
        <v>0.83688670753489913</v>
      </c>
      <c r="AS57" s="363" t="s">
        <v>190</v>
      </c>
      <c r="AT57" s="342">
        <v>501976358</v>
      </c>
      <c r="AU57" s="361">
        <v>-200000000</v>
      </c>
      <c r="AV57" s="392">
        <f>AT57+AU57</f>
        <v>301976358</v>
      </c>
      <c r="AW57" s="363" t="s">
        <v>189</v>
      </c>
      <c r="AX57" s="309" t="str">
        <f>U57</f>
        <v>IMPLEMENTACIÓN DE UNA ESTRATEGIA DE PROMOCIÓN Y POSICIONAMIENTO PARA LA ATRACCIÓN DE LOS DIVERSOS TIPOS DE INVERSIÓN EN CARTAGENA DE INDIAS.</v>
      </c>
      <c r="AY57" s="294" t="s">
        <v>247</v>
      </c>
      <c r="AZ57" s="309" t="s">
        <v>227</v>
      </c>
      <c r="BA57" s="374">
        <v>301900000</v>
      </c>
      <c r="BB57" s="316">
        <f>+BA57/AV57</f>
        <v>0.99974713914524393</v>
      </c>
      <c r="BC57" s="309" t="s">
        <v>196</v>
      </c>
      <c r="BD57" s="309" t="s">
        <v>197</v>
      </c>
      <c r="BE57" s="309" t="s">
        <v>197</v>
      </c>
      <c r="BF57" s="269" t="s">
        <v>250</v>
      </c>
      <c r="BG57" s="269" t="s">
        <v>279</v>
      </c>
    </row>
    <row r="58" spans="1:59" ht="29.25" customHeight="1" x14ac:dyDescent="0.25">
      <c r="A58" s="345"/>
      <c r="B58" s="348"/>
      <c r="C58" s="309"/>
      <c r="D58" s="309"/>
      <c r="E58" s="354"/>
      <c r="F58" s="354"/>
      <c r="G58" s="354" t="s">
        <v>97</v>
      </c>
      <c r="H58" s="294" t="s">
        <v>174</v>
      </c>
      <c r="I58" s="295"/>
      <c r="J58" s="354" t="s">
        <v>130</v>
      </c>
      <c r="K58" s="334">
        <v>1</v>
      </c>
      <c r="L58" s="300" t="s">
        <v>140</v>
      </c>
      <c r="M58" s="297">
        <v>1</v>
      </c>
      <c r="N58" s="300" t="s">
        <v>71</v>
      </c>
      <c r="O58" s="300" t="s">
        <v>71</v>
      </c>
      <c r="P58" s="300" t="s">
        <v>71</v>
      </c>
      <c r="Q58" s="300" t="s">
        <v>71</v>
      </c>
      <c r="R58" s="300"/>
      <c r="S58" s="111"/>
      <c r="T58" s="182">
        <f>M58/K58</f>
        <v>1</v>
      </c>
      <c r="U58" s="309"/>
      <c r="V58" s="309"/>
      <c r="W58" s="309"/>
      <c r="X58" s="39" t="s">
        <v>224</v>
      </c>
      <c r="Y58" s="48">
        <v>1</v>
      </c>
      <c r="Z58" s="309"/>
      <c r="AA58" s="309"/>
      <c r="AB58" s="309"/>
      <c r="AC58" s="309"/>
      <c r="AD58" s="23">
        <v>0.2</v>
      </c>
      <c r="AE58" s="23">
        <v>0</v>
      </c>
      <c r="AF58" s="23">
        <v>0.2</v>
      </c>
      <c r="AG58" s="23">
        <v>0.28000000000000003</v>
      </c>
      <c r="AH58" s="23">
        <v>0.52</v>
      </c>
      <c r="AI58" s="123">
        <f t="shared" si="0"/>
        <v>1</v>
      </c>
      <c r="AJ58" s="123">
        <f t="shared" si="1"/>
        <v>1</v>
      </c>
      <c r="AK58" s="123"/>
      <c r="AL58" s="309"/>
      <c r="AM58" s="309"/>
      <c r="AN58" s="115"/>
      <c r="AO58" s="115"/>
      <c r="AP58" s="115"/>
      <c r="AQ58" s="115"/>
      <c r="AR58" s="115"/>
      <c r="AS58" s="363"/>
      <c r="AT58" s="343"/>
      <c r="AU58" s="394"/>
      <c r="AV58" s="395"/>
      <c r="AW58" s="363"/>
      <c r="AX58" s="309"/>
      <c r="AY58" s="295"/>
      <c r="AZ58" s="309"/>
      <c r="BA58" s="384"/>
      <c r="BB58" s="317"/>
      <c r="BC58" s="309"/>
      <c r="BD58" s="309"/>
      <c r="BE58" s="309"/>
      <c r="BF58" s="305"/>
      <c r="BG58" s="305"/>
    </row>
    <row r="59" spans="1:59" ht="29.25" customHeight="1" x14ac:dyDescent="0.25">
      <c r="A59" s="345"/>
      <c r="B59" s="348"/>
      <c r="C59" s="309"/>
      <c r="D59" s="309"/>
      <c r="E59" s="354"/>
      <c r="F59" s="354"/>
      <c r="G59" s="354"/>
      <c r="H59" s="295"/>
      <c r="I59" s="295"/>
      <c r="J59" s="354"/>
      <c r="K59" s="334"/>
      <c r="L59" s="301"/>
      <c r="M59" s="298"/>
      <c r="N59" s="301"/>
      <c r="O59" s="301"/>
      <c r="P59" s="301"/>
      <c r="Q59" s="301"/>
      <c r="R59" s="301"/>
      <c r="S59" s="112"/>
      <c r="T59" s="112"/>
      <c r="U59" s="309"/>
      <c r="V59" s="309"/>
      <c r="W59" s="309"/>
      <c r="X59" s="39" t="s">
        <v>225</v>
      </c>
      <c r="Y59" s="48">
        <v>1</v>
      </c>
      <c r="Z59" s="309"/>
      <c r="AA59" s="309"/>
      <c r="AB59" s="309"/>
      <c r="AC59" s="309"/>
      <c r="AD59" s="23">
        <v>0.15</v>
      </c>
      <c r="AE59" s="23">
        <v>0</v>
      </c>
      <c r="AF59" s="23">
        <v>0.3</v>
      </c>
      <c r="AG59" s="23">
        <v>0.35</v>
      </c>
      <c r="AH59" s="23">
        <v>0.35</v>
      </c>
      <c r="AI59" s="123">
        <f t="shared" si="0"/>
        <v>1</v>
      </c>
      <c r="AJ59" s="123">
        <f t="shared" si="1"/>
        <v>1</v>
      </c>
      <c r="AK59" s="123"/>
      <c r="AL59" s="309"/>
      <c r="AM59" s="309"/>
      <c r="AN59" s="115"/>
      <c r="AO59" s="115"/>
      <c r="AP59" s="115"/>
      <c r="AQ59" s="115"/>
      <c r="AR59" s="115"/>
      <c r="AS59" s="363"/>
      <c r="AT59" s="343"/>
      <c r="AU59" s="394"/>
      <c r="AV59" s="395"/>
      <c r="AW59" s="363"/>
      <c r="AX59" s="309"/>
      <c r="AY59" s="295"/>
      <c r="AZ59" s="309"/>
      <c r="BA59" s="384"/>
      <c r="BB59" s="317"/>
      <c r="BC59" s="309"/>
      <c r="BD59" s="309"/>
      <c r="BE59" s="309"/>
      <c r="BF59" s="305"/>
      <c r="BG59" s="305"/>
    </row>
    <row r="60" spans="1:59" ht="29.25" customHeight="1" x14ac:dyDescent="0.25">
      <c r="A60" s="345"/>
      <c r="B60" s="348"/>
      <c r="C60" s="309"/>
      <c r="D60" s="309"/>
      <c r="E60" s="354"/>
      <c r="F60" s="354"/>
      <c r="G60" s="354"/>
      <c r="H60" s="295"/>
      <c r="I60" s="295"/>
      <c r="J60" s="354"/>
      <c r="K60" s="334"/>
      <c r="L60" s="302"/>
      <c r="M60" s="298"/>
      <c r="N60" s="302"/>
      <c r="O60" s="302"/>
      <c r="P60" s="302"/>
      <c r="Q60" s="302"/>
      <c r="R60" s="302"/>
      <c r="S60" s="113"/>
      <c r="T60" s="113"/>
      <c r="U60" s="309"/>
      <c r="V60" s="309"/>
      <c r="W60" s="309"/>
      <c r="X60" s="269" t="s">
        <v>226</v>
      </c>
      <c r="Y60" s="336">
        <v>1</v>
      </c>
      <c r="Z60" s="309"/>
      <c r="AA60" s="309"/>
      <c r="AB60" s="309"/>
      <c r="AC60" s="309"/>
      <c r="AD60" s="316">
        <v>0.2</v>
      </c>
      <c r="AE60" s="316">
        <v>0</v>
      </c>
      <c r="AF60" s="316">
        <v>0.4</v>
      </c>
      <c r="AG60" s="316">
        <v>0.45</v>
      </c>
      <c r="AH60" s="316">
        <v>0.15</v>
      </c>
      <c r="AI60" s="123">
        <f t="shared" si="0"/>
        <v>1</v>
      </c>
      <c r="AJ60" s="123">
        <f t="shared" si="1"/>
        <v>1</v>
      </c>
      <c r="AK60" s="117"/>
      <c r="AL60" s="309"/>
      <c r="AM60" s="309"/>
      <c r="AN60" s="115"/>
      <c r="AO60" s="115"/>
      <c r="AP60" s="115"/>
      <c r="AQ60" s="115"/>
      <c r="AR60" s="115"/>
      <c r="AS60" s="363"/>
      <c r="AT60" s="343"/>
      <c r="AU60" s="394"/>
      <c r="AV60" s="395"/>
      <c r="AW60" s="363"/>
      <c r="AX60" s="309"/>
      <c r="AY60" s="295"/>
      <c r="AZ60" s="309"/>
      <c r="BA60" s="384"/>
      <c r="BB60" s="317"/>
      <c r="BC60" s="309"/>
      <c r="BD60" s="309"/>
      <c r="BE60" s="309"/>
      <c r="BF60" s="305"/>
      <c r="BG60" s="305"/>
    </row>
    <row r="61" spans="1:59" ht="171.6" customHeight="1" x14ac:dyDescent="0.25">
      <c r="A61" s="345"/>
      <c r="B61" s="348"/>
      <c r="C61" s="309"/>
      <c r="D61" s="309"/>
      <c r="E61" s="354"/>
      <c r="F61" s="354"/>
      <c r="G61" s="46" t="s">
        <v>98</v>
      </c>
      <c r="H61" s="38" t="s">
        <v>174</v>
      </c>
      <c r="I61" s="295"/>
      <c r="J61" s="46" t="s">
        <v>249</v>
      </c>
      <c r="K61" s="79">
        <v>1</v>
      </c>
      <c r="L61" s="78" t="s">
        <v>140</v>
      </c>
      <c r="M61" s="76">
        <v>1</v>
      </c>
      <c r="N61" s="78" t="s">
        <v>71</v>
      </c>
      <c r="O61" s="78" t="s">
        <v>71</v>
      </c>
      <c r="P61" s="78" t="s">
        <v>71</v>
      </c>
      <c r="Q61" s="78" t="s">
        <v>71</v>
      </c>
      <c r="R61" s="78"/>
      <c r="S61" s="78"/>
      <c r="T61" s="181">
        <f>M61/K61</f>
        <v>1</v>
      </c>
      <c r="U61" s="309"/>
      <c r="V61" s="309"/>
      <c r="W61" s="309"/>
      <c r="X61" s="270"/>
      <c r="Y61" s="337"/>
      <c r="Z61" s="309"/>
      <c r="AA61" s="309"/>
      <c r="AB61" s="309"/>
      <c r="AC61" s="309"/>
      <c r="AD61" s="318"/>
      <c r="AE61" s="318"/>
      <c r="AF61" s="318"/>
      <c r="AG61" s="318"/>
      <c r="AH61" s="318"/>
      <c r="AI61" s="123"/>
      <c r="AJ61" s="123"/>
      <c r="AK61" s="118"/>
      <c r="AL61" s="309"/>
      <c r="AM61" s="309"/>
      <c r="AN61" s="115"/>
      <c r="AO61" s="115"/>
      <c r="AP61" s="115"/>
      <c r="AQ61" s="115"/>
      <c r="AR61" s="115"/>
      <c r="AS61" s="363"/>
      <c r="AT61" s="343"/>
      <c r="AU61" s="391"/>
      <c r="AV61" s="393"/>
      <c r="AW61" s="363"/>
      <c r="AX61" s="309"/>
      <c r="AY61" s="296"/>
      <c r="AZ61" s="309"/>
      <c r="BA61" s="375"/>
      <c r="BB61" s="318"/>
      <c r="BC61" s="309"/>
      <c r="BD61" s="309"/>
      <c r="BE61" s="309"/>
      <c r="BF61" s="270"/>
      <c r="BG61" s="270"/>
    </row>
    <row r="62" spans="1:59" ht="171.6" customHeight="1" x14ac:dyDescent="0.25">
      <c r="A62" s="172"/>
      <c r="B62" s="174"/>
      <c r="C62" s="131"/>
      <c r="D62" s="131"/>
      <c r="E62" s="168"/>
      <c r="F62" s="168"/>
      <c r="G62" s="46"/>
      <c r="H62" s="145"/>
      <c r="I62" s="153"/>
      <c r="J62" s="399" t="s">
        <v>313</v>
      </c>
      <c r="K62" s="400"/>
      <c r="L62" s="400"/>
      <c r="M62" s="400"/>
      <c r="N62" s="400"/>
      <c r="O62" s="400"/>
      <c r="P62" s="401"/>
      <c r="Q62" s="157"/>
      <c r="R62" s="157"/>
      <c r="S62" s="157" t="s">
        <v>314</v>
      </c>
      <c r="T62" s="182">
        <f>AVERAGE(T57:T61)</f>
        <v>1</v>
      </c>
      <c r="U62" s="322" t="s">
        <v>315</v>
      </c>
      <c r="V62" s="325"/>
      <c r="W62" s="325"/>
      <c r="X62" s="325"/>
      <c r="Y62" s="325"/>
      <c r="Z62" s="325"/>
      <c r="AA62" s="325"/>
      <c r="AB62" s="325"/>
      <c r="AC62" s="325"/>
      <c r="AD62" s="325"/>
      <c r="AE62" s="325"/>
      <c r="AF62" s="325"/>
      <c r="AG62" s="326"/>
      <c r="AH62" s="135"/>
      <c r="AI62" s="171"/>
      <c r="AJ62" s="171">
        <v>1</v>
      </c>
      <c r="AK62" s="135">
        <v>1</v>
      </c>
      <c r="AL62" s="327" t="s">
        <v>322</v>
      </c>
      <c r="AM62" s="324"/>
      <c r="AN62" s="131"/>
      <c r="AO62" s="131">
        <v>301976358</v>
      </c>
      <c r="AP62" s="131">
        <v>301900000</v>
      </c>
      <c r="AQ62" s="131">
        <v>252720000</v>
      </c>
      <c r="AR62" s="203">
        <v>0.83688670753489913</v>
      </c>
      <c r="AS62" s="138"/>
      <c r="AT62" s="137"/>
      <c r="AU62" s="139"/>
      <c r="AV62" s="141"/>
      <c r="AW62" s="138"/>
      <c r="AX62" s="131"/>
      <c r="AY62" s="153"/>
      <c r="AZ62" s="131"/>
      <c r="BA62" s="133"/>
      <c r="BB62" s="135"/>
      <c r="BC62" s="131"/>
      <c r="BD62" s="131"/>
      <c r="BE62" s="131"/>
      <c r="BF62" s="162"/>
      <c r="BG62" s="162"/>
    </row>
    <row r="63" spans="1:59" ht="60" customHeight="1" x14ac:dyDescent="0.25">
      <c r="A63" s="355" t="s">
        <v>50</v>
      </c>
      <c r="B63" s="355" t="s">
        <v>51</v>
      </c>
      <c r="C63" s="21" t="s">
        <v>52</v>
      </c>
      <c r="D63" s="356">
        <v>0.08</v>
      </c>
      <c r="E63" s="22" t="s">
        <v>53</v>
      </c>
      <c r="F63" s="335" t="s">
        <v>54</v>
      </c>
      <c r="G63" s="335" t="s">
        <v>99</v>
      </c>
      <c r="H63" s="294" t="s">
        <v>185</v>
      </c>
      <c r="I63" s="328">
        <v>0.08</v>
      </c>
      <c r="J63" s="335" t="s">
        <v>131</v>
      </c>
      <c r="K63" s="429">
        <v>1047261338899</v>
      </c>
      <c r="L63" s="303">
        <v>271583094439.5</v>
      </c>
      <c r="M63" s="303">
        <v>504462913190</v>
      </c>
      <c r="N63" s="330">
        <v>211013693295</v>
      </c>
      <c r="O63" s="303">
        <v>24612040123</v>
      </c>
      <c r="P63" s="303">
        <v>20919176662</v>
      </c>
      <c r="Q63" s="303">
        <v>47944391113</v>
      </c>
      <c r="R63" s="303">
        <f>Q63+P63+O63+N63</f>
        <v>304489301193</v>
      </c>
      <c r="S63" s="98">
        <f>R63/L63</f>
        <v>1.1211644149699842</v>
      </c>
      <c r="T63" s="98">
        <f>(R63+M63)/(K63)</f>
        <v>0.77244541007640211</v>
      </c>
      <c r="U63" s="309" t="s">
        <v>186</v>
      </c>
      <c r="V63" s="309" t="s">
        <v>242</v>
      </c>
      <c r="W63" s="309" t="s">
        <v>164</v>
      </c>
      <c r="X63" s="269" t="s">
        <v>228</v>
      </c>
      <c r="Y63" s="336">
        <v>1</v>
      </c>
      <c r="Z63" s="315">
        <v>44562</v>
      </c>
      <c r="AA63" s="309">
        <v>364</v>
      </c>
      <c r="AB63" s="309">
        <v>914552</v>
      </c>
      <c r="AC63" s="309">
        <f>AB63</f>
        <v>914552</v>
      </c>
      <c r="AD63" s="316">
        <v>0.65</v>
      </c>
      <c r="AE63" s="364">
        <v>0.25</v>
      </c>
      <c r="AF63" s="364">
        <v>0.25</v>
      </c>
      <c r="AG63" s="364">
        <v>0.25</v>
      </c>
      <c r="AH63" s="388">
        <v>0.25</v>
      </c>
      <c r="AI63" s="123">
        <f t="shared" si="0"/>
        <v>1</v>
      </c>
      <c r="AJ63" s="123">
        <f t="shared" si="1"/>
        <v>1</v>
      </c>
      <c r="AK63" s="119">
        <f>AJ63</f>
        <v>1</v>
      </c>
      <c r="AL63" s="309" t="s">
        <v>171</v>
      </c>
      <c r="AM63" s="309" t="s">
        <v>172</v>
      </c>
      <c r="AN63" s="115" t="s">
        <v>296</v>
      </c>
      <c r="AO63" s="115">
        <v>27470705877.84</v>
      </c>
      <c r="AP63" s="115">
        <v>19956250368.799999</v>
      </c>
      <c r="AQ63" s="115">
        <v>15568179955.040001</v>
      </c>
      <c r="AR63" s="171">
        <f>AQ63/AO63</f>
        <v>0.56671932728159347</v>
      </c>
      <c r="AS63" s="309" t="s">
        <v>190</v>
      </c>
      <c r="AT63" s="342">
        <v>12892824553</v>
      </c>
      <c r="AU63" s="361">
        <v>14577881324.84</v>
      </c>
      <c r="AV63" s="392">
        <f>AT63+AU63</f>
        <v>27470705877.84</v>
      </c>
      <c r="AW63" s="309" t="s">
        <v>191</v>
      </c>
      <c r="AX63" s="309" t="s">
        <v>173</v>
      </c>
      <c r="AY63" s="294" t="s">
        <v>246</v>
      </c>
      <c r="AZ63" s="309" t="s">
        <v>230</v>
      </c>
      <c r="BA63" s="376">
        <v>19956250368.799999</v>
      </c>
      <c r="BB63" s="350">
        <f>+BA63/AV63</f>
        <v>0.72645568182862952</v>
      </c>
      <c r="BC63" s="309" t="s">
        <v>196</v>
      </c>
      <c r="BD63" s="309" t="s">
        <v>197</v>
      </c>
      <c r="BE63" s="309" t="s">
        <v>197</v>
      </c>
      <c r="BF63" s="269" t="s">
        <v>267</v>
      </c>
      <c r="BG63" s="269" t="s">
        <v>283</v>
      </c>
    </row>
    <row r="64" spans="1:59" ht="120" x14ac:dyDescent="0.25">
      <c r="A64" s="355"/>
      <c r="B64" s="355"/>
      <c r="C64" s="21" t="s">
        <v>55</v>
      </c>
      <c r="D64" s="356"/>
      <c r="E64" s="22" t="s">
        <v>56</v>
      </c>
      <c r="F64" s="335"/>
      <c r="G64" s="335"/>
      <c r="H64" s="296"/>
      <c r="I64" s="329"/>
      <c r="J64" s="335"/>
      <c r="K64" s="429"/>
      <c r="L64" s="304"/>
      <c r="M64" s="304"/>
      <c r="N64" s="331"/>
      <c r="O64" s="304"/>
      <c r="P64" s="304"/>
      <c r="Q64" s="304"/>
      <c r="R64" s="304"/>
      <c r="S64" s="114"/>
      <c r="T64" s="114"/>
      <c r="U64" s="309"/>
      <c r="V64" s="309"/>
      <c r="W64" s="309"/>
      <c r="X64" s="305"/>
      <c r="Y64" s="338"/>
      <c r="Z64" s="309"/>
      <c r="AA64" s="309"/>
      <c r="AB64" s="309"/>
      <c r="AC64" s="309"/>
      <c r="AD64" s="317"/>
      <c r="AE64" s="365"/>
      <c r="AF64" s="365"/>
      <c r="AG64" s="365"/>
      <c r="AH64" s="389"/>
      <c r="AI64" s="123"/>
      <c r="AJ64" s="123"/>
      <c r="AK64" s="130"/>
      <c r="AL64" s="309"/>
      <c r="AM64" s="309"/>
      <c r="AN64" s="115" t="s">
        <v>297</v>
      </c>
      <c r="AO64" s="115"/>
      <c r="AP64" s="115"/>
      <c r="AQ64" s="115"/>
      <c r="AR64" s="115"/>
      <c r="AS64" s="309"/>
      <c r="AT64" s="343"/>
      <c r="AU64" s="394"/>
      <c r="AV64" s="395"/>
      <c r="AW64" s="309"/>
      <c r="AX64" s="309"/>
      <c r="AY64" s="295"/>
      <c r="AZ64" s="309"/>
      <c r="BA64" s="377"/>
      <c r="BB64" s="351"/>
      <c r="BC64" s="309"/>
      <c r="BD64" s="309"/>
      <c r="BE64" s="309"/>
      <c r="BF64" s="305"/>
      <c r="BG64" s="305"/>
    </row>
    <row r="65" spans="1:59" ht="150" x14ac:dyDescent="0.25">
      <c r="A65" s="355"/>
      <c r="B65" s="355"/>
      <c r="C65" s="21" t="s">
        <v>57</v>
      </c>
      <c r="D65" s="356">
        <v>7.0000000000000007E-2</v>
      </c>
      <c r="E65" s="22" t="s">
        <v>58</v>
      </c>
      <c r="F65" s="335"/>
      <c r="G65" s="335" t="s">
        <v>100</v>
      </c>
      <c r="H65" s="294" t="s">
        <v>185</v>
      </c>
      <c r="I65" s="328">
        <v>7.0000000000000007E-2</v>
      </c>
      <c r="J65" s="335" t="s">
        <v>132</v>
      </c>
      <c r="K65" s="429">
        <v>1189376917533</v>
      </c>
      <c r="L65" s="303">
        <v>282507785478</v>
      </c>
      <c r="M65" s="303">
        <v>627039231271</v>
      </c>
      <c r="N65" s="330">
        <v>141446898672</v>
      </c>
      <c r="O65" s="303">
        <v>151501709073</v>
      </c>
      <c r="P65" s="303">
        <v>141780464968</v>
      </c>
      <c r="Q65" s="303">
        <v>120319994758</v>
      </c>
      <c r="R65" s="303">
        <f>Q65+P65+O65+N65</f>
        <v>555049067471</v>
      </c>
      <c r="S65" s="98">
        <f>R65/L65</f>
        <v>1.9647213138988833</v>
      </c>
      <c r="T65" s="98">
        <f>(R65+M65)/(K65)</f>
        <v>0.99387190159523353</v>
      </c>
      <c r="U65" s="309"/>
      <c r="V65" s="309"/>
      <c r="W65" s="309"/>
      <c r="X65" s="305"/>
      <c r="Y65" s="338"/>
      <c r="Z65" s="309"/>
      <c r="AA65" s="309"/>
      <c r="AB65" s="309"/>
      <c r="AC65" s="309"/>
      <c r="AD65" s="317"/>
      <c r="AE65" s="365"/>
      <c r="AF65" s="365"/>
      <c r="AG65" s="365"/>
      <c r="AH65" s="389"/>
      <c r="AI65" s="123"/>
      <c r="AJ65" s="123"/>
      <c r="AK65" s="130"/>
      <c r="AL65" s="309"/>
      <c r="AM65" s="309"/>
      <c r="AN65" s="115" t="s">
        <v>298</v>
      </c>
      <c r="AO65" s="115"/>
      <c r="AP65" s="115"/>
      <c r="AQ65" s="115"/>
      <c r="AR65" s="115"/>
      <c r="AS65" s="309"/>
      <c r="AT65" s="343"/>
      <c r="AU65" s="394"/>
      <c r="AV65" s="395"/>
      <c r="AW65" s="309"/>
      <c r="AX65" s="309"/>
      <c r="AY65" s="295"/>
      <c r="AZ65" s="309"/>
      <c r="BA65" s="377"/>
      <c r="BB65" s="351"/>
      <c r="BC65" s="309"/>
      <c r="BD65" s="309"/>
      <c r="BE65" s="309"/>
      <c r="BF65" s="305"/>
      <c r="BG65" s="305"/>
    </row>
    <row r="66" spans="1:59" ht="165" x14ac:dyDescent="0.25">
      <c r="A66" s="355"/>
      <c r="B66" s="355"/>
      <c r="C66" s="21" t="s">
        <v>59</v>
      </c>
      <c r="D66" s="356"/>
      <c r="E66" s="22" t="s">
        <v>60</v>
      </c>
      <c r="F66" s="335"/>
      <c r="G66" s="335"/>
      <c r="H66" s="296"/>
      <c r="I66" s="329"/>
      <c r="J66" s="335"/>
      <c r="K66" s="429"/>
      <c r="L66" s="304"/>
      <c r="M66" s="304"/>
      <c r="N66" s="331"/>
      <c r="O66" s="304"/>
      <c r="P66" s="304"/>
      <c r="Q66" s="304"/>
      <c r="R66" s="304"/>
      <c r="S66" s="114"/>
      <c r="T66" s="114"/>
      <c r="U66" s="309"/>
      <c r="V66" s="309"/>
      <c r="W66" s="309"/>
      <c r="X66" s="305"/>
      <c r="Y66" s="338"/>
      <c r="Z66" s="309"/>
      <c r="AA66" s="309"/>
      <c r="AB66" s="309"/>
      <c r="AC66" s="309"/>
      <c r="AD66" s="317"/>
      <c r="AE66" s="365"/>
      <c r="AF66" s="365"/>
      <c r="AG66" s="365"/>
      <c r="AH66" s="389"/>
      <c r="AI66" s="123"/>
      <c r="AJ66" s="123"/>
      <c r="AK66" s="130"/>
      <c r="AL66" s="309"/>
      <c r="AM66" s="309"/>
      <c r="AN66" s="115" t="s">
        <v>299</v>
      </c>
      <c r="AO66" s="115"/>
      <c r="AP66" s="115"/>
      <c r="AQ66" s="115"/>
      <c r="AR66" s="115"/>
      <c r="AS66" s="309"/>
      <c r="AT66" s="343"/>
      <c r="AU66" s="394"/>
      <c r="AV66" s="395"/>
      <c r="AW66" s="309"/>
      <c r="AX66" s="309"/>
      <c r="AY66" s="295"/>
      <c r="AZ66" s="309"/>
      <c r="BA66" s="377"/>
      <c r="BB66" s="351"/>
      <c r="BC66" s="309"/>
      <c r="BD66" s="309"/>
      <c r="BE66" s="309"/>
      <c r="BF66" s="305"/>
      <c r="BG66" s="305"/>
    </row>
    <row r="67" spans="1:59" ht="46.5" customHeight="1" x14ac:dyDescent="0.25">
      <c r="A67" s="355"/>
      <c r="B67" s="355"/>
      <c r="C67" s="21" t="s">
        <v>61</v>
      </c>
      <c r="D67" s="23">
        <v>0.11</v>
      </c>
      <c r="E67" s="22" t="s">
        <v>62</v>
      </c>
      <c r="F67" s="335"/>
      <c r="G67" s="22" t="s">
        <v>101</v>
      </c>
      <c r="H67" s="21" t="s">
        <v>185</v>
      </c>
      <c r="I67" s="40">
        <v>0.11</v>
      </c>
      <c r="J67" s="22" t="s">
        <v>133</v>
      </c>
      <c r="K67" s="28">
        <v>14454734972</v>
      </c>
      <c r="L67" s="31">
        <v>1329796059.23</v>
      </c>
      <c r="M67" s="31">
        <v>12162533853.540001</v>
      </c>
      <c r="N67" s="61">
        <v>1597536000</v>
      </c>
      <c r="O67" s="31">
        <v>3499162000</v>
      </c>
      <c r="P67" s="31">
        <v>1472881949.1300001</v>
      </c>
      <c r="Q67" s="31">
        <v>3761425000</v>
      </c>
      <c r="R67" s="31">
        <f>Q67+P67+O67+N67</f>
        <v>10331004949.130001</v>
      </c>
      <c r="S67" s="60">
        <f t="shared" ref="S67:S74" si="3">R67/L67</f>
        <v>7.7688641633605275</v>
      </c>
      <c r="T67" s="60">
        <f>(R67+M67)/(K67)</f>
        <v>1.5561363695869777</v>
      </c>
      <c r="U67" s="309"/>
      <c r="V67" s="309"/>
      <c r="W67" s="309"/>
      <c r="X67" s="305"/>
      <c r="Y67" s="338"/>
      <c r="Z67" s="309"/>
      <c r="AA67" s="309"/>
      <c r="AB67" s="309"/>
      <c r="AC67" s="309"/>
      <c r="AD67" s="317"/>
      <c r="AE67" s="365"/>
      <c r="AF67" s="365"/>
      <c r="AG67" s="365"/>
      <c r="AH67" s="389"/>
      <c r="AI67" s="123"/>
      <c r="AJ67" s="123"/>
      <c r="AK67" s="130"/>
      <c r="AL67" s="309"/>
      <c r="AM67" s="309"/>
      <c r="AN67" s="115" t="s">
        <v>300</v>
      </c>
      <c r="AO67" s="115"/>
      <c r="AP67" s="115"/>
      <c r="AQ67" s="115"/>
      <c r="AR67" s="115"/>
      <c r="AS67" s="309"/>
      <c r="AT67" s="343"/>
      <c r="AU67" s="394"/>
      <c r="AV67" s="395"/>
      <c r="AW67" s="309"/>
      <c r="AX67" s="309"/>
      <c r="AY67" s="295"/>
      <c r="AZ67" s="309"/>
      <c r="BA67" s="377"/>
      <c r="BB67" s="351"/>
      <c r="BC67" s="309"/>
      <c r="BD67" s="309"/>
      <c r="BE67" s="309"/>
      <c r="BF67" s="305"/>
      <c r="BG67" s="305"/>
    </row>
    <row r="68" spans="1:59" ht="46.5" customHeight="1" x14ac:dyDescent="0.25">
      <c r="A68" s="355"/>
      <c r="B68" s="355"/>
      <c r="C68" s="21" t="s">
        <v>63</v>
      </c>
      <c r="D68" s="23">
        <v>7.0000000000000007E-2</v>
      </c>
      <c r="E68" s="22" t="s">
        <v>64</v>
      </c>
      <c r="F68" s="335"/>
      <c r="G68" s="22" t="s">
        <v>102</v>
      </c>
      <c r="H68" s="21" t="s">
        <v>185</v>
      </c>
      <c r="I68" s="40">
        <v>7.0000000000000007E-2</v>
      </c>
      <c r="J68" s="22" t="s">
        <v>134</v>
      </c>
      <c r="K68" s="28">
        <v>176659841306</v>
      </c>
      <c r="L68" s="31">
        <v>58514225726.5</v>
      </c>
      <c r="M68" s="31">
        <v>67743434853</v>
      </c>
      <c r="N68" s="61">
        <v>11311834000</v>
      </c>
      <c r="O68" s="61">
        <v>11701120000</v>
      </c>
      <c r="P68" s="61">
        <v>8605271000</v>
      </c>
      <c r="Q68" s="61">
        <v>12163092000</v>
      </c>
      <c r="R68" s="61">
        <f>Q68+P68+O68+N68</f>
        <v>43781317000</v>
      </c>
      <c r="S68" s="181">
        <f t="shared" si="3"/>
        <v>0.74821663375735759</v>
      </c>
      <c r="T68" s="181">
        <f>(R68+M68)/(K68)</f>
        <v>0.63129656988553073</v>
      </c>
      <c r="U68" s="309"/>
      <c r="V68" s="309"/>
      <c r="W68" s="309"/>
      <c r="X68" s="270"/>
      <c r="Y68" s="337"/>
      <c r="Z68" s="309"/>
      <c r="AA68" s="309"/>
      <c r="AB68" s="309"/>
      <c r="AC68" s="309"/>
      <c r="AD68" s="318"/>
      <c r="AE68" s="366"/>
      <c r="AF68" s="366"/>
      <c r="AG68" s="366"/>
      <c r="AH68" s="390"/>
      <c r="AI68" s="123"/>
      <c r="AJ68" s="123"/>
      <c r="AK68" s="120"/>
      <c r="AL68" s="309"/>
      <c r="AM68" s="309"/>
      <c r="AN68" s="115" t="s">
        <v>294</v>
      </c>
      <c r="AO68" s="115"/>
      <c r="AP68" s="115"/>
      <c r="AQ68" s="115"/>
      <c r="AR68" s="115"/>
      <c r="AS68" s="309"/>
      <c r="AT68" s="343"/>
      <c r="AU68" s="394"/>
      <c r="AV68" s="395"/>
      <c r="AW68" s="309"/>
      <c r="AX68" s="309"/>
      <c r="AY68" s="295"/>
      <c r="AZ68" s="309"/>
      <c r="BA68" s="377"/>
      <c r="BB68" s="351"/>
      <c r="BC68" s="309"/>
      <c r="BD68" s="309"/>
      <c r="BE68" s="309"/>
      <c r="BF68" s="305"/>
      <c r="BG68" s="305"/>
    </row>
    <row r="69" spans="1:59" ht="51.75" customHeight="1" x14ac:dyDescent="0.25">
      <c r="A69" s="355"/>
      <c r="B69" s="355"/>
      <c r="C69" s="309" t="s">
        <v>65</v>
      </c>
      <c r="D69" s="356">
        <v>0</v>
      </c>
      <c r="E69" s="335" t="s">
        <v>66</v>
      </c>
      <c r="F69" s="335"/>
      <c r="G69" s="22" t="s">
        <v>103</v>
      </c>
      <c r="H69" s="38" t="s">
        <v>174</v>
      </c>
      <c r="I69" s="328">
        <v>0</v>
      </c>
      <c r="J69" s="22" t="s">
        <v>135</v>
      </c>
      <c r="K69" s="34">
        <v>1</v>
      </c>
      <c r="L69" s="36">
        <v>1</v>
      </c>
      <c r="M69" s="36">
        <v>0</v>
      </c>
      <c r="N69" s="36">
        <v>0</v>
      </c>
      <c r="O69" s="36">
        <v>0</v>
      </c>
      <c r="P69" s="36">
        <v>0</v>
      </c>
      <c r="Q69" s="36">
        <v>0.5</v>
      </c>
      <c r="R69" s="36">
        <f>Q69</f>
        <v>0.5</v>
      </c>
      <c r="S69" s="98">
        <f t="shared" si="3"/>
        <v>0.5</v>
      </c>
      <c r="T69" s="98">
        <f>R69/K69</f>
        <v>0.5</v>
      </c>
      <c r="U69" s="309"/>
      <c r="V69" s="309"/>
      <c r="W69" s="309"/>
      <c r="X69" s="269" t="s">
        <v>229</v>
      </c>
      <c r="Y69" s="336">
        <v>1</v>
      </c>
      <c r="Z69" s="309"/>
      <c r="AA69" s="309"/>
      <c r="AB69" s="309"/>
      <c r="AC69" s="309"/>
      <c r="AD69" s="316">
        <v>0.35</v>
      </c>
      <c r="AE69" s="364">
        <v>0.25</v>
      </c>
      <c r="AF69" s="364">
        <v>0.25</v>
      </c>
      <c r="AG69" s="364">
        <v>0.25</v>
      </c>
      <c r="AH69" s="388">
        <v>0.25</v>
      </c>
      <c r="AI69" s="123">
        <f t="shared" si="0"/>
        <v>1</v>
      </c>
      <c r="AJ69" s="123">
        <f t="shared" si="1"/>
        <v>1</v>
      </c>
      <c r="AK69" s="119"/>
      <c r="AL69" s="309"/>
      <c r="AM69" s="309"/>
      <c r="AN69" s="115" t="s">
        <v>301</v>
      </c>
      <c r="AO69" s="115"/>
      <c r="AP69" s="115"/>
      <c r="AQ69" s="115"/>
      <c r="AR69" s="115"/>
      <c r="AS69" s="309"/>
      <c r="AT69" s="343"/>
      <c r="AU69" s="394"/>
      <c r="AV69" s="395"/>
      <c r="AW69" s="309"/>
      <c r="AX69" s="309"/>
      <c r="AY69" s="295"/>
      <c r="AZ69" s="309"/>
      <c r="BA69" s="377"/>
      <c r="BB69" s="351"/>
      <c r="BC69" s="309"/>
      <c r="BD69" s="309"/>
      <c r="BE69" s="309"/>
      <c r="BF69" s="305"/>
      <c r="BG69" s="305"/>
    </row>
    <row r="70" spans="1:59" ht="76.5" customHeight="1" x14ac:dyDescent="0.25">
      <c r="A70" s="355"/>
      <c r="B70" s="355"/>
      <c r="C70" s="309"/>
      <c r="D70" s="356"/>
      <c r="E70" s="335"/>
      <c r="F70" s="335"/>
      <c r="G70" s="22" t="s">
        <v>104</v>
      </c>
      <c r="H70" s="38" t="s">
        <v>174</v>
      </c>
      <c r="I70" s="295"/>
      <c r="J70" s="22" t="s">
        <v>136</v>
      </c>
      <c r="K70" s="84">
        <v>3</v>
      </c>
      <c r="L70" s="83">
        <v>1</v>
      </c>
      <c r="M70" s="83">
        <v>3</v>
      </c>
      <c r="N70" s="83">
        <v>1</v>
      </c>
      <c r="O70" s="83">
        <v>0</v>
      </c>
      <c r="P70" s="83">
        <v>0</v>
      </c>
      <c r="Q70" s="83">
        <v>1</v>
      </c>
      <c r="R70" s="83">
        <f>Q70</f>
        <v>1</v>
      </c>
      <c r="S70" s="182">
        <f t="shared" si="3"/>
        <v>1</v>
      </c>
      <c r="T70" s="182">
        <f>100%</f>
        <v>1</v>
      </c>
      <c r="U70" s="309"/>
      <c r="V70" s="309"/>
      <c r="W70" s="309"/>
      <c r="X70" s="270"/>
      <c r="Y70" s="337"/>
      <c r="Z70" s="309"/>
      <c r="AA70" s="309"/>
      <c r="AB70" s="309"/>
      <c r="AC70" s="309"/>
      <c r="AD70" s="318"/>
      <c r="AE70" s="366"/>
      <c r="AF70" s="366"/>
      <c r="AG70" s="366"/>
      <c r="AH70" s="390"/>
      <c r="AI70" s="123"/>
      <c r="AJ70" s="123"/>
      <c r="AK70" s="120"/>
      <c r="AL70" s="309"/>
      <c r="AM70" s="309"/>
      <c r="AN70" s="115" t="s">
        <v>302</v>
      </c>
      <c r="AO70" s="115"/>
      <c r="AP70" s="115"/>
      <c r="AQ70" s="115"/>
      <c r="AR70" s="115"/>
      <c r="AS70" s="309"/>
      <c r="AT70" s="343"/>
      <c r="AU70" s="391"/>
      <c r="AV70" s="393"/>
      <c r="AW70" s="309"/>
      <c r="AX70" s="309"/>
      <c r="AY70" s="296"/>
      <c r="AZ70" s="309"/>
      <c r="BA70" s="377"/>
      <c r="BB70" s="352"/>
      <c r="BC70" s="309"/>
      <c r="BD70" s="309"/>
      <c r="BE70" s="309"/>
      <c r="BF70" s="270"/>
      <c r="BG70" s="270"/>
    </row>
    <row r="71" spans="1:59" ht="76.5" customHeight="1" x14ac:dyDescent="0.25">
      <c r="A71" s="355"/>
      <c r="B71" s="355"/>
      <c r="C71" s="131"/>
      <c r="D71" s="171"/>
      <c r="E71" s="169"/>
      <c r="F71" s="169"/>
      <c r="G71" s="169"/>
      <c r="H71" s="145"/>
      <c r="I71" s="153"/>
      <c r="J71" s="418" t="s">
        <v>316</v>
      </c>
      <c r="K71" s="419"/>
      <c r="L71" s="419"/>
      <c r="M71" s="419"/>
      <c r="N71" s="419"/>
      <c r="O71" s="419"/>
      <c r="P71" s="420"/>
      <c r="Q71" s="83"/>
      <c r="R71" s="83"/>
      <c r="S71" s="182">
        <f>100%</f>
        <v>1</v>
      </c>
      <c r="T71" s="182">
        <f>AVERAGE(T63:T70)</f>
        <v>0.90895837519069067</v>
      </c>
      <c r="U71" s="322" t="s">
        <v>315</v>
      </c>
      <c r="V71" s="325"/>
      <c r="W71" s="325"/>
      <c r="X71" s="325"/>
      <c r="Y71" s="325"/>
      <c r="Z71" s="325"/>
      <c r="AA71" s="325"/>
      <c r="AB71" s="325"/>
      <c r="AC71" s="325"/>
      <c r="AD71" s="325"/>
      <c r="AE71" s="325"/>
      <c r="AF71" s="325"/>
      <c r="AG71" s="326"/>
      <c r="AH71" s="152"/>
      <c r="AI71" s="171"/>
      <c r="AJ71" s="171">
        <f>AVERAGE(AJ63:AJ70)</f>
        <v>1</v>
      </c>
      <c r="AK71" s="152">
        <v>1</v>
      </c>
      <c r="AL71" s="327" t="s">
        <v>322</v>
      </c>
      <c r="AM71" s="324"/>
      <c r="AN71" s="131"/>
      <c r="AO71" s="131">
        <v>27470705877.84</v>
      </c>
      <c r="AP71" s="131">
        <v>19956250368.799999</v>
      </c>
      <c r="AQ71" s="131">
        <v>15568179955.040001</v>
      </c>
      <c r="AR71" s="203">
        <v>0.56671932728159347</v>
      </c>
      <c r="AS71" s="131"/>
      <c r="AT71" s="137"/>
      <c r="AU71" s="140"/>
      <c r="AV71" s="142"/>
      <c r="AW71" s="131"/>
      <c r="AX71" s="131"/>
      <c r="AY71" s="146"/>
      <c r="AZ71" s="131"/>
      <c r="BA71" s="158"/>
      <c r="BB71" s="144"/>
      <c r="BC71" s="131"/>
      <c r="BD71" s="131"/>
      <c r="BE71" s="131"/>
      <c r="BF71" s="155"/>
      <c r="BG71" s="155"/>
    </row>
    <row r="72" spans="1:59" ht="110.25" customHeight="1" x14ac:dyDescent="0.25">
      <c r="A72" s="355"/>
      <c r="B72" s="355"/>
      <c r="C72" s="21" t="s">
        <v>65</v>
      </c>
      <c r="D72" s="23">
        <v>0</v>
      </c>
      <c r="E72" s="24" t="s">
        <v>66</v>
      </c>
      <c r="F72" s="24" t="s">
        <v>67</v>
      </c>
      <c r="G72" s="24" t="s">
        <v>105</v>
      </c>
      <c r="H72" s="21" t="s">
        <v>185</v>
      </c>
      <c r="I72" s="40">
        <v>0</v>
      </c>
      <c r="J72" s="24" t="s">
        <v>137</v>
      </c>
      <c r="K72" s="29">
        <v>396000000000</v>
      </c>
      <c r="L72" s="31">
        <v>151637399199.37</v>
      </c>
      <c r="M72" s="31">
        <v>92725201601.259995</v>
      </c>
      <c r="N72" s="31">
        <v>0</v>
      </c>
      <c r="O72" s="81">
        <v>0</v>
      </c>
      <c r="P72" s="81">
        <v>0</v>
      </c>
      <c r="Q72" s="82">
        <v>28900950282</v>
      </c>
      <c r="R72" s="82">
        <f>Q72</f>
        <v>28900950282</v>
      </c>
      <c r="S72" s="60">
        <f t="shared" si="3"/>
        <v>0.19059249521947799</v>
      </c>
      <c r="T72" s="60">
        <f>(R72+M72)/(K72)</f>
        <v>0.30713674717994949</v>
      </c>
      <c r="U72" s="21" t="s">
        <v>148</v>
      </c>
      <c r="V72" s="21" t="s">
        <v>187</v>
      </c>
      <c r="W72" s="21" t="s">
        <v>165</v>
      </c>
      <c r="X72" s="62" t="s">
        <v>176</v>
      </c>
      <c r="Y72" s="49">
        <v>1</v>
      </c>
      <c r="Z72" s="47">
        <v>44562</v>
      </c>
      <c r="AA72" s="21">
        <v>364</v>
      </c>
      <c r="AB72" s="21">
        <v>914552</v>
      </c>
      <c r="AC72" s="21">
        <f>AB72</f>
        <v>914552</v>
      </c>
      <c r="AD72" s="23">
        <v>1</v>
      </c>
      <c r="AE72" s="23">
        <v>0</v>
      </c>
      <c r="AF72" s="23">
        <v>0</v>
      </c>
      <c r="AG72" s="23">
        <v>0</v>
      </c>
      <c r="AH72" s="60">
        <v>1</v>
      </c>
      <c r="AI72" s="123">
        <f t="shared" si="0"/>
        <v>1</v>
      </c>
      <c r="AJ72" s="123">
        <f t="shared" si="1"/>
        <v>1</v>
      </c>
      <c r="AK72" s="60">
        <f>AJ72</f>
        <v>1</v>
      </c>
      <c r="AL72" s="21" t="s">
        <v>171</v>
      </c>
      <c r="AM72" s="21" t="s">
        <v>172</v>
      </c>
      <c r="AN72" s="115" t="s">
        <v>303</v>
      </c>
      <c r="AO72" s="115">
        <v>28609950282</v>
      </c>
      <c r="AP72" s="115">
        <v>28608539106</v>
      </c>
      <c r="AQ72" s="115">
        <v>27629251523.93</v>
      </c>
      <c r="AR72" s="171">
        <f>AQ72/AO72</f>
        <v>0.96572175944370631</v>
      </c>
      <c r="AS72" s="21" t="s">
        <v>190</v>
      </c>
      <c r="AT72" s="85">
        <v>20000000000</v>
      </c>
      <c r="AU72" s="85">
        <v>8609950282</v>
      </c>
      <c r="AV72" s="51">
        <f>AT72+AU72</f>
        <v>28609950282</v>
      </c>
      <c r="AW72" s="21" t="s">
        <v>189</v>
      </c>
      <c r="AX72" s="21" t="str">
        <f>U72</f>
        <v>IMPLEMENTACIÓN DEL PLAN DE SANEAMIENTO FISCAL Y FINANCIERO DEL DISTRITO DE CARTAGENA DE INDIAS.</v>
      </c>
      <c r="AY72" s="21" t="s">
        <v>246</v>
      </c>
      <c r="AZ72" s="21" t="s">
        <v>232</v>
      </c>
      <c r="BA72" s="57">
        <v>28608539106</v>
      </c>
      <c r="BB72" s="23">
        <f>+BA72/AV72</f>
        <v>0.99995067534245641</v>
      </c>
      <c r="BC72" s="21" t="s">
        <v>196</v>
      </c>
      <c r="BD72" s="21" t="s">
        <v>197</v>
      </c>
      <c r="BE72" s="21" t="s">
        <v>197</v>
      </c>
      <c r="BF72" s="62" t="s">
        <v>255</v>
      </c>
      <c r="BG72" s="62" t="s">
        <v>284</v>
      </c>
    </row>
    <row r="73" spans="1:59" ht="110.25" customHeight="1" x14ac:dyDescent="0.25">
      <c r="A73" s="170"/>
      <c r="B73" s="170"/>
      <c r="C73" s="131"/>
      <c r="D73" s="171"/>
      <c r="E73" s="24"/>
      <c r="F73" s="24"/>
      <c r="G73" s="24"/>
      <c r="H73" s="131"/>
      <c r="I73" s="40"/>
      <c r="J73" s="421" t="s">
        <v>317</v>
      </c>
      <c r="K73" s="422"/>
      <c r="L73" s="422"/>
      <c r="M73" s="422"/>
      <c r="N73" s="422"/>
      <c r="O73" s="422"/>
      <c r="P73" s="423"/>
      <c r="Q73" s="193"/>
      <c r="R73" s="193"/>
      <c r="S73" s="150">
        <f>+S72</f>
        <v>0.19059249521947799</v>
      </c>
      <c r="T73" s="150">
        <f>+T72</f>
        <v>0.30713674717994949</v>
      </c>
      <c r="U73" s="322" t="s">
        <v>315</v>
      </c>
      <c r="V73" s="325"/>
      <c r="W73" s="325"/>
      <c r="X73" s="325"/>
      <c r="Y73" s="325"/>
      <c r="Z73" s="325"/>
      <c r="AA73" s="325"/>
      <c r="AB73" s="325"/>
      <c r="AC73" s="325"/>
      <c r="AD73" s="325"/>
      <c r="AE73" s="325"/>
      <c r="AF73" s="325"/>
      <c r="AG73" s="326"/>
      <c r="AH73" s="60"/>
      <c r="AI73" s="171"/>
      <c r="AJ73" s="171">
        <f>+AJ72</f>
        <v>1</v>
      </c>
      <c r="AK73" s="150">
        <f>+AK72</f>
        <v>1</v>
      </c>
      <c r="AL73" s="327" t="s">
        <v>322</v>
      </c>
      <c r="AM73" s="324"/>
      <c r="AN73" s="145"/>
      <c r="AO73" s="145">
        <v>28609950282</v>
      </c>
      <c r="AP73" s="145">
        <v>28608539106</v>
      </c>
      <c r="AQ73" s="145">
        <v>27629251523.93</v>
      </c>
      <c r="AR73" s="134">
        <v>0.96572175944370631</v>
      </c>
      <c r="AS73" s="145"/>
      <c r="AT73" s="194"/>
      <c r="AU73" s="194"/>
      <c r="AV73" s="195"/>
      <c r="AW73" s="145"/>
      <c r="AX73" s="131"/>
      <c r="AY73" s="145"/>
      <c r="AZ73" s="131"/>
      <c r="BA73" s="132"/>
      <c r="BB73" s="134"/>
      <c r="BC73" s="131"/>
      <c r="BD73" s="131"/>
      <c r="BE73" s="131"/>
      <c r="BF73" s="154"/>
      <c r="BG73" s="154"/>
    </row>
    <row r="74" spans="1:59" ht="42.75" customHeight="1" x14ac:dyDescent="0.25">
      <c r="A74" s="353" t="s">
        <v>68</v>
      </c>
      <c r="B74" s="353" t="s">
        <v>69</v>
      </c>
      <c r="C74" s="309" t="s">
        <v>70</v>
      </c>
      <c r="D74" s="309" t="s">
        <v>71</v>
      </c>
      <c r="E74" s="309" t="s">
        <v>72</v>
      </c>
      <c r="F74" s="309" t="s">
        <v>73</v>
      </c>
      <c r="G74" s="309" t="s">
        <v>106</v>
      </c>
      <c r="H74" s="309" t="s">
        <v>174</v>
      </c>
      <c r="I74" s="309" t="s">
        <v>71</v>
      </c>
      <c r="J74" s="309" t="s">
        <v>138</v>
      </c>
      <c r="K74" s="309">
        <v>33</v>
      </c>
      <c r="L74" s="294">
        <v>17</v>
      </c>
      <c r="M74" s="294">
        <v>0</v>
      </c>
      <c r="N74" s="294">
        <v>0</v>
      </c>
      <c r="O74" s="294">
        <v>0</v>
      </c>
      <c r="P74" s="294">
        <v>1</v>
      </c>
      <c r="Q74" s="294">
        <v>0</v>
      </c>
      <c r="R74" s="294">
        <f>P74</f>
        <v>1</v>
      </c>
      <c r="S74" s="117">
        <f t="shared" si="3"/>
        <v>5.8823529411764705E-2</v>
      </c>
      <c r="T74" s="105"/>
      <c r="U74" s="294" t="s">
        <v>177</v>
      </c>
      <c r="V74" s="294" t="s">
        <v>188</v>
      </c>
      <c r="W74" s="294" t="s">
        <v>178</v>
      </c>
      <c r="X74" s="39" t="s">
        <v>180</v>
      </c>
      <c r="Y74" s="49">
        <v>1</v>
      </c>
      <c r="Z74" s="315">
        <v>44562</v>
      </c>
      <c r="AA74" s="294">
        <v>364</v>
      </c>
      <c r="AB74" s="360">
        <v>260522</v>
      </c>
      <c r="AC74" s="360">
        <f>AB74</f>
        <v>260522</v>
      </c>
      <c r="AD74" s="23">
        <v>0.7</v>
      </c>
      <c r="AE74" s="23">
        <v>0.25</v>
      </c>
      <c r="AF74" s="23">
        <v>0.5</v>
      </c>
      <c r="AG74" s="23">
        <v>0.25</v>
      </c>
      <c r="AH74" s="23">
        <v>0</v>
      </c>
      <c r="AI74" s="123">
        <f t="shared" si="0"/>
        <v>1</v>
      </c>
      <c r="AJ74" s="123">
        <f t="shared" si="1"/>
        <v>1</v>
      </c>
      <c r="AK74" s="117">
        <f>SUM(AJ74:AJ75)/(2)</f>
        <v>0.99750000000000005</v>
      </c>
      <c r="AL74" s="294" t="s">
        <v>171</v>
      </c>
      <c r="AM74" s="294" t="s">
        <v>172</v>
      </c>
      <c r="AN74" s="105" t="s">
        <v>294</v>
      </c>
      <c r="AO74" s="105">
        <v>700000000</v>
      </c>
      <c r="AP74" s="105">
        <v>0</v>
      </c>
      <c r="AQ74" s="105">
        <v>0</v>
      </c>
      <c r="AR74" s="134">
        <f>AQ74/AO74</f>
        <v>0</v>
      </c>
      <c r="AS74" s="294" t="s">
        <v>190</v>
      </c>
      <c r="AT74" s="361">
        <v>400000000</v>
      </c>
      <c r="AU74" s="361">
        <v>300000000</v>
      </c>
      <c r="AV74" s="392">
        <f>AT74+AU74</f>
        <v>700000000</v>
      </c>
      <c r="AW74" s="294" t="s">
        <v>189</v>
      </c>
      <c r="AX74" s="309" t="str">
        <f>U74</f>
        <v>FORTALECIMIENTO E INCLUSIÓN PRODUCTIVA PARA POBLACIÓN NEGRA, AFROCOLOMBIANA, RAIZAL Y PALENQUERA EN EL DISTRITO DE CARTAGENA DE INDIAS</v>
      </c>
      <c r="AY74" s="294" t="s">
        <v>246</v>
      </c>
      <c r="AZ74" s="309" t="s">
        <v>233</v>
      </c>
      <c r="BA74" s="374">
        <v>0</v>
      </c>
      <c r="BB74" s="316">
        <f>+BA74/AV74</f>
        <v>0</v>
      </c>
      <c r="BC74" s="309" t="s">
        <v>196</v>
      </c>
      <c r="BD74" s="309" t="s">
        <v>197</v>
      </c>
      <c r="BE74" s="309" t="s">
        <v>197</v>
      </c>
      <c r="BF74" s="269" t="s">
        <v>256</v>
      </c>
      <c r="BG74" s="269" t="s">
        <v>278</v>
      </c>
    </row>
    <row r="75" spans="1:59" ht="163.15" customHeight="1" x14ac:dyDescent="0.25">
      <c r="A75" s="353"/>
      <c r="B75" s="353"/>
      <c r="C75" s="309"/>
      <c r="D75" s="309"/>
      <c r="E75" s="309"/>
      <c r="F75" s="309"/>
      <c r="G75" s="309"/>
      <c r="H75" s="309"/>
      <c r="I75" s="309"/>
      <c r="J75" s="309"/>
      <c r="K75" s="309"/>
      <c r="L75" s="296"/>
      <c r="M75" s="296"/>
      <c r="N75" s="296"/>
      <c r="O75" s="296"/>
      <c r="P75" s="296"/>
      <c r="Q75" s="296"/>
      <c r="R75" s="296"/>
      <c r="S75" s="107"/>
      <c r="T75" s="118">
        <f>R74/K74</f>
        <v>3.0303030303030304E-2</v>
      </c>
      <c r="U75" s="296"/>
      <c r="V75" s="296"/>
      <c r="W75" s="296"/>
      <c r="X75" s="39" t="s">
        <v>179</v>
      </c>
      <c r="Y75" s="49">
        <v>1</v>
      </c>
      <c r="Z75" s="309"/>
      <c r="AA75" s="296"/>
      <c r="AB75" s="296"/>
      <c r="AC75" s="296"/>
      <c r="AD75" s="23">
        <v>0.3</v>
      </c>
      <c r="AE75" s="23">
        <v>0.33300000000000002</v>
      </c>
      <c r="AF75" s="58">
        <v>0.16600000000000001</v>
      </c>
      <c r="AG75" s="58">
        <v>0.16600000000000001</v>
      </c>
      <c r="AH75" s="58">
        <v>0.33</v>
      </c>
      <c r="AI75" s="123">
        <f t="shared" si="0"/>
        <v>0.99500000000000011</v>
      </c>
      <c r="AJ75" s="123">
        <f t="shared" si="1"/>
        <v>0.99500000000000011</v>
      </c>
      <c r="AK75" s="118"/>
      <c r="AL75" s="296"/>
      <c r="AM75" s="296"/>
      <c r="AN75" s="107"/>
      <c r="AO75" s="107"/>
      <c r="AP75" s="107"/>
      <c r="AQ75" s="107"/>
      <c r="AR75" s="107"/>
      <c r="AS75" s="296"/>
      <c r="AT75" s="362"/>
      <c r="AU75" s="391"/>
      <c r="AV75" s="393"/>
      <c r="AW75" s="296"/>
      <c r="AX75" s="309"/>
      <c r="AY75" s="296"/>
      <c r="AZ75" s="309"/>
      <c r="BA75" s="375"/>
      <c r="BB75" s="318"/>
      <c r="BC75" s="309"/>
      <c r="BD75" s="309"/>
      <c r="BE75" s="309"/>
      <c r="BF75" s="270"/>
      <c r="BG75" s="270"/>
    </row>
    <row r="76" spans="1:59" ht="44.25" customHeight="1" x14ac:dyDescent="0.25">
      <c r="A76" s="353"/>
      <c r="B76" s="353"/>
      <c r="C76" s="309" t="s">
        <v>70</v>
      </c>
      <c r="D76" s="309" t="s">
        <v>71</v>
      </c>
      <c r="E76" s="309"/>
      <c r="F76" s="309" t="s">
        <v>74</v>
      </c>
      <c r="G76" s="309" t="s">
        <v>107</v>
      </c>
      <c r="H76" s="309" t="s">
        <v>174</v>
      </c>
      <c r="I76" s="309" t="s">
        <v>71</v>
      </c>
      <c r="J76" s="309" t="s">
        <v>139</v>
      </c>
      <c r="K76" s="309">
        <v>2</v>
      </c>
      <c r="L76" s="294">
        <v>1</v>
      </c>
      <c r="M76" s="294">
        <v>0</v>
      </c>
      <c r="N76" s="294">
        <v>0</v>
      </c>
      <c r="O76" s="294">
        <v>1</v>
      </c>
      <c r="P76" s="294">
        <v>2</v>
      </c>
      <c r="Q76" s="294">
        <v>0</v>
      </c>
      <c r="R76" s="105">
        <f>P76+O76</f>
        <v>3</v>
      </c>
      <c r="S76" s="117">
        <f>100%</f>
        <v>1</v>
      </c>
      <c r="T76" s="117">
        <f>100%</f>
        <v>1</v>
      </c>
      <c r="U76" s="228" t="s">
        <v>325</v>
      </c>
      <c r="V76" s="294" t="s">
        <v>182</v>
      </c>
      <c r="W76" s="294" t="s">
        <v>178</v>
      </c>
      <c r="X76" s="39" t="s">
        <v>183</v>
      </c>
      <c r="Y76" s="49">
        <v>1</v>
      </c>
      <c r="Z76" s="315">
        <v>44562</v>
      </c>
      <c r="AA76" s="294">
        <v>364</v>
      </c>
      <c r="AB76" s="360">
        <v>260522</v>
      </c>
      <c r="AC76" s="360">
        <f>AB76</f>
        <v>260522</v>
      </c>
      <c r="AD76" s="23">
        <v>0.7</v>
      </c>
      <c r="AE76" s="23">
        <v>0.1</v>
      </c>
      <c r="AF76" s="23">
        <v>0.25</v>
      </c>
      <c r="AG76" s="23">
        <v>0.5</v>
      </c>
      <c r="AH76" s="23">
        <v>0.15</v>
      </c>
      <c r="AI76" s="123">
        <f t="shared" si="0"/>
        <v>1</v>
      </c>
      <c r="AJ76" s="185">
        <f>AI76/Y76</f>
        <v>1</v>
      </c>
      <c r="AK76" s="117">
        <f>SUM(AJ76:AJ77)/(2)</f>
        <v>1</v>
      </c>
      <c r="AL76" s="294" t="s">
        <v>171</v>
      </c>
      <c r="AM76" s="294" t="s">
        <v>172</v>
      </c>
      <c r="AN76" s="228" t="s">
        <v>10</v>
      </c>
      <c r="AO76" s="105">
        <f>+AO74</f>
        <v>700000000</v>
      </c>
      <c r="AP76" s="105">
        <v>0</v>
      </c>
      <c r="AQ76" s="105">
        <v>0</v>
      </c>
      <c r="AR76" s="105">
        <v>0</v>
      </c>
      <c r="AS76" s="294" t="s">
        <v>190</v>
      </c>
      <c r="AT76" s="361">
        <v>100000000</v>
      </c>
      <c r="AU76" s="361">
        <v>200000000</v>
      </c>
      <c r="AV76" s="392">
        <f>AT76+AU76</f>
        <v>300000000</v>
      </c>
      <c r="AW76" s="294" t="s">
        <v>189</v>
      </c>
      <c r="AX76" s="309" t="str">
        <f>U76</f>
        <v>AVANCE</v>
      </c>
      <c r="AY76" s="294" t="s">
        <v>246</v>
      </c>
      <c r="AZ76" s="309" t="s">
        <v>231</v>
      </c>
      <c r="BA76" s="374">
        <v>127897120</v>
      </c>
      <c r="BB76" s="316">
        <f>+BA76/AV76</f>
        <v>0.42632373333333334</v>
      </c>
      <c r="BC76" s="309" t="s">
        <v>196</v>
      </c>
      <c r="BD76" s="309" t="s">
        <v>197</v>
      </c>
      <c r="BE76" s="309" t="s">
        <v>197</v>
      </c>
      <c r="BF76" s="269" t="s">
        <v>257</v>
      </c>
      <c r="BG76" s="271" t="s">
        <v>277</v>
      </c>
    </row>
    <row r="77" spans="1:59" ht="208.9" customHeight="1" x14ac:dyDescent="0.25">
      <c r="A77" s="353"/>
      <c r="B77" s="353"/>
      <c r="C77" s="309"/>
      <c r="D77" s="309"/>
      <c r="E77" s="309"/>
      <c r="F77" s="309"/>
      <c r="G77" s="309"/>
      <c r="H77" s="309"/>
      <c r="I77" s="309"/>
      <c r="J77" s="309"/>
      <c r="K77" s="309"/>
      <c r="L77" s="296"/>
      <c r="M77" s="296"/>
      <c r="N77" s="296"/>
      <c r="O77" s="296"/>
      <c r="P77" s="296"/>
      <c r="Q77" s="296"/>
      <c r="R77" s="153"/>
      <c r="S77" s="153"/>
      <c r="T77" s="153"/>
      <c r="U77" s="196" t="s">
        <v>181</v>
      </c>
      <c r="V77" s="296"/>
      <c r="W77" s="296"/>
      <c r="X77" s="196" t="s">
        <v>179</v>
      </c>
      <c r="Y77" s="36">
        <v>1</v>
      </c>
      <c r="Z77" s="309"/>
      <c r="AA77" s="296"/>
      <c r="AB77" s="296"/>
      <c r="AC77" s="296"/>
      <c r="AD77" s="134">
        <v>0.3</v>
      </c>
      <c r="AE77" s="134">
        <v>0.33</v>
      </c>
      <c r="AF77" s="135">
        <v>0.17</v>
      </c>
      <c r="AG77" s="135">
        <v>0.17</v>
      </c>
      <c r="AH77" s="135">
        <v>0.33</v>
      </c>
      <c r="AI77" s="134">
        <f t="shared" si="0"/>
        <v>1</v>
      </c>
      <c r="AJ77" s="134">
        <f>AI76/Y76</f>
        <v>1</v>
      </c>
      <c r="AK77" s="135"/>
      <c r="AL77" s="296"/>
      <c r="AM77" s="296"/>
      <c r="AN77" s="227"/>
      <c r="AO77" s="153">
        <v>300000000</v>
      </c>
      <c r="AP77" s="153">
        <v>127897120</v>
      </c>
      <c r="AQ77" s="153">
        <v>84672120</v>
      </c>
      <c r="AR77" s="153"/>
      <c r="AS77" s="296"/>
      <c r="AT77" s="362"/>
      <c r="AU77" s="391"/>
      <c r="AV77" s="393"/>
      <c r="AW77" s="296"/>
      <c r="AX77" s="309"/>
      <c r="AY77" s="296"/>
      <c r="AZ77" s="309"/>
      <c r="BA77" s="375"/>
      <c r="BB77" s="318"/>
      <c r="BC77" s="309"/>
      <c r="BD77" s="309"/>
      <c r="BE77" s="309"/>
      <c r="BF77" s="270"/>
      <c r="BG77" s="272"/>
    </row>
    <row r="78" spans="1:59" s="197" customFormat="1" ht="156" customHeight="1" x14ac:dyDescent="0.25">
      <c r="H78" s="198"/>
      <c r="I78" s="198"/>
      <c r="J78" s="424" t="s">
        <v>318</v>
      </c>
      <c r="K78" s="425"/>
      <c r="L78" s="425"/>
      <c r="M78" s="425"/>
      <c r="N78" s="425"/>
      <c r="O78" s="425"/>
      <c r="P78" s="425"/>
      <c r="Q78" s="199"/>
      <c r="R78" s="199"/>
      <c r="S78" s="200">
        <f>AVERAGE(S74:S76)</f>
        <v>0.52941176470588236</v>
      </c>
      <c r="T78" s="200">
        <f>AVERAGE(T75:T76)</f>
        <v>0.51515151515151514</v>
      </c>
      <c r="U78" s="426" t="s">
        <v>315</v>
      </c>
      <c r="V78" s="427"/>
      <c r="W78" s="427"/>
      <c r="X78" s="427"/>
      <c r="Y78" s="427"/>
      <c r="Z78" s="427"/>
      <c r="AA78" s="427"/>
      <c r="AB78" s="427"/>
      <c r="AC78" s="427"/>
      <c r="AD78" s="427"/>
      <c r="AE78" s="427"/>
      <c r="AF78" s="427"/>
      <c r="AG78" s="428"/>
      <c r="AH78" s="198"/>
      <c r="AI78" s="198"/>
      <c r="AJ78" s="230">
        <f>AVERAGE(AJ74:AJ77)</f>
        <v>0.99875000000000003</v>
      </c>
      <c r="AK78" s="230">
        <f>AVERAGE(AK74:AK77)</f>
        <v>0.99875000000000003</v>
      </c>
      <c r="AL78" s="416" t="s">
        <v>322</v>
      </c>
      <c r="AM78" s="417"/>
      <c r="AO78" s="229">
        <f>+AO77</f>
        <v>300000000</v>
      </c>
      <c r="AP78" s="205">
        <f>+AP77</f>
        <v>127897120</v>
      </c>
      <c r="AQ78" s="205">
        <f>+AQ77</f>
        <v>84672120</v>
      </c>
      <c r="AR78" s="200">
        <v>0</v>
      </c>
      <c r="AT78" s="201"/>
      <c r="AU78" s="201"/>
      <c r="BB78" s="202"/>
    </row>
    <row r="79" spans="1:59" ht="45" customHeight="1" x14ac:dyDescent="0.25">
      <c r="K79" s="261" t="s">
        <v>319</v>
      </c>
      <c r="L79" s="261"/>
      <c r="M79" s="261"/>
      <c r="N79" s="261"/>
      <c r="O79" s="261"/>
      <c r="P79" s="261"/>
      <c r="Q79" s="265"/>
      <c r="R79" s="259">
        <f>(S6+S17+S24+S30+S39+S46+S56+S71+S73+S78)/(10)</f>
        <v>0.68940919792236066</v>
      </c>
      <c r="S79" s="259"/>
      <c r="T79" s="263">
        <f>(T6+T17+T24+T30+T39+T46+T56+T62+T71+T73+T78)/(11)</f>
        <v>0.64883605795655963</v>
      </c>
      <c r="U79" s="263"/>
      <c r="AF79" s="267" t="s">
        <v>320</v>
      </c>
      <c r="AG79" s="267"/>
      <c r="AH79" s="267"/>
      <c r="AJ79" s="259">
        <f>(AK6+AK17+AK24+AK30+AK39+AK46+AK56+AK71+AK73+AK78)/(11)</f>
        <v>0.73988780663780662</v>
      </c>
      <c r="AK79" s="259"/>
      <c r="AL79" s="267" t="s">
        <v>321</v>
      </c>
      <c r="AM79" s="267"/>
      <c r="AN79" s="267"/>
      <c r="AO79" s="257">
        <f>(AO6+AO17+AO24+AO30+AO39+AO46+AO56+AO62+AO71+AO73+AO76+AO78)</f>
        <v>61521935382.839996</v>
      </c>
      <c r="AP79" s="257">
        <f>(AP6+AP17+AP24+AP30+AP39+AP46+AP56+AP62+AP71+AP73+AP78)</f>
        <v>49618101063.800003</v>
      </c>
      <c r="AQ79" s="257">
        <f>(AQ6+AQ17+AQ24+AQ30+AQ39+AQ46+AQ56+AQ62+AQ71+AQ73+AQ78)</f>
        <v>44108752647.970001</v>
      </c>
      <c r="AR79" s="259">
        <f>AQ79/AO79</f>
        <v>0.71695977009645628</v>
      </c>
    </row>
    <row r="80" spans="1:59" ht="18.75" customHeight="1" x14ac:dyDescent="0.25">
      <c r="K80" s="262"/>
      <c r="L80" s="262"/>
      <c r="M80" s="262"/>
      <c r="N80" s="262"/>
      <c r="O80" s="262"/>
      <c r="P80" s="262"/>
      <c r="Q80" s="266"/>
      <c r="R80" s="260"/>
      <c r="S80" s="260"/>
      <c r="T80" s="264"/>
      <c r="U80" s="264"/>
      <c r="AF80" s="268"/>
      <c r="AG80" s="268"/>
      <c r="AH80" s="268"/>
      <c r="AJ80" s="260"/>
      <c r="AK80" s="260"/>
      <c r="AL80" s="268"/>
      <c r="AM80" s="268"/>
      <c r="AN80" s="268"/>
      <c r="AO80" s="258"/>
      <c r="AP80" s="258"/>
      <c r="AQ80" s="258"/>
      <c r="AR80" s="260"/>
    </row>
    <row r="81" spans="11:59" ht="18.75" customHeight="1" x14ac:dyDescent="0.25">
      <c r="K81" s="262"/>
      <c r="L81" s="262"/>
      <c r="M81" s="262"/>
      <c r="N81" s="262"/>
      <c r="O81" s="262"/>
      <c r="P81" s="262"/>
      <c r="Q81" s="266"/>
      <c r="R81" s="260"/>
      <c r="S81" s="260"/>
      <c r="T81" s="264"/>
      <c r="U81" s="264"/>
      <c r="AF81" s="268"/>
      <c r="AG81" s="268"/>
      <c r="AH81" s="268"/>
      <c r="AJ81" s="260"/>
      <c r="AK81" s="260"/>
      <c r="AL81" s="268"/>
      <c r="AM81" s="268"/>
      <c r="AN81" s="268"/>
      <c r="AO81" s="258"/>
      <c r="AP81" s="258"/>
      <c r="AQ81" s="258"/>
      <c r="AR81" s="260"/>
      <c r="BG81" s="188" t="s">
        <v>304</v>
      </c>
    </row>
    <row r="82" spans="11:59" ht="18.75" customHeight="1" x14ac:dyDescent="0.25">
      <c r="K82" s="262"/>
      <c r="L82" s="262"/>
      <c r="M82" s="262"/>
      <c r="N82" s="262"/>
      <c r="O82" s="262"/>
      <c r="P82" s="262"/>
      <c r="Q82" s="266"/>
      <c r="R82" s="260"/>
      <c r="S82" s="260"/>
      <c r="T82" s="264"/>
      <c r="U82" s="264"/>
      <c r="AL82" s="268"/>
      <c r="AM82" s="268"/>
      <c r="AN82" s="268"/>
      <c r="AO82" s="258"/>
      <c r="AP82" s="258"/>
      <c r="AQ82" s="258"/>
      <c r="AR82" s="260"/>
    </row>
  </sheetData>
  <mergeCells count="576">
    <mergeCell ref="AL62:AM62"/>
    <mergeCell ref="AL71:AM71"/>
    <mergeCell ref="AL73:AM73"/>
    <mergeCell ref="AL78:AM78"/>
    <mergeCell ref="J71:P71"/>
    <mergeCell ref="U71:AG71"/>
    <mergeCell ref="J73:P73"/>
    <mergeCell ref="U73:AG73"/>
    <mergeCell ref="J78:P78"/>
    <mergeCell ref="U78:AG78"/>
    <mergeCell ref="O76:O77"/>
    <mergeCell ref="P74:P75"/>
    <mergeCell ref="P76:P77"/>
    <mergeCell ref="V74:V75"/>
    <mergeCell ref="R74:R75"/>
    <mergeCell ref="Z74:Z75"/>
    <mergeCell ref="M74:M75"/>
    <mergeCell ref="M76:M77"/>
    <mergeCell ref="M63:M64"/>
    <mergeCell ref="M65:M66"/>
    <mergeCell ref="AB63:AB70"/>
    <mergeCell ref="AD69:AD70"/>
    <mergeCell ref="K63:K64"/>
    <mergeCell ref="K65:K66"/>
    <mergeCell ref="L21:L22"/>
    <mergeCell ref="K8:K11"/>
    <mergeCell ref="U6:AG6"/>
    <mergeCell ref="J17:P17"/>
    <mergeCell ref="U17:AG17"/>
    <mergeCell ref="J24:P24"/>
    <mergeCell ref="U24:AG24"/>
    <mergeCell ref="J30:P30"/>
    <mergeCell ref="U30:AG30"/>
    <mergeCell ref="K14:K16"/>
    <mergeCell ref="L25:L26"/>
    <mergeCell ref="L27:L28"/>
    <mergeCell ref="K12:K13"/>
    <mergeCell ref="Y27:Y29"/>
    <mergeCell ref="Y18:Y23"/>
    <mergeCell ref="L14:L16"/>
    <mergeCell ref="Z18:Z23"/>
    <mergeCell ref="Z25:Z29"/>
    <mergeCell ref="X18:X23"/>
    <mergeCell ref="AT40:AT45"/>
    <mergeCell ref="AU18:AU23"/>
    <mergeCell ref="J46:P46"/>
    <mergeCell ref="J56:P56"/>
    <mergeCell ref="J62:P62"/>
    <mergeCell ref="U74:U75"/>
    <mergeCell ref="N74:N75"/>
    <mergeCell ref="N76:N77"/>
    <mergeCell ref="AV3:AV5"/>
    <mergeCell ref="AU7:AU16"/>
    <mergeCell ref="Z76:Z77"/>
    <mergeCell ref="P3:P5"/>
    <mergeCell ref="P8:P11"/>
    <mergeCell ref="P12:P13"/>
    <mergeCell ref="P14:P16"/>
    <mergeCell ref="P19:P20"/>
    <mergeCell ref="P21:P22"/>
    <mergeCell ref="P25:P26"/>
    <mergeCell ref="P27:P28"/>
    <mergeCell ref="P31:P34"/>
    <mergeCell ref="J6:P6"/>
    <mergeCell ref="K19:K20"/>
    <mergeCell ref="K21:K22"/>
    <mergeCell ref="L19:L20"/>
    <mergeCell ref="BB74:BB75"/>
    <mergeCell ref="AV7:AV16"/>
    <mergeCell ref="BA76:BA77"/>
    <mergeCell ref="AC47:AC55"/>
    <mergeCell ref="AC57:AC61"/>
    <mergeCell ref="AF10:AF16"/>
    <mergeCell ref="AF18:AF23"/>
    <mergeCell ref="AF27:AF29"/>
    <mergeCell ref="AD27:AD29"/>
    <mergeCell ref="AS47:AS55"/>
    <mergeCell ref="AT47:AT55"/>
    <mergeCell ref="AM57:AM61"/>
    <mergeCell ref="AS57:AS61"/>
    <mergeCell ref="AT57:AT61"/>
    <mergeCell ref="AX7:AX16"/>
    <mergeCell ref="AC7:AC16"/>
    <mergeCell ref="AC18:AC23"/>
    <mergeCell ref="AU31:AU38"/>
    <mergeCell ref="AV31:AV38"/>
    <mergeCell ref="AH10:AH16"/>
    <mergeCell ref="AH18:AH23"/>
    <mergeCell ref="AH27:AH29"/>
    <mergeCell ref="U62:AG62"/>
    <mergeCell ref="AW74:AW75"/>
    <mergeCell ref="AU40:AU45"/>
    <mergeCell ref="AV40:AV45"/>
    <mergeCell ref="BB76:BB77"/>
    <mergeCell ref="AC63:AC70"/>
    <mergeCell ref="AV18:AV23"/>
    <mergeCell ref="AU25:AU29"/>
    <mergeCell ref="AV25:AV29"/>
    <mergeCell ref="AL3:AL5"/>
    <mergeCell ref="AL7:AL16"/>
    <mergeCell ref="AL18:AL23"/>
    <mergeCell ref="AL25:AL29"/>
    <mergeCell ref="BB47:BB55"/>
    <mergeCell ref="BB40:BB45"/>
    <mergeCell ref="AX3:AX5"/>
    <mergeCell ref="AC3:AC5"/>
    <mergeCell ref="AU47:AU55"/>
    <mergeCell ref="AV47:AV55"/>
    <mergeCell ref="AU57:AU61"/>
    <mergeCell ref="AV57:AV61"/>
    <mergeCell ref="AT31:AT38"/>
    <mergeCell ref="AM40:AM45"/>
    <mergeCell ref="AS40:AS45"/>
    <mergeCell ref="AM47:AM55"/>
    <mergeCell ref="AU3:AU5"/>
    <mergeCell ref="BB57:BB61"/>
    <mergeCell ref="BB63:BB70"/>
    <mergeCell ref="AY31:AY38"/>
    <mergeCell ref="AY40:AY45"/>
    <mergeCell ref="AY47:AY55"/>
    <mergeCell ref="AZ18:AZ23"/>
    <mergeCell ref="AZ25:AZ29"/>
    <mergeCell ref="AX18:AX23"/>
    <mergeCell ref="AX25:AX29"/>
    <mergeCell ref="AX31:AX38"/>
    <mergeCell ref="AX40:AX45"/>
    <mergeCell ref="AX47:AX55"/>
    <mergeCell ref="AX57:AX61"/>
    <mergeCell ref="AY57:AY61"/>
    <mergeCell ref="AZ57:AZ61"/>
    <mergeCell ref="AZ76:AZ77"/>
    <mergeCell ref="AY76:AY77"/>
    <mergeCell ref="AX76:AX77"/>
    <mergeCell ref="V76:V77"/>
    <mergeCell ref="W74:W75"/>
    <mergeCell ref="W76:W77"/>
    <mergeCell ref="AH63:AH68"/>
    <mergeCell ref="AU76:AU77"/>
    <mergeCell ref="AV76:AV77"/>
    <mergeCell ref="AU63:AU70"/>
    <mergeCell ref="AV63:AV70"/>
    <mergeCell ref="AU74:AU75"/>
    <mergeCell ref="AV74:AV75"/>
    <mergeCell ref="AT63:AT70"/>
    <mergeCell ref="AX74:AX75"/>
    <mergeCell ref="AZ74:AZ75"/>
    <mergeCell ref="AX63:AX70"/>
    <mergeCell ref="AY63:AY70"/>
    <mergeCell ref="AY74:AY75"/>
    <mergeCell ref="AM63:AM70"/>
    <mergeCell ref="AZ63:AZ70"/>
    <mergeCell ref="AB74:AB75"/>
    <mergeCell ref="AG63:AG68"/>
    <mergeCell ref="AH69:AH70"/>
    <mergeCell ref="BF76:BF77"/>
    <mergeCell ref="BF74:BF75"/>
    <mergeCell ref="BE63:BE70"/>
    <mergeCell ref="BD63:BD70"/>
    <mergeCell ref="BD74:BD75"/>
    <mergeCell ref="BD76:BD77"/>
    <mergeCell ref="BE74:BE75"/>
    <mergeCell ref="BE76:BE77"/>
    <mergeCell ref="BC76:BC77"/>
    <mergeCell ref="BC74:BC75"/>
    <mergeCell ref="BF63:BF70"/>
    <mergeCell ref="BC63:BC70"/>
    <mergeCell ref="N3:N5"/>
    <mergeCell ref="N8:N11"/>
    <mergeCell ref="N12:N13"/>
    <mergeCell ref="N14:N16"/>
    <mergeCell ref="N19:N20"/>
    <mergeCell ref="N21:N22"/>
    <mergeCell ref="N25:N26"/>
    <mergeCell ref="N27:N28"/>
    <mergeCell ref="N31:N34"/>
    <mergeCell ref="V3:V5"/>
    <mergeCell ref="P41:P44"/>
    <mergeCell ref="P50:P55"/>
    <mergeCell ref="P58:P60"/>
    <mergeCell ref="W3:W5"/>
    <mergeCell ref="V7:V16"/>
    <mergeCell ref="W7:W16"/>
    <mergeCell ref="V18:V23"/>
    <mergeCell ref="W18:W23"/>
    <mergeCell ref="V25:V29"/>
    <mergeCell ref="W25:W29"/>
    <mergeCell ref="S3:S5"/>
    <mergeCell ref="R14:R16"/>
    <mergeCell ref="R12:R13"/>
    <mergeCell ref="R8:R11"/>
    <mergeCell ref="R19:R20"/>
    <mergeCell ref="R21:R22"/>
    <mergeCell ref="J39:P39"/>
    <mergeCell ref="U39:AG39"/>
    <mergeCell ref="L31:L34"/>
    <mergeCell ref="N35:N38"/>
    <mergeCell ref="Z31:Z38"/>
    <mergeCell ref="AC31:AC38"/>
    <mergeCell ref="BA3:BA5"/>
    <mergeCell ref="BA7:BA16"/>
    <mergeCell ref="BA18:BA23"/>
    <mergeCell ref="BA25:BA29"/>
    <mergeCell ref="BA31:BA38"/>
    <mergeCell ref="BA40:BA45"/>
    <mergeCell ref="BA47:BA55"/>
    <mergeCell ref="BA57:BA61"/>
    <mergeCell ref="BA63:BA70"/>
    <mergeCell ref="BA74:BA75"/>
    <mergeCell ref="AE10:AE16"/>
    <mergeCell ref="AE18:AE23"/>
    <mergeCell ref="AE27:AE29"/>
    <mergeCell ref="AE63:AE68"/>
    <mergeCell ref="AE69:AE70"/>
    <mergeCell ref="AG10:AG16"/>
    <mergeCell ref="AZ3:AZ5"/>
    <mergeCell ref="AZ7:AZ16"/>
    <mergeCell ref="AY3:AY5"/>
    <mergeCell ref="AY7:AY16"/>
    <mergeCell ref="AY18:AY23"/>
    <mergeCell ref="AY25:AY29"/>
    <mergeCell ref="AL63:AL70"/>
    <mergeCell ref="AZ31:AZ38"/>
    <mergeCell ref="AZ40:AZ45"/>
    <mergeCell ref="AZ47:AZ55"/>
    <mergeCell ref="AG69:AG70"/>
    <mergeCell ref="AS3:AS5"/>
    <mergeCell ref="AT3:AT5"/>
    <mergeCell ref="AS7:AS16"/>
    <mergeCell ref="AT7:AT16"/>
    <mergeCell ref="AS18:AS23"/>
    <mergeCell ref="AT18:AT23"/>
    <mergeCell ref="H3:H5"/>
    <mergeCell ref="H74:H75"/>
    <mergeCell ref="H76:H77"/>
    <mergeCell ref="I74:I75"/>
    <mergeCell ref="I76:I77"/>
    <mergeCell ref="M3:M5"/>
    <mergeCell ref="H8:H11"/>
    <mergeCell ref="H12:H13"/>
    <mergeCell ref="H14:H16"/>
    <mergeCell ref="M8:M11"/>
    <mergeCell ref="M12:M13"/>
    <mergeCell ref="M14:M16"/>
    <mergeCell ref="M19:M20"/>
    <mergeCell ref="M21:M22"/>
    <mergeCell ref="M25:M26"/>
    <mergeCell ref="I3:I45"/>
    <mergeCell ref="K74:K75"/>
    <mergeCell ref="L74:L75"/>
    <mergeCell ref="L76:L77"/>
    <mergeCell ref="K3:K5"/>
    <mergeCell ref="K76:K77"/>
    <mergeCell ref="L3:L5"/>
    <mergeCell ref="L8:L11"/>
    <mergeCell ref="L12:L13"/>
    <mergeCell ref="Z40:Z45"/>
    <mergeCell ref="Z47:Z55"/>
    <mergeCell ref="Z57:Z61"/>
    <mergeCell ref="Z63:Z70"/>
    <mergeCell ref="W31:W38"/>
    <mergeCell ref="M27:M28"/>
    <mergeCell ref="M31:M34"/>
    <mergeCell ref="M35:M38"/>
    <mergeCell ref="M41:M44"/>
    <mergeCell ref="M50:M55"/>
    <mergeCell ref="M58:M60"/>
    <mergeCell ref="X27:X29"/>
    <mergeCell ref="P35:P38"/>
    <mergeCell ref="BD40:BD45"/>
    <mergeCell ref="BE3:BE5"/>
    <mergeCell ref="BE7:BE16"/>
    <mergeCell ref="BE18:BE23"/>
    <mergeCell ref="BE25:BE29"/>
    <mergeCell ref="BE31:BE38"/>
    <mergeCell ref="BE40:BE45"/>
    <mergeCell ref="BE47:BE55"/>
    <mergeCell ref="BB3:BB5"/>
    <mergeCell ref="BB31:BB38"/>
    <mergeCell ref="BB25:BB29"/>
    <mergeCell ref="BB18:BB23"/>
    <mergeCell ref="BB7:BB16"/>
    <mergeCell ref="BE57:BE61"/>
    <mergeCell ref="BD47:BD55"/>
    <mergeCell ref="BD57:BD61"/>
    <mergeCell ref="AW3:AW5"/>
    <mergeCell ref="BF3:BF5"/>
    <mergeCell ref="BF18:BF23"/>
    <mergeCell ref="BF31:BF38"/>
    <mergeCell ref="BF40:BF45"/>
    <mergeCell ref="BF47:BF55"/>
    <mergeCell ref="BF57:BF61"/>
    <mergeCell ref="BC3:BC5"/>
    <mergeCell ref="BC7:BC16"/>
    <mergeCell ref="BC18:BC23"/>
    <mergeCell ref="BC25:BC29"/>
    <mergeCell ref="BC31:BC38"/>
    <mergeCell ref="BC40:BC45"/>
    <mergeCell ref="BC47:BC55"/>
    <mergeCell ref="BC57:BC61"/>
    <mergeCell ref="BD3:BD5"/>
    <mergeCell ref="BD7:BD16"/>
    <mergeCell ref="BD18:BD23"/>
    <mergeCell ref="BD25:BD29"/>
    <mergeCell ref="BD31:BD38"/>
    <mergeCell ref="BF7:BF16"/>
    <mergeCell ref="BF25:BF29"/>
    <mergeCell ref="AA74:AA75"/>
    <mergeCell ref="AA76:AA77"/>
    <mergeCell ref="AB76:AB77"/>
    <mergeCell ref="AT74:AT75"/>
    <mergeCell ref="AM74:AM75"/>
    <mergeCell ref="AM76:AM77"/>
    <mergeCell ref="AL74:AL75"/>
    <mergeCell ref="AL76:AL77"/>
    <mergeCell ref="AS74:AS75"/>
    <mergeCell ref="AS76:AS77"/>
    <mergeCell ref="AT76:AT77"/>
    <mergeCell ref="AC74:AC75"/>
    <mergeCell ref="AC76:AC77"/>
    <mergeCell ref="AW31:AW38"/>
    <mergeCell ref="AW40:AW45"/>
    <mergeCell ref="AW47:AW55"/>
    <mergeCell ref="AW57:AW61"/>
    <mergeCell ref="AW63:AW70"/>
    <mergeCell ref="AF60:AF61"/>
    <mergeCell ref="AG60:AG61"/>
    <mergeCell ref="AW76:AW77"/>
    <mergeCell ref="AF63:AF68"/>
    <mergeCell ref="AF69:AF70"/>
    <mergeCell ref="AE60:AE61"/>
    <mergeCell ref="O63:O64"/>
    <mergeCell ref="O65:O66"/>
    <mergeCell ref="P63:P64"/>
    <mergeCell ref="P65:P66"/>
    <mergeCell ref="N58:N60"/>
    <mergeCell ref="R63:R64"/>
    <mergeCell ref="AD60:AD61"/>
    <mergeCell ref="AD63:AD68"/>
    <mergeCell ref="G74:G75"/>
    <mergeCell ref="G76:G77"/>
    <mergeCell ref="J3:J5"/>
    <mergeCell ref="J8:J11"/>
    <mergeCell ref="J12:J13"/>
    <mergeCell ref="J14:J16"/>
    <mergeCell ref="J19:J20"/>
    <mergeCell ref="J21:J22"/>
    <mergeCell ref="J25:J26"/>
    <mergeCell ref="J27:J28"/>
    <mergeCell ref="J31:J34"/>
    <mergeCell ref="J35:J38"/>
    <mergeCell ref="J41:J44"/>
    <mergeCell ref="J50:J55"/>
    <mergeCell ref="G63:G64"/>
    <mergeCell ref="G65:G66"/>
    <mergeCell ref="G35:G38"/>
    <mergeCell ref="G41:G44"/>
    <mergeCell ref="J74:J75"/>
    <mergeCell ref="J76:J77"/>
    <mergeCell ref="J58:J60"/>
    <mergeCell ref="H19:H20"/>
    <mergeCell ref="H21:H22"/>
    <mergeCell ref="H25:H26"/>
    <mergeCell ref="H27:H28"/>
    <mergeCell ref="H31:H34"/>
    <mergeCell ref="H35:H38"/>
    <mergeCell ref="H41:H44"/>
    <mergeCell ref="H50:H55"/>
    <mergeCell ref="H63:H64"/>
    <mergeCell ref="G58:G60"/>
    <mergeCell ref="G21:G22"/>
    <mergeCell ref="G25:G26"/>
    <mergeCell ref="G27:G28"/>
    <mergeCell ref="G31:G34"/>
    <mergeCell ref="G3:G5"/>
    <mergeCell ref="G8:G11"/>
    <mergeCell ref="G12:G13"/>
    <mergeCell ref="G14:G16"/>
    <mergeCell ref="G19:G20"/>
    <mergeCell ref="G50:G55"/>
    <mergeCell ref="F31:F38"/>
    <mergeCell ref="F40:F45"/>
    <mergeCell ref="F47:F55"/>
    <mergeCell ref="F57:F61"/>
    <mergeCell ref="F63:F70"/>
    <mergeCell ref="F3:F5"/>
    <mergeCell ref="F7:F16"/>
    <mergeCell ref="F18:F23"/>
    <mergeCell ref="F25:F29"/>
    <mergeCell ref="F74:F75"/>
    <mergeCell ref="C76:C77"/>
    <mergeCell ref="D76:D77"/>
    <mergeCell ref="F76:F77"/>
    <mergeCell ref="A74:A77"/>
    <mergeCell ref="B74:B77"/>
    <mergeCell ref="C74:C75"/>
    <mergeCell ref="D74:D75"/>
    <mergeCell ref="E74:E77"/>
    <mergeCell ref="E47:E61"/>
    <mergeCell ref="A63:A72"/>
    <mergeCell ref="B63:B72"/>
    <mergeCell ref="D63:D64"/>
    <mergeCell ref="D65:D66"/>
    <mergeCell ref="C69:C70"/>
    <mergeCell ref="D69:D70"/>
    <mergeCell ref="E69:E70"/>
    <mergeCell ref="E1:AM1"/>
    <mergeCell ref="A3:A61"/>
    <mergeCell ref="B3:B45"/>
    <mergeCell ref="C3:C45"/>
    <mergeCell ref="D3:D45"/>
    <mergeCell ref="E3:E45"/>
    <mergeCell ref="B47:B61"/>
    <mergeCell ref="C47:C61"/>
    <mergeCell ref="D47:D61"/>
    <mergeCell ref="U3:U5"/>
    <mergeCell ref="U7:U16"/>
    <mergeCell ref="U18:U23"/>
    <mergeCell ref="U25:U29"/>
    <mergeCell ref="U31:U38"/>
    <mergeCell ref="U40:U45"/>
    <mergeCell ref="U47:U55"/>
    <mergeCell ref="AM3:AM5"/>
    <mergeCell ref="AM7:AM16"/>
    <mergeCell ref="AM18:AM23"/>
    <mergeCell ref="AL6:AM6"/>
    <mergeCell ref="AL17:AM17"/>
    <mergeCell ref="AG27:AG29"/>
    <mergeCell ref="AG18:AG23"/>
    <mergeCell ref="AC25:AC29"/>
    <mergeCell ref="AW7:AW16"/>
    <mergeCell ref="AW18:AW23"/>
    <mergeCell ref="AW25:AW29"/>
    <mergeCell ref="X10:X16"/>
    <mergeCell ref="Y10:Y16"/>
    <mergeCell ref="AD10:AD16"/>
    <mergeCell ref="AM25:AM29"/>
    <mergeCell ref="AS25:AS29"/>
    <mergeCell ref="AT25:AT29"/>
    <mergeCell ref="AM31:AM38"/>
    <mergeCell ref="AS31:AS38"/>
    <mergeCell ref="AB25:AB29"/>
    <mergeCell ref="AB31:AB38"/>
    <mergeCell ref="AA25:AA29"/>
    <mergeCell ref="AL24:AM24"/>
    <mergeCell ref="AL30:AM30"/>
    <mergeCell ref="K25:K26"/>
    <mergeCell ref="K27:K28"/>
    <mergeCell ref="R27:R28"/>
    <mergeCell ref="I69:I70"/>
    <mergeCell ref="AA47:AA55"/>
    <mergeCell ref="AA57:AA61"/>
    <mergeCell ref="AA63:AA70"/>
    <mergeCell ref="U57:U61"/>
    <mergeCell ref="U63:U70"/>
    <mergeCell ref="V47:V55"/>
    <mergeCell ref="W47:W55"/>
    <mergeCell ref="V57:V61"/>
    <mergeCell ref="W57:W61"/>
    <mergeCell ref="V63:V70"/>
    <mergeCell ref="W63:W70"/>
    <mergeCell ref="J65:J66"/>
    <mergeCell ref="X60:X61"/>
    <mergeCell ref="Y60:Y61"/>
    <mergeCell ref="X63:X68"/>
    <mergeCell ref="X69:X70"/>
    <mergeCell ref="Y63:Y68"/>
    <mergeCell ref="Y69:Y70"/>
    <mergeCell ref="N50:N55"/>
    <mergeCell ref="L65:L66"/>
    <mergeCell ref="I47:I61"/>
    <mergeCell ref="L50:L55"/>
    <mergeCell ref="L58:L60"/>
    <mergeCell ref="H65:H66"/>
    <mergeCell ref="I63:I64"/>
    <mergeCell ref="I65:I66"/>
    <mergeCell ref="N63:N64"/>
    <mergeCell ref="N65:N66"/>
    <mergeCell ref="K35:K38"/>
    <mergeCell ref="K41:K44"/>
    <mergeCell ref="V31:V38"/>
    <mergeCell ref="K50:K55"/>
    <mergeCell ref="R65:R66"/>
    <mergeCell ref="L41:L44"/>
    <mergeCell ref="K31:K34"/>
    <mergeCell ref="N41:N44"/>
    <mergeCell ref="L35:L38"/>
    <mergeCell ref="K58:K60"/>
    <mergeCell ref="H58:H60"/>
    <mergeCell ref="J63:J64"/>
    <mergeCell ref="R31:R34"/>
    <mergeCell ref="R35:R38"/>
    <mergeCell ref="L63:L64"/>
    <mergeCell ref="O58:O60"/>
    <mergeCell ref="AB40:AB45"/>
    <mergeCell ref="AB47:AB55"/>
    <mergeCell ref="AB57:AB61"/>
    <mergeCell ref="O35:O38"/>
    <mergeCell ref="O41:O44"/>
    <mergeCell ref="O50:O55"/>
    <mergeCell ref="AL31:AL38"/>
    <mergeCell ref="AL40:AL45"/>
    <mergeCell ref="AL47:AL55"/>
    <mergeCell ref="R50:R55"/>
    <mergeCell ref="R58:R60"/>
    <mergeCell ref="AA31:AA38"/>
    <mergeCell ref="AA40:AA45"/>
    <mergeCell ref="V40:V45"/>
    <mergeCell ref="W40:W45"/>
    <mergeCell ref="AC40:AC45"/>
    <mergeCell ref="AL57:AL61"/>
    <mergeCell ref="AH60:AH61"/>
    <mergeCell ref="U46:AG46"/>
    <mergeCell ref="U56:AG56"/>
    <mergeCell ref="R41:R44"/>
    <mergeCell ref="AL39:AM39"/>
    <mergeCell ref="AL46:AM46"/>
    <mergeCell ref="AL56:AM56"/>
    <mergeCell ref="BG40:BG45"/>
    <mergeCell ref="BG47:BG55"/>
    <mergeCell ref="BG57:BG61"/>
    <mergeCell ref="BG63:BG70"/>
    <mergeCell ref="O74:O75"/>
    <mergeCell ref="AS63:AS70"/>
    <mergeCell ref="O3:O5"/>
    <mergeCell ref="O8:O11"/>
    <mergeCell ref="O12:O13"/>
    <mergeCell ref="O14:O16"/>
    <mergeCell ref="O19:O20"/>
    <mergeCell ref="O21:O22"/>
    <mergeCell ref="O25:O26"/>
    <mergeCell ref="O27:O28"/>
    <mergeCell ref="O31:O34"/>
    <mergeCell ref="AA3:AA5"/>
    <mergeCell ref="AA7:AA16"/>
    <mergeCell ref="AA18:AA23"/>
    <mergeCell ref="Z3:Z5"/>
    <mergeCell ref="Z7:Z16"/>
    <mergeCell ref="AD18:AD23"/>
    <mergeCell ref="AB3:AB5"/>
    <mergeCell ref="AB7:AB16"/>
    <mergeCell ref="AB18:AB23"/>
    <mergeCell ref="BG74:BG75"/>
    <mergeCell ref="BG76:BG77"/>
    <mergeCell ref="Q3:Q5"/>
    <mergeCell ref="Q8:Q11"/>
    <mergeCell ref="Q12:Q13"/>
    <mergeCell ref="Q14:Q16"/>
    <mergeCell ref="Q19:Q20"/>
    <mergeCell ref="Q21:Q22"/>
    <mergeCell ref="Q25:Q26"/>
    <mergeCell ref="Q27:Q28"/>
    <mergeCell ref="Q31:Q34"/>
    <mergeCell ref="Q35:Q38"/>
    <mergeCell ref="Q41:Q44"/>
    <mergeCell ref="Q50:Q55"/>
    <mergeCell ref="Q58:Q60"/>
    <mergeCell ref="Q63:Q64"/>
    <mergeCell ref="Q65:Q66"/>
    <mergeCell ref="Q74:Q75"/>
    <mergeCell ref="Q76:Q77"/>
    <mergeCell ref="BG3:BG5"/>
    <mergeCell ref="BG7:BG16"/>
    <mergeCell ref="BG18:BG23"/>
    <mergeCell ref="BG25:BG29"/>
    <mergeCell ref="BG31:BG38"/>
    <mergeCell ref="AQ79:AQ82"/>
    <mergeCell ref="AR79:AR82"/>
    <mergeCell ref="K79:P82"/>
    <mergeCell ref="R79:S82"/>
    <mergeCell ref="T79:U82"/>
    <mergeCell ref="Q79:Q82"/>
    <mergeCell ref="AF79:AH81"/>
    <mergeCell ref="AJ79:AK81"/>
    <mergeCell ref="AL79:AN82"/>
    <mergeCell ref="AO79:AO82"/>
    <mergeCell ref="AP79:AP8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96"/>
  <sheetViews>
    <sheetView workbookViewId="0">
      <selection sqref="A1:BM1048576"/>
    </sheetView>
  </sheetViews>
  <sheetFormatPr baseColWidth="10" defaultRowHeight="15" x14ac:dyDescent="0.25"/>
  <cols>
    <col min="1" max="1" width="10.140625" customWidth="1"/>
    <col min="2" max="2" width="8.85546875" customWidth="1"/>
    <col min="3" max="3" width="15.140625" customWidth="1"/>
    <col min="4" max="4" width="19.5703125" customWidth="1"/>
    <col min="5" max="7" width="24.7109375" customWidth="1"/>
    <col min="8" max="8" width="13.5703125" customWidth="1"/>
    <col min="9" max="9" width="22.5703125" customWidth="1"/>
    <col min="10" max="10" width="19.42578125" customWidth="1"/>
    <col min="11" max="11" width="17.85546875" customWidth="1"/>
    <col min="12" max="12" width="15.5703125" customWidth="1"/>
    <col min="13" max="13" width="29.85546875" customWidth="1"/>
    <col min="14" max="14" width="12.140625" customWidth="1"/>
    <col min="15" max="16" width="12.5703125" customWidth="1"/>
    <col min="17" max="17" width="15.42578125" customWidth="1"/>
    <col min="18" max="18" width="14.5703125" customWidth="1"/>
    <col min="19" max="19" width="22.5703125" customWidth="1"/>
    <col min="20" max="20" width="8.140625" customWidth="1"/>
    <col min="21" max="21" width="8" customWidth="1"/>
    <col min="22" max="22" width="17.85546875" customWidth="1"/>
    <col min="23" max="25" width="17.42578125" customWidth="1"/>
    <col min="26" max="26" width="8.5703125" customWidth="1"/>
    <col min="27" max="27" width="7.85546875" customWidth="1"/>
    <col min="28" max="28" width="10.42578125" customWidth="1"/>
    <col min="29" max="29" width="7.140625" customWidth="1"/>
    <col min="30" max="30" width="8" customWidth="1"/>
    <col min="31" max="31" width="10.5703125" customWidth="1"/>
    <col min="32" max="32" width="7.85546875" customWidth="1"/>
    <col min="33" max="33" width="9.5703125" customWidth="1"/>
    <col min="34" max="34" width="9" customWidth="1"/>
    <col min="35" max="35" width="10.5703125" customWidth="1"/>
    <col min="36" max="36" width="9.5703125" customWidth="1"/>
    <col min="37" max="37" width="14.42578125" customWidth="1"/>
    <col min="38" max="38" width="26" customWidth="1"/>
    <col min="39" max="39" width="26.42578125" customWidth="1"/>
    <col min="40" max="40" width="27.5703125" customWidth="1"/>
    <col min="41" max="41" width="20.140625" customWidth="1"/>
    <col min="42" max="42" width="23.85546875" customWidth="1"/>
    <col min="43" max="43" width="20.5703125" customWidth="1"/>
    <col min="44" max="44" width="22" customWidth="1"/>
    <col min="45" max="45" width="15" customWidth="1"/>
    <col min="46" max="46" width="22" style="255" customWidth="1"/>
    <col min="47" max="47" width="22.42578125" customWidth="1"/>
    <col min="48" max="48" width="22.42578125" style="255" customWidth="1"/>
    <col min="49" max="49" width="20.85546875" customWidth="1"/>
    <col min="50" max="50" width="24.42578125" customWidth="1"/>
    <col min="51" max="51" width="20.140625" customWidth="1"/>
    <col min="52" max="52" width="20.5703125" customWidth="1"/>
    <col min="53" max="53" width="20.140625" customWidth="1"/>
    <col min="54" max="56" width="21.42578125" customWidth="1"/>
    <col min="57" max="60" width="20.5703125" customWidth="1"/>
    <col min="61" max="61" width="27.85546875" customWidth="1"/>
    <col min="62" max="62" width="26.5703125" customWidth="1"/>
    <col min="63" max="63" width="54.85546875" customWidth="1"/>
    <col min="64" max="64" width="67.42578125" style="86" customWidth="1"/>
  </cols>
  <sheetData>
    <row r="1" spans="1:65" x14ac:dyDescent="0.25">
      <c r="A1" s="430"/>
      <c r="B1" s="433" t="s">
        <v>326</v>
      </c>
      <c r="C1" s="434"/>
      <c r="D1" s="434"/>
      <c r="E1" s="434"/>
      <c r="F1" s="434"/>
      <c r="G1" s="434"/>
      <c r="H1" s="434"/>
      <c r="I1" s="434"/>
      <c r="J1" s="434"/>
      <c r="K1" s="434"/>
      <c r="L1" s="434"/>
      <c r="M1" s="434"/>
      <c r="N1" s="434"/>
      <c r="O1" s="434"/>
      <c r="P1" s="434"/>
      <c r="Q1" s="434"/>
      <c r="R1" s="434"/>
      <c r="S1" s="434"/>
      <c r="T1" s="434"/>
      <c r="U1" s="434"/>
      <c r="V1" s="434"/>
      <c r="W1" s="434"/>
      <c r="X1" s="434"/>
      <c r="Y1" s="434"/>
      <c r="Z1" s="434"/>
      <c r="AA1" s="434"/>
      <c r="AB1" s="434"/>
      <c r="AC1" s="434"/>
      <c r="AD1" s="434"/>
      <c r="AE1" s="434"/>
      <c r="AF1" s="434"/>
      <c r="AG1" s="434"/>
      <c r="AH1" s="434"/>
      <c r="AI1" s="434"/>
      <c r="AJ1" s="434"/>
      <c r="AK1" s="434"/>
      <c r="AL1" s="434"/>
      <c r="AM1" s="434"/>
      <c r="AN1" s="434"/>
      <c r="AO1" s="434"/>
      <c r="AP1" s="434"/>
      <c r="AQ1" s="434"/>
      <c r="AR1" s="434"/>
      <c r="AS1" s="434"/>
      <c r="AT1" s="434"/>
      <c r="AU1" s="434"/>
      <c r="AV1" s="434"/>
      <c r="AW1" s="434"/>
      <c r="AX1" s="434"/>
      <c r="AY1" s="434"/>
      <c r="AZ1" s="434"/>
      <c r="BA1" s="434"/>
      <c r="BB1" s="434"/>
      <c r="BC1" s="434"/>
      <c r="BD1" s="434"/>
      <c r="BE1" s="434"/>
      <c r="BF1" s="434"/>
      <c r="BG1" s="434"/>
      <c r="BH1" s="434"/>
      <c r="BI1" s="434"/>
      <c r="BJ1" s="435"/>
      <c r="BK1" s="231" t="s">
        <v>327</v>
      </c>
    </row>
    <row r="2" spans="1:65" x14ac:dyDescent="0.25">
      <c r="A2" s="431"/>
      <c r="B2" s="433" t="s">
        <v>328</v>
      </c>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434"/>
      <c r="AO2" s="434"/>
      <c r="AP2" s="434"/>
      <c r="AQ2" s="434"/>
      <c r="AR2" s="434"/>
      <c r="AS2" s="434"/>
      <c r="AT2" s="434"/>
      <c r="AU2" s="434"/>
      <c r="AV2" s="434"/>
      <c r="AW2" s="434"/>
      <c r="AX2" s="434"/>
      <c r="AY2" s="434"/>
      <c r="AZ2" s="434"/>
      <c r="BA2" s="434"/>
      <c r="BB2" s="434"/>
      <c r="BC2" s="434"/>
      <c r="BD2" s="434"/>
      <c r="BE2" s="434"/>
      <c r="BF2" s="434"/>
      <c r="BG2" s="434"/>
      <c r="BH2" s="434"/>
      <c r="BI2" s="434"/>
      <c r="BJ2" s="435"/>
      <c r="BK2" s="232" t="s">
        <v>329</v>
      </c>
    </row>
    <row r="3" spans="1:65" x14ac:dyDescent="0.25">
      <c r="A3" s="431"/>
      <c r="B3" s="436" t="s">
        <v>330</v>
      </c>
      <c r="C3" s="437"/>
      <c r="D3" s="437"/>
      <c r="E3" s="437"/>
      <c r="F3" s="437"/>
      <c r="G3" s="437"/>
      <c r="H3" s="437"/>
      <c r="I3" s="437"/>
      <c r="J3" s="437"/>
      <c r="K3" s="437"/>
      <c r="L3" s="437"/>
      <c r="M3" s="437"/>
      <c r="N3" s="437"/>
      <c r="O3" s="437"/>
      <c r="P3" s="437"/>
      <c r="Q3" s="437"/>
      <c r="R3" s="437"/>
      <c r="S3" s="437"/>
      <c r="T3" s="437"/>
      <c r="U3" s="437"/>
      <c r="V3" s="437"/>
      <c r="W3" s="437"/>
      <c r="X3" s="437"/>
      <c r="Y3" s="437"/>
      <c r="Z3" s="437"/>
      <c r="AA3" s="437"/>
      <c r="AB3" s="437"/>
      <c r="AC3" s="437"/>
      <c r="AD3" s="437"/>
      <c r="AE3" s="437"/>
      <c r="AF3" s="437"/>
      <c r="AG3" s="437"/>
      <c r="AH3" s="437"/>
      <c r="AI3" s="437"/>
      <c r="AJ3" s="437"/>
      <c r="AK3" s="437"/>
      <c r="AL3" s="437"/>
      <c r="AM3" s="437"/>
      <c r="AN3" s="437"/>
      <c r="AO3" s="437"/>
      <c r="AP3" s="437"/>
      <c r="AQ3" s="437"/>
      <c r="AR3" s="437"/>
      <c r="AS3" s="437"/>
      <c r="AT3" s="437"/>
      <c r="AU3" s="437"/>
      <c r="AV3" s="437"/>
      <c r="AW3" s="437"/>
      <c r="AX3" s="437"/>
      <c r="AY3" s="437"/>
      <c r="AZ3" s="437"/>
      <c r="BA3" s="437"/>
      <c r="BB3" s="437"/>
      <c r="BC3" s="437"/>
      <c r="BD3" s="437"/>
      <c r="BE3" s="437"/>
      <c r="BF3" s="437"/>
      <c r="BG3" s="437"/>
      <c r="BH3" s="437"/>
      <c r="BI3" s="437"/>
      <c r="BJ3" s="438"/>
      <c r="BK3" s="232" t="s">
        <v>331</v>
      </c>
    </row>
    <row r="4" spans="1:65" ht="15.75" thickBot="1" x14ac:dyDescent="0.3">
      <c r="A4" s="432"/>
      <c r="B4" s="439" t="s">
        <v>332</v>
      </c>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c r="AI4" s="440"/>
      <c r="AJ4" s="440"/>
      <c r="AK4" s="440"/>
      <c r="AL4" s="440"/>
      <c r="AM4" s="440"/>
      <c r="AN4" s="440"/>
      <c r="AO4" s="440"/>
      <c r="AP4" s="440"/>
      <c r="AQ4" s="440"/>
      <c r="AR4" s="440"/>
      <c r="AS4" s="440"/>
      <c r="AT4" s="440"/>
      <c r="AU4" s="440"/>
      <c r="AV4" s="440"/>
      <c r="AW4" s="440"/>
      <c r="AX4" s="440"/>
      <c r="AY4" s="440"/>
      <c r="AZ4" s="440"/>
      <c r="BA4" s="440"/>
      <c r="BB4" s="440"/>
      <c r="BC4" s="440"/>
      <c r="BD4" s="440"/>
      <c r="BE4" s="440"/>
      <c r="BF4" s="440"/>
      <c r="BG4" s="440"/>
      <c r="BH4" s="440"/>
      <c r="BI4" s="440"/>
      <c r="BJ4" s="441"/>
      <c r="BK4" s="233" t="s">
        <v>333</v>
      </c>
    </row>
    <row r="5" spans="1:65" ht="15.75" thickBot="1" x14ac:dyDescent="0.3">
      <c r="A5" s="442" t="s">
        <v>334</v>
      </c>
      <c r="B5" s="443"/>
      <c r="C5" s="443"/>
      <c r="D5" s="443"/>
      <c r="E5" s="443"/>
      <c r="F5" s="443"/>
      <c r="G5" s="443"/>
      <c r="H5" s="443"/>
      <c r="I5" s="443"/>
      <c r="J5" s="443"/>
      <c r="K5" s="443"/>
      <c r="L5" s="443"/>
      <c r="M5" s="443"/>
      <c r="N5" s="443"/>
      <c r="O5" s="443"/>
      <c r="P5" s="444"/>
      <c r="Q5" s="444"/>
      <c r="R5" s="444"/>
      <c r="S5" s="445"/>
      <c r="T5" s="446" t="s">
        <v>335</v>
      </c>
      <c r="U5" s="447"/>
      <c r="V5" s="447"/>
      <c r="W5" s="447"/>
      <c r="X5" s="447"/>
      <c r="Y5" s="447"/>
      <c r="Z5" s="447"/>
      <c r="AA5" s="447"/>
      <c r="AB5" s="447"/>
      <c r="AC5" s="447"/>
      <c r="AD5" s="447"/>
      <c r="AE5" s="447"/>
      <c r="AF5" s="447"/>
      <c r="AG5" s="447"/>
      <c r="AH5" s="447"/>
      <c r="AI5" s="447"/>
      <c r="AJ5" s="447"/>
      <c r="AK5" s="447"/>
      <c r="AL5" s="447"/>
      <c r="AM5" s="447"/>
      <c r="AN5" s="447"/>
      <c r="AO5" s="447"/>
      <c r="AP5" s="447"/>
      <c r="AQ5" s="447"/>
      <c r="AR5" s="447"/>
      <c r="AS5" s="447"/>
      <c r="AT5" s="447"/>
      <c r="AU5" s="447"/>
      <c r="AV5" s="447"/>
      <c r="AW5" s="447"/>
      <c r="AX5" s="447"/>
      <c r="AY5" s="447"/>
      <c r="AZ5" s="447"/>
      <c r="BA5" s="447"/>
      <c r="BB5" s="447"/>
      <c r="BC5" s="447"/>
      <c r="BD5" s="447"/>
      <c r="BE5" s="447"/>
      <c r="BF5" s="447"/>
      <c r="BG5" s="447"/>
      <c r="BH5" s="447"/>
      <c r="BI5" s="447"/>
      <c r="BJ5" s="447"/>
      <c r="BK5" s="448"/>
    </row>
    <row r="6" spans="1:65" ht="15.75" thickBot="1" x14ac:dyDescent="0.3">
      <c r="A6" s="455" t="s">
        <v>336</v>
      </c>
      <c r="B6" s="452" t="s">
        <v>337</v>
      </c>
      <c r="C6" s="452" t="s">
        <v>338</v>
      </c>
      <c r="D6" s="458" t="s">
        <v>339</v>
      </c>
      <c r="E6" s="452" t="s">
        <v>340</v>
      </c>
      <c r="F6" s="452" t="s">
        <v>341</v>
      </c>
      <c r="G6" s="449" t="s">
        <v>342</v>
      </c>
      <c r="H6" s="449" t="s">
        <v>343</v>
      </c>
      <c r="I6" s="449" t="s">
        <v>344</v>
      </c>
      <c r="J6" s="452" t="s">
        <v>345</v>
      </c>
      <c r="K6" s="452" t="s">
        <v>346</v>
      </c>
      <c r="L6" s="452" t="s">
        <v>347</v>
      </c>
      <c r="M6" s="452" t="s">
        <v>348</v>
      </c>
      <c r="N6" s="452" t="s">
        <v>349</v>
      </c>
      <c r="O6" s="452" t="s">
        <v>350</v>
      </c>
      <c r="P6" s="452" t="s">
        <v>351</v>
      </c>
      <c r="Q6" s="452" t="s">
        <v>352</v>
      </c>
      <c r="R6" s="452" t="s">
        <v>353</v>
      </c>
      <c r="S6" s="497" t="s">
        <v>354</v>
      </c>
      <c r="T6" s="472" t="s">
        <v>355</v>
      </c>
      <c r="U6" s="473"/>
      <c r="V6" s="473"/>
      <c r="W6" s="473"/>
      <c r="X6" s="473"/>
      <c r="Y6" s="473"/>
      <c r="Z6" s="473"/>
      <c r="AA6" s="473"/>
      <c r="AB6" s="473"/>
      <c r="AC6" s="473"/>
      <c r="AD6" s="473"/>
      <c r="AE6" s="473"/>
      <c r="AF6" s="473"/>
      <c r="AG6" s="473"/>
      <c r="AH6" s="473"/>
      <c r="AI6" s="473"/>
      <c r="AJ6" s="473"/>
      <c r="AK6" s="473"/>
      <c r="AL6" s="473"/>
      <c r="AM6" s="473"/>
      <c r="AN6" s="473"/>
      <c r="AO6" s="473"/>
      <c r="AP6" s="474" t="s">
        <v>356</v>
      </c>
      <c r="AQ6" s="475"/>
      <c r="AR6" s="475"/>
      <c r="AS6" s="476"/>
      <c r="AT6" s="477" t="s">
        <v>357</v>
      </c>
      <c r="AU6" s="477"/>
      <c r="AV6" s="478"/>
      <c r="AW6" s="479" t="s">
        <v>358</v>
      </c>
      <c r="AX6" s="480"/>
      <c r="AY6" s="480"/>
      <c r="AZ6" s="480"/>
      <c r="BA6" s="480"/>
      <c r="BB6" s="480"/>
      <c r="BC6" s="480"/>
      <c r="BD6" s="480"/>
      <c r="BE6" s="480"/>
      <c r="BF6" s="480"/>
      <c r="BG6" s="480"/>
      <c r="BH6" s="481"/>
      <c r="BI6" s="482" t="s">
        <v>359</v>
      </c>
      <c r="BJ6" s="483"/>
      <c r="BK6" s="461" t="s">
        <v>360</v>
      </c>
      <c r="BL6" s="463" t="s">
        <v>361</v>
      </c>
      <c r="BM6" s="234"/>
    </row>
    <row r="7" spans="1:65" x14ac:dyDescent="0.25">
      <c r="A7" s="456"/>
      <c r="B7" s="453"/>
      <c r="C7" s="453"/>
      <c r="D7" s="459"/>
      <c r="E7" s="453"/>
      <c r="F7" s="453"/>
      <c r="G7" s="450"/>
      <c r="H7" s="450"/>
      <c r="I7" s="450"/>
      <c r="J7" s="453"/>
      <c r="K7" s="453"/>
      <c r="L7" s="453"/>
      <c r="M7" s="453"/>
      <c r="N7" s="453"/>
      <c r="O7" s="453"/>
      <c r="P7" s="453"/>
      <c r="Q7" s="453"/>
      <c r="R7" s="453"/>
      <c r="S7" s="498"/>
      <c r="T7" s="465" t="s">
        <v>362</v>
      </c>
      <c r="U7" s="466"/>
      <c r="V7" s="466"/>
      <c r="W7" s="467" t="s">
        <v>363</v>
      </c>
      <c r="X7" s="467"/>
      <c r="Y7" s="467"/>
      <c r="Z7" s="467" t="s">
        <v>364</v>
      </c>
      <c r="AA7" s="467"/>
      <c r="AB7" s="467"/>
      <c r="AC7" s="468" t="s">
        <v>365</v>
      </c>
      <c r="AD7" s="469"/>
      <c r="AE7" s="470"/>
      <c r="AF7" s="468" t="s">
        <v>366</v>
      </c>
      <c r="AG7" s="469"/>
      <c r="AH7" s="470"/>
      <c r="AI7" s="468" t="s">
        <v>367</v>
      </c>
      <c r="AJ7" s="469"/>
      <c r="AK7" s="470"/>
      <c r="AL7" s="471" t="s">
        <v>368</v>
      </c>
      <c r="AM7" s="471" t="s">
        <v>369</v>
      </c>
      <c r="AN7" s="471" t="s">
        <v>370</v>
      </c>
      <c r="AO7" s="486" t="s">
        <v>371</v>
      </c>
      <c r="AP7" s="487" t="s">
        <v>372</v>
      </c>
      <c r="AQ7" s="489" t="s">
        <v>4</v>
      </c>
      <c r="AR7" s="489" t="s">
        <v>373</v>
      </c>
      <c r="AS7" s="489" t="s">
        <v>374</v>
      </c>
      <c r="AT7" s="493" t="s">
        <v>375</v>
      </c>
      <c r="AU7" s="489" t="s">
        <v>376</v>
      </c>
      <c r="AV7" s="495" t="s">
        <v>377</v>
      </c>
      <c r="AW7" s="484" t="s">
        <v>378</v>
      </c>
      <c r="AX7" s="492"/>
      <c r="AY7" s="492"/>
      <c r="AZ7" s="491" t="s">
        <v>379</v>
      </c>
      <c r="BA7" s="492"/>
      <c r="BB7" s="492"/>
      <c r="BC7" s="491" t="s">
        <v>380</v>
      </c>
      <c r="BD7" s="492"/>
      <c r="BE7" s="492"/>
      <c r="BF7" s="491" t="s">
        <v>381</v>
      </c>
      <c r="BG7" s="492"/>
      <c r="BH7" s="492"/>
      <c r="BI7" s="484"/>
      <c r="BJ7" s="485"/>
      <c r="BK7" s="462"/>
      <c r="BL7" s="464"/>
      <c r="BM7" s="234"/>
    </row>
    <row r="8" spans="1:65" ht="77.25" thickBot="1" x14ac:dyDescent="0.3">
      <c r="A8" s="457"/>
      <c r="B8" s="454"/>
      <c r="C8" s="454"/>
      <c r="D8" s="460"/>
      <c r="E8" s="454"/>
      <c r="F8" s="454"/>
      <c r="G8" s="451"/>
      <c r="H8" s="451"/>
      <c r="I8" s="451"/>
      <c r="J8" s="454"/>
      <c r="K8" s="454"/>
      <c r="L8" s="454"/>
      <c r="M8" s="454"/>
      <c r="N8" s="454"/>
      <c r="O8" s="454"/>
      <c r="P8" s="454"/>
      <c r="Q8" s="454"/>
      <c r="R8" s="454"/>
      <c r="S8" s="499"/>
      <c r="T8" s="235" t="s">
        <v>382</v>
      </c>
      <c r="U8" s="236" t="s">
        <v>383</v>
      </c>
      <c r="V8" s="236" t="s">
        <v>384</v>
      </c>
      <c r="W8" s="237" t="s">
        <v>385</v>
      </c>
      <c r="X8" s="237" t="s">
        <v>386</v>
      </c>
      <c r="Y8" s="237" t="s">
        <v>387</v>
      </c>
      <c r="Z8" s="238" t="s">
        <v>382</v>
      </c>
      <c r="AA8" s="236" t="s">
        <v>383</v>
      </c>
      <c r="AB8" s="236" t="s">
        <v>384</v>
      </c>
      <c r="AC8" s="236" t="s">
        <v>382</v>
      </c>
      <c r="AD8" s="236" t="s">
        <v>383</v>
      </c>
      <c r="AE8" s="236" t="s">
        <v>384</v>
      </c>
      <c r="AF8" s="239" t="s">
        <v>382</v>
      </c>
      <c r="AG8" s="239" t="s">
        <v>383</v>
      </c>
      <c r="AH8" s="236" t="s">
        <v>384</v>
      </c>
      <c r="AI8" s="236" t="s">
        <v>382</v>
      </c>
      <c r="AJ8" s="236" t="s">
        <v>383</v>
      </c>
      <c r="AK8" s="236" t="s">
        <v>384</v>
      </c>
      <c r="AL8" s="471"/>
      <c r="AM8" s="471"/>
      <c r="AN8" s="471"/>
      <c r="AO8" s="486"/>
      <c r="AP8" s="488"/>
      <c r="AQ8" s="490"/>
      <c r="AR8" s="490"/>
      <c r="AS8" s="490"/>
      <c r="AT8" s="494"/>
      <c r="AU8" s="490"/>
      <c r="AV8" s="496"/>
      <c r="AW8" s="240" t="s">
        <v>388</v>
      </c>
      <c r="AX8" s="241" t="s">
        <v>389</v>
      </c>
      <c r="AY8" s="241" t="s">
        <v>390</v>
      </c>
      <c r="AZ8" s="241" t="s">
        <v>388</v>
      </c>
      <c r="BA8" s="241" t="s">
        <v>389</v>
      </c>
      <c r="BB8" s="241" t="s">
        <v>390</v>
      </c>
      <c r="BC8" s="241" t="s">
        <v>388</v>
      </c>
      <c r="BD8" s="241" t="s">
        <v>389</v>
      </c>
      <c r="BE8" s="241" t="s">
        <v>390</v>
      </c>
      <c r="BF8" s="241" t="s">
        <v>388</v>
      </c>
      <c r="BG8" s="241" t="s">
        <v>389</v>
      </c>
      <c r="BH8" s="241" t="s">
        <v>390</v>
      </c>
      <c r="BI8" s="242" t="s">
        <v>391</v>
      </c>
      <c r="BJ8" s="243" t="s">
        <v>392</v>
      </c>
      <c r="BK8" s="462"/>
      <c r="BL8" s="464"/>
      <c r="BM8" s="244"/>
    </row>
    <row r="9" spans="1:65" ht="120" x14ac:dyDescent="0.25">
      <c r="A9" s="345" t="s">
        <v>34</v>
      </c>
      <c r="B9" s="345" t="s">
        <v>35</v>
      </c>
      <c r="C9" s="347" t="s">
        <v>38</v>
      </c>
      <c r="D9" s="347" t="s">
        <v>108</v>
      </c>
      <c r="E9" s="339">
        <v>500</v>
      </c>
      <c r="F9" s="372">
        <v>237.5</v>
      </c>
      <c r="G9" s="372">
        <v>230</v>
      </c>
      <c r="H9" s="509">
        <f>G9/F9</f>
        <v>0.96842105263157896</v>
      </c>
      <c r="I9" s="512">
        <f>230+25</f>
        <v>255</v>
      </c>
      <c r="J9" s="309" t="s">
        <v>149</v>
      </c>
      <c r="K9" s="309" t="s">
        <v>166</v>
      </c>
      <c r="L9" s="309" t="s">
        <v>167</v>
      </c>
      <c r="M9" s="67" t="s">
        <v>168</v>
      </c>
      <c r="N9" s="245">
        <v>44562</v>
      </c>
      <c r="O9" s="245">
        <v>44926</v>
      </c>
      <c r="P9" s="205">
        <v>365</v>
      </c>
      <c r="Q9" s="48">
        <v>1</v>
      </c>
      <c r="R9" s="40">
        <v>0.35</v>
      </c>
      <c r="S9" s="220">
        <v>1</v>
      </c>
      <c r="T9" s="205" t="s">
        <v>393</v>
      </c>
      <c r="U9" s="197"/>
      <c r="V9" s="197"/>
      <c r="W9" s="67" t="s">
        <v>168</v>
      </c>
      <c r="X9" s="67" t="s">
        <v>168</v>
      </c>
      <c r="Y9" s="205" t="s">
        <v>394</v>
      </c>
      <c r="Z9" s="205" t="s">
        <v>393</v>
      </c>
      <c r="AA9" s="197"/>
      <c r="AB9" s="197"/>
      <c r="AC9" s="205" t="s">
        <v>393</v>
      </c>
      <c r="AD9" s="197"/>
      <c r="AE9" s="197"/>
      <c r="AF9" s="205" t="s">
        <v>393</v>
      </c>
      <c r="AG9" s="197"/>
      <c r="AH9" s="197"/>
      <c r="AI9" s="205" t="s">
        <v>393</v>
      </c>
      <c r="AJ9" s="197"/>
      <c r="AK9" s="197"/>
      <c r="AL9" s="246">
        <v>1</v>
      </c>
      <c r="AM9" s="246">
        <f>R9</f>
        <v>0.35</v>
      </c>
      <c r="AN9" s="246">
        <v>1</v>
      </c>
      <c r="AO9" s="247">
        <v>0</v>
      </c>
      <c r="AP9" s="309" t="s">
        <v>149</v>
      </c>
      <c r="AQ9" s="309" t="s">
        <v>190</v>
      </c>
      <c r="AR9" s="505">
        <v>402872690</v>
      </c>
      <c r="AS9" s="500">
        <v>0</v>
      </c>
      <c r="AT9" s="502">
        <v>402872690</v>
      </c>
      <c r="AU9" s="505">
        <f>AR9</f>
        <v>402872690</v>
      </c>
      <c r="AV9" s="507">
        <f>AT9-AU9</f>
        <v>0</v>
      </c>
      <c r="AW9" s="505">
        <v>102872690</v>
      </c>
      <c r="AX9" s="521">
        <v>0</v>
      </c>
      <c r="AY9" s="521">
        <v>0</v>
      </c>
      <c r="AZ9" s="505">
        <v>102872690</v>
      </c>
      <c r="BA9" s="521">
        <v>0</v>
      </c>
      <c r="BB9" s="521">
        <v>0</v>
      </c>
      <c r="BC9" s="505">
        <v>402872690</v>
      </c>
      <c r="BD9" s="505">
        <v>0</v>
      </c>
      <c r="BE9" s="505">
        <v>0</v>
      </c>
      <c r="BF9" s="505">
        <v>402872690</v>
      </c>
      <c r="BG9" s="505">
        <v>0</v>
      </c>
      <c r="BH9" s="505">
        <v>0</v>
      </c>
      <c r="BI9" s="515"/>
      <c r="BJ9" s="515"/>
      <c r="BK9" s="223" t="s">
        <v>395</v>
      </c>
      <c r="BL9" s="518" t="s">
        <v>396</v>
      </c>
    </row>
    <row r="10" spans="1:65" ht="90" x14ac:dyDescent="0.25">
      <c r="A10" s="345"/>
      <c r="B10" s="345"/>
      <c r="C10" s="347"/>
      <c r="D10" s="347"/>
      <c r="E10" s="339"/>
      <c r="F10" s="372"/>
      <c r="G10" s="372"/>
      <c r="H10" s="510"/>
      <c r="I10" s="513"/>
      <c r="J10" s="309"/>
      <c r="K10" s="309"/>
      <c r="L10" s="309"/>
      <c r="M10" s="41" t="s">
        <v>169</v>
      </c>
      <c r="N10" s="245">
        <v>44562</v>
      </c>
      <c r="O10" s="245">
        <v>44926</v>
      </c>
      <c r="P10" s="205">
        <v>365</v>
      </c>
      <c r="Q10" s="48">
        <v>1</v>
      </c>
      <c r="R10" s="40">
        <v>0.35</v>
      </c>
      <c r="S10" s="40">
        <v>0.5</v>
      </c>
      <c r="T10" s="205" t="s">
        <v>393</v>
      </c>
      <c r="U10" s="197"/>
      <c r="V10" s="197"/>
      <c r="W10" s="41" t="s">
        <v>169</v>
      </c>
      <c r="X10" s="41" t="s">
        <v>169</v>
      </c>
      <c r="Y10" s="205" t="s">
        <v>394</v>
      </c>
      <c r="Z10" s="205" t="s">
        <v>393</v>
      </c>
      <c r="AA10" s="197"/>
      <c r="AB10" s="197"/>
      <c r="AC10" s="205"/>
      <c r="AD10" s="205"/>
      <c r="AE10" s="205"/>
      <c r="AF10" s="205"/>
      <c r="AG10" s="205"/>
      <c r="AH10" s="205"/>
      <c r="AI10" s="205"/>
      <c r="AJ10" s="205"/>
      <c r="AK10" s="205"/>
      <c r="AL10" s="246">
        <v>0.5</v>
      </c>
      <c r="AM10" s="246">
        <v>0.17499999999999999</v>
      </c>
      <c r="AN10" s="246">
        <v>0.17499999999999999</v>
      </c>
      <c r="AO10" s="247">
        <v>0.5</v>
      </c>
      <c r="AP10" s="309"/>
      <c r="AQ10" s="309"/>
      <c r="AR10" s="506"/>
      <c r="AS10" s="501"/>
      <c r="AT10" s="503"/>
      <c r="AU10" s="506"/>
      <c r="AV10" s="508"/>
      <c r="AW10" s="506"/>
      <c r="AX10" s="522"/>
      <c r="AY10" s="522"/>
      <c r="AZ10" s="506"/>
      <c r="BA10" s="522"/>
      <c r="BB10" s="522"/>
      <c r="BC10" s="506"/>
      <c r="BD10" s="506"/>
      <c r="BE10" s="506"/>
      <c r="BF10" s="506"/>
      <c r="BG10" s="506"/>
      <c r="BH10" s="506"/>
      <c r="BI10" s="516"/>
      <c r="BJ10" s="516"/>
      <c r="BK10" s="223" t="s">
        <v>397</v>
      </c>
      <c r="BL10" s="519"/>
    </row>
    <row r="11" spans="1:65" ht="75" x14ac:dyDescent="0.25">
      <c r="A11" s="345"/>
      <c r="B11" s="345"/>
      <c r="C11" s="347"/>
      <c r="D11" s="347"/>
      <c r="E11" s="339"/>
      <c r="F11" s="372"/>
      <c r="G11" s="372"/>
      <c r="H11" s="511"/>
      <c r="I11" s="514"/>
      <c r="J11" s="309"/>
      <c r="K11" s="309"/>
      <c r="L11" s="309"/>
      <c r="M11" s="41" t="s">
        <v>170</v>
      </c>
      <c r="N11" s="245">
        <v>44562</v>
      </c>
      <c r="O11" s="245">
        <v>44926</v>
      </c>
      <c r="P11" s="205">
        <v>365</v>
      </c>
      <c r="Q11" s="48">
        <v>1</v>
      </c>
      <c r="R11" s="40">
        <v>0.3</v>
      </c>
      <c r="S11" s="40">
        <v>1</v>
      </c>
      <c r="T11" s="205" t="s">
        <v>393</v>
      </c>
      <c r="U11" s="197"/>
      <c r="V11" s="197"/>
      <c r="W11" s="41" t="s">
        <v>170</v>
      </c>
      <c r="X11" s="41" t="s">
        <v>170</v>
      </c>
      <c r="Y11" s="205" t="s">
        <v>394</v>
      </c>
      <c r="Z11" s="205" t="s">
        <v>393</v>
      </c>
      <c r="AA11" s="197"/>
      <c r="AB11" s="197"/>
      <c r="AC11" s="205" t="s">
        <v>393</v>
      </c>
      <c r="AD11" s="197"/>
      <c r="AE11" s="197"/>
      <c r="AF11" s="205" t="s">
        <v>393</v>
      </c>
      <c r="AG11" s="197"/>
      <c r="AH11" s="197"/>
      <c r="AI11" s="205" t="s">
        <v>393</v>
      </c>
      <c r="AJ11" s="197"/>
      <c r="AK11" s="197"/>
      <c r="AL11" s="246">
        <v>1</v>
      </c>
      <c r="AM11" s="246">
        <f t="shared" ref="AM11:AM73" si="0">R11</f>
        <v>0.3</v>
      </c>
      <c r="AN11" s="246">
        <v>1</v>
      </c>
      <c r="AO11" s="247">
        <v>0</v>
      </c>
      <c r="AP11" s="309"/>
      <c r="AQ11" s="309"/>
      <c r="AR11" s="506"/>
      <c r="AS11" s="501"/>
      <c r="AT11" s="504"/>
      <c r="AU11" s="506"/>
      <c r="AV11" s="508"/>
      <c r="AW11" s="506"/>
      <c r="AX11" s="523"/>
      <c r="AY11" s="523"/>
      <c r="AZ11" s="506"/>
      <c r="BA11" s="523"/>
      <c r="BB11" s="523"/>
      <c r="BC11" s="506"/>
      <c r="BD11" s="506"/>
      <c r="BE11" s="506"/>
      <c r="BF11" s="506"/>
      <c r="BG11" s="506"/>
      <c r="BH11" s="506"/>
      <c r="BI11" s="517"/>
      <c r="BJ11" s="517"/>
      <c r="BK11" s="248"/>
      <c r="BL11" s="520"/>
    </row>
    <row r="12" spans="1:65" ht="90" x14ac:dyDescent="0.25">
      <c r="A12" s="345"/>
      <c r="B12" s="345"/>
      <c r="C12" s="347" t="s">
        <v>39</v>
      </c>
      <c r="D12" s="214" t="s">
        <v>109</v>
      </c>
      <c r="E12" s="210">
        <v>1</v>
      </c>
      <c r="F12" s="213" t="s">
        <v>140</v>
      </c>
      <c r="G12" s="213" t="s">
        <v>140</v>
      </c>
      <c r="H12" s="213" t="s">
        <v>140</v>
      </c>
      <c r="I12" s="213">
        <v>1</v>
      </c>
      <c r="J12" s="309" t="s">
        <v>141</v>
      </c>
      <c r="K12" s="309" t="s">
        <v>151</v>
      </c>
      <c r="L12" s="309" t="s">
        <v>152</v>
      </c>
      <c r="M12" s="39" t="s">
        <v>192</v>
      </c>
      <c r="N12" s="245">
        <v>44562</v>
      </c>
      <c r="O12" s="245">
        <v>44926</v>
      </c>
      <c r="P12" s="205">
        <v>365</v>
      </c>
      <c r="Q12" s="48">
        <v>1</v>
      </c>
      <c r="R12" s="220">
        <v>0.25</v>
      </c>
      <c r="S12" s="220">
        <v>1</v>
      </c>
      <c r="T12" s="205" t="s">
        <v>393</v>
      </c>
      <c r="U12" s="197"/>
      <c r="V12" s="197"/>
      <c r="W12" s="39" t="s">
        <v>192</v>
      </c>
      <c r="X12" s="39" t="s">
        <v>192</v>
      </c>
      <c r="Y12" s="205" t="s">
        <v>394</v>
      </c>
      <c r="Z12" s="205" t="s">
        <v>393</v>
      </c>
      <c r="AA12" s="197"/>
      <c r="AB12" s="197"/>
      <c r="AC12" s="205" t="s">
        <v>393</v>
      </c>
      <c r="AD12" s="197"/>
      <c r="AE12" s="197"/>
      <c r="AF12" s="205" t="s">
        <v>393</v>
      </c>
      <c r="AG12" s="197"/>
      <c r="AH12" s="197"/>
      <c r="AI12" s="205" t="s">
        <v>393</v>
      </c>
      <c r="AJ12" s="197"/>
      <c r="AK12" s="197"/>
      <c r="AL12" s="246">
        <v>1</v>
      </c>
      <c r="AM12" s="246">
        <v>0.25</v>
      </c>
      <c r="AN12" s="246">
        <v>1</v>
      </c>
      <c r="AO12" s="247">
        <v>0</v>
      </c>
      <c r="AP12" s="309" t="s">
        <v>141</v>
      </c>
      <c r="AQ12" s="309" t="s">
        <v>190</v>
      </c>
      <c r="AR12" s="505">
        <v>276577126</v>
      </c>
      <c r="AS12" s="533">
        <f>34320000/AR12</f>
        <v>0.12408835284520239</v>
      </c>
      <c r="AT12" s="507">
        <v>276577126</v>
      </c>
      <c r="AU12" s="505">
        <v>276577126</v>
      </c>
      <c r="AV12" s="507">
        <f>AT12-AU12</f>
        <v>0</v>
      </c>
      <c r="AW12" s="524">
        <v>276577126</v>
      </c>
      <c r="AX12" s="524">
        <v>24960000</v>
      </c>
      <c r="AY12" s="524">
        <v>3120000</v>
      </c>
      <c r="AZ12" s="524">
        <v>276577126</v>
      </c>
      <c r="BA12" s="524">
        <v>24960000</v>
      </c>
      <c r="BB12" s="524">
        <v>15600000</v>
      </c>
      <c r="BC12" s="524">
        <v>276577126</v>
      </c>
      <c r="BD12" s="524">
        <v>34320000</v>
      </c>
      <c r="BE12" s="524">
        <v>21840000</v>
      </c>
      <c r="BF12" s="524">
        <v>276577126</v>
      </c>
      <c r="BG12" s="524">
        <v>34320000</v>
      </c>
      <c r="BH12" s="524">
        <v>34320000</v>
      </c>
      <c r="BI12" s="197"/>
      <c r="BJ12" s="197"/>
      <c r="BK12" s="223" t="s">
        <v>398</v>
      </c>
      <c r="BL12" s="527" t="s">
        <v>270</v>
      </c>
    </row>
    <row r="13" spans="1:65" ht="120" x14ac:dyDescent="0.25">
      <c r="A13" s="345"/>
      <c r="B13" s="345"/>
      <c r="C13" s="347"/>
      <c r="D13" s="347" t="s">
        <v>110</v>
      </c>
      <c r="E13" s="530">
        <v>1</v>
      </c>
      <c r="F13" s="373">
        <v>0.35</v>
      </c>
      <c r="G13" s="531">
        <v>0.35</v>
      </c>
      <c r="H13" s="532">
        <v>1</v>
      </c>
      <c r="I13" s="531">
        <v>1</v>
      </c>
      <c r="J13" s="309"/>
      <c r="K13" s="309"/>
      <c r="L13" s="309"/>
      <c r="M13" s="39" t="s">
        <v>193</v>
      </c>
      <c r="N13" s="245">
        <v>44562</v>
      </c>
      <c r="O13" s="245">
        <v>44926</v>
      </c>
      <c r="P13" s="205">
        <v>365</v>
      </c>
      <c r="Q13" s="48">
        <v>1</v>
      </c>
      <c r="R13" s="220">
        <v>0.25</v>
      </c>
      <c r="S13" s="220">
        <v>1</v>
      </c>
      <c r="T13" s="205" t="s">
        <v>393</v>
      </c>
      <c r="U13" s="197"/>
      <c r="V13" s="197"/>
      <c r="W13" s="39" t="s">
        <v>193</v>
      </c>
      <c r="X13" s="39" t="s">
        <v>193</v>
      </c>
      <c r="Y13" s="205" t="s">
        <v>394</v>
      </c>
      <c r="Z13" s="205" t="s">
        <v>393</v>
      </c>
      <c r="AA13" s="197"/>
      <c r="AB13" s="197"/>
      <c r="AC13" s="205" t="s">
        <v>393</v>
      </c>
      <c r="AD13" s="197"/>
      <c r="AE13" s="197"/>
      <c r="AF13" s="205" t="s">
        <v>393</v>
      </c>
      <c r="AG13" s="197"/>
      <c r="AH13" s="197"/>
      <c r="AI13" s="205" t="s">
        <v>393</v>
      </c>
      <c r="AJ13" s="197"/>
      <c r="AK13" s="197"/>
      <c r="AL13" s="246">
        <v>1</v>
      </c>
      <c r="AM13" s="246">
        <f t="shared" si="0"/>
        <v>0.25</v>
      </c>
      <c r="AN13" s="246">
        <v>1</v>
      </c>
      <c r="AO13" s="247">
        <v>0</v>
      </c>
      <c r="AP13" s="309"/>
      <c r="AQ13" s="309"/>
      <c r="AR13" s="506"/>
      <c r="AS13" s="533"/>
      <c r="AT13" s="508"/>
      <c r="AU13" s="506"/>
      <c r="AV13" s="508"/>
      <c r="AW13" s="525"/>
      <c r="AX13" s="525"/>
      <c r="AY13" s="525"/>
      <c r="AZ13" s="525"/>
      <c r="BA13" s="525"/>
      <c r="BB13" s="525"/>
      <c r="BC13" s="525"/>
      <c r="BD13" s="525"/>
      <c r="BE13" s="525"/>
      <c r="BF13" s="525"/>
      <c r="BG13" s="525"/>
      <c r="BH13" s="525"/>
      <c r="BI13" s="197"/>
      <c r="BJ13" s="197"/>
      <c r="BK13" s="223" t="s">
        <v>399</v>
      </c>
      <c r="BL13" s="528"/>
    </row>
    <row r="14" spans="1:65" ht="75" x14ac:dyDescent="0.25">
      <c r="A14" s="345"/>
      <c r="B14" s="345"/>
      <c r="C14" s="347"/>
      <c r="D14" s="347"/>
      <c r="E14" s="530"/>
      <c r="F14" s="373"/>
      <c r="G14" s="531"/>
      <c r="H14" s="532"/>
      <c r="I14" s="531"/>
      <c r="J14" s="309"/>
      <c r="K14" s="309"/>
      <c r="L14" s="309"/>
      <c r="M14" s="39" t="s">
        <v>194</v>
      </c>
      <c r="N14" s="245">
        <v>44562</v>
      </c>
      <c r="O14" s="245">
        <v>44926</v>
      </c>
      <c r="P14" s="205">
        <v>365</v>
      </c>
      <c r="Q14" s="48">
        <v>1</v>
      </c>
      <c r="R14" s="220">
        <v>0.25</v>
      </c>
      <c r="S14" s="65">
        <v>1</v>
      </c>
      <c r="T14" s="205" t="s">
        <v>393</v>
      </c>
      <c r="U14" s="197"/>
      <c r="V14" s="197"/>
      <c r="W14" s="39" t="s">
        <v>194</v>
      </c>
      <c r="X14" s="39" t="s">
        <v>194</v>
      </c>
      <c r="Y14" s="205" t="s">
        <v>394</v>
      </c>
      <c r="Z14" s="205" t="s">
        <v>393</v>
      </c>
      <c r="AA14" s="197"/>
      <c r="AB14" s="197"/>
      <c r="AC14" s="205" t="s">
        <v>393</v>
      </c>
      <c r="AD14" s="197"/>
      <c r="AE14" s="197"/>
      <c r="AF14" s="205" t="s">
        <v>393</v>
      </c>
      <c r="AG14" s="197"/>
      <c r="AH14" s="197"/>
      <c r="AI14" s="205" t="s">
        <v>393</v>
      </c>
      <c r="AJ14" s="197"/>
      <c r="AK14" s="197"/>
      <c r="AL14" s="246">
        <v>1</v>
      </c>
      <c r="AM14" s="246">
        <f t="shared" si="0"/>
        <v>0.25</v>
      </c>
      <c r="AN14" s="246">
        <v>1</v>
      </c>
      <c r="AO14" s="247">
        <v>0</v>
      </c>
      <c r="AP14" s="309"/>
      <c r="AQ14" s="309"/>
      <c r="AR14" s="506"/>
      <c r="AS14" s="533"/>
      <c r="AT14" s="508"/>
      <c r="AU14" s="506"/>
      <c r="AV14" s="508"/>
      <c r="AW14" s="525"/>
      <c r="AX14" s="525"/>
      <c r="AY14" s="525"/>
      <c r="AZ14" s="525"/>
      <c r="BA14" s="525"/>
      <c r="BB14" s="525"/>
      <c r="BC14" s="525"/>
      <c r="BD14" s="525"/>
      <c r="BE14" s="525"/>
      <c r="BF14" s="525"/>
      <c r="BG14" s="525"/>
      <c r="BH14" s="525"/>
      <c r="BI14" s="197"/>
      <c r="BJ14" s="197"/>
      <c r="BK14" s="248"/>
      <c r="BL14" s="528"/>
    </row>
    <row r="15" spans="1:65" x14ac:dyDescent="0.25">
      <c r="A15" s="345"/>
      <c r="B15" s="345"/>
      <c r="C15" s="347"/>
      <c r="D15" s="347"/>
      <c r="E15" s="530"/>
      <c r="F15" s="373"/>
      <c r="G15" s="531"/>
      <c r="H15" s="532"/>
      <c r="I15" s="531"/>
      <c r="J15" s="309"/>
      <c r="K15" s="309"/>
      <c r="L15" s="309"/>
      <c r="M15" s="269" t="s">
        <v>195</v>
      </c>
      <c r="N15" s="534">
        <v>44562</v>
      </c>
      <c r="O15" s="534">
        <v>44926</v>
      </c>
      <c r="P15" s="535">
        <v>365</v>
      </c>
      <c r="Q15" s="336">
        <v>1</v>
      </c>
      <c r="R15" s="316">
        <v>0.25</v>
      </c>
      <c r="S15" s="350">
        <v>1</v>
      </c>
      <c r="T15" s="536" t="s">
        <v>393</v>
      </c>
      <c r="U15" s="536"/>
      <c r="V15" s="536"/>
      <c r="W15" s="269" t="s">
        <v>195</v>
      </c>
      <c r="X15" s="269" t="s">
        <v>195</v>
      </c>
      <c r="Y15" s="536" t="s">
        <v>394</v>
      </c>
      <c r="Z15" s="536" t="s">
        <v>393</v>
      </c>
      <c r="AA15" s="515"/>
      <c r="AB15" s="515"/>
      <c r="AC15" s="536" t="s">
        <v>393</v>
      </c>
      <c r="AD15" s="515"/>
      <c r="AE15" s="515"/>
      <c r="AF15" s="536" t="s">
        <v>393</v>
      </c>
      <c r="AG15" s="515"/>
      <c r="AH15" s="515"/>
      <c r="AI15" s="536" t="s">
        <v>393</v>
      </c>
      <c r="AJ15" s="515"/>
      <c r="AK15" s="515"/>
      <c r="AL15" s="541">
        <v>1</v>
      </c>
      <c r="AM15" s="541">
        <f t="shared" si="0"/>
        <v>0.25</v>
      </c>
      <c r="AN15" s="541">
        <v>1</v>
      </c>
      <c r="AO15" s="544">
        <v>0</v>
      </c>
      <c r="AP15" s="309"/>
      <c r="AQ15" s="309"/>
      <c r="AR15" s="506"/>
      <c r="AS15" s="533"/>
      <c r="AT15" s="508"/>
      <c r="AU15" s="506"/>
      <c r="AV15" s="508"/>
      <c r="AW15" s="525"/>
      <c r="AX15" s="525"/>
      <c r="AY15" s="525"/>
      <c r="AZ15" s="525"/>
      <c r="BA15" s="525"/>
      <c r="BB15" s="525"/>
      <c r="BC15" s="525"/>
      <c r="BD15" s="525"/>
      <c r="BE15" s="525"/>
      <c r="BF15" s="525"/>
      <c r="BG15" s="525"/>
      <c r="BH15" s="525"/>
      <c r="BI15" s="515"/>
      <c r="BJ15" s="515"/>
      <c r="BK15" s="306"/>
      <c r="BL15" s="528"/>
    </row>
    <row r="16" spans="1:65" x14ac:dyDescent="0.25">
      <c r="A16" s="345"/>
      <c r="B16" s="345"/>
      <c r="C16" s="347"/>
      <c r="D16" s="347"/>
      <c r="E16" s="530"/>
      <c r="F16" s="373"/>
      <c r="G16" s="531"/>
      <c r="H16" s="532"/>
      <c r="I16" s="531"/>
      <c r="J16" s="309"/>
      <c r="K16" s="309"/>
      <c r="L16" s="309"/>
      <c r="M16" s="305"/>
      <c r="N16" s="534"/>
      <c r="O16" s="534"/>
      <c r="P16" s="535"/>
      <c r="Q16" s="338"/>
      <c r="R16" s="317"/>
      <c r="S16" s="351"/>
      <c r="T16" s="537"/>
      <c r="U16" s="537"/>
      <c r="V16" s="537"/>
      <c r="W16" s="305"/>
      <c r="X16" s="305"/>
      <c r="Y16" s="537"/>
      <c r="Z16" s="537"/>
      <c r="AA16" s="516"/>
      <c r="AB16" s="516"/>
      <c r="AC16" s="537"/>
      <c r="AD16" s="516"/>
      <c r="AE16" s="516"/>
      <c r="AF16" s="537"/>
      <c r="AG16" s="516"/>
      <c r="AH16" s="516"/>
      <c r="AI16" s="537"/>
      <c r="AJ16" s="516"/>
      <c r="AK16" s="516"/>
      <c r="AL16" s="542"/>
      <c r="AM16" s="542"/>
      <c r="AN16" s="542"/>
      <c r="AO16" s="545"/>
      <c r="AP16" s="309"/>
      <c r="AQ16" s="309"/>
      <c r="AR16" s="506"/>
      <c r="AS16" s="533"/>
      <c r="AT16" s="508"/>
      <c r="AU16" s="506"/>
      <c r="AV16" s="508"/>
      <c r="AW16" s="525"/>
      <c r="AX16" s="525"/>
      <c r="AY16" s="525"/>
      <c r="AZ16" s="525"/>
      <c r="BA16" s="525"/>
      <c r="BB16" s="525"/>
      <c r="BC16" s="525"/>
      <c r="BD16" s="525"/>
      <c r="BE16" s="525"/>
      <c r="BF16" s="525"/>
      <c r="BG16" s="525"/>
      <c r="BH16" s="525"/>
      <c r="BI16" s="516"/>
      <c r="BJ16" s="516"/>
      <c r="BK16" s="307"/>
      <c r="BL16" s="528"/>
    </row>
    <row r="17" spans="1:64" x14ac:dyDescent="0.25">
      <c r="A17" s="345"/>
      <c r="B17" s="345"/>
      <c r="C17" s="347"/>
      <c r="D17" s="357" t="s">
        <v>111</v>
      </c>
      <c r="E17" s="539">
        <v>4</v>
      </c>
      <c r="F17" s="279">
        <v>2</v>
      </c>
      <c r="G17" s="279">
        <v>2</v>
      </c>
      <c r="H17" s="316">
        <f>G17/F17</f>
        <v>1</v>
      </c>
      <c r="I17" s="316">
        <f>G17/E17</f>
        <v>0.5</v>
      </c>
      <c r="J17" s="309"/>
      <c r="K17" s="309"/>
      <c r="L17" s="309"/>
      <c r="M17" s="305"/>
      <c r="N17" s="534"/>
      <c r="O17" s="534"/>
      <c r="P17" s="535"/>
      <c r="Q17" s="338"/>
      <c r="R17" s="317"/>
      <c r="S17" s="351"/>
      <c r="T17" s="537"/>
      <c r="U17" s="537"/>
      <c r="V17" s="537"/>
      <c r="W17" s="305"/>
      <c r="X17" s="305"/>
      <c r="Y17" s="537"/>
      <c r="Z17" s="537"/>
      <c r="AA17" s="516"/>
      <c r="AB17" s="516"/>
      <c r="AC17" s="537"/>
      <c r="AD17" s="516"/>
      <c r="AE17" s="516"/>
      <c r="AF17" s="537"/>
      <c r="AG17" s="516"/>
      <c r="AH17" s="516"/>
      <c r="AI17" s="537"/>
      <c r="AJ17" s="516"/>
      <c r="AK17" s="516"/>
      <c r="AL17" s="542"/>
      <c r="AM17" s="542"/>
      <c r="AN17" s="542"/>
      <c r="AO17" s="545"/>
      <c r="AP17" s="309"/>
      <c r="AQ17" s="309"/>
      <c r="AR17" s="506"/>
      <c r="AS17" s="533"/>
      <c r="AT17" s="508"/>
      <c r="AU17" s="506"/>
      <c r="AV17" s="508"/>
      <c r="AW17" s="525"/>
      <c r="AX17" s="525"/>
      <c r="AY17" s="525"/>
      <c r="AZ17" s="525"/>
      <c r="BA17" s="525"/>
      <c r="BB17" s="525"/>
      <c r="BC17" s="525"/>
      <c r="BD17" s="525"/>
      <c r="BE17" s="525"/>
      <c r="BF17" s="525"/>
      <c r="BG17" s="525"/>
      <c r="BH17" s="525"/>
      <c r="BI17" s="516"/>
      <c r="BJ17" s="516"/>
      <c r="BK17" s="307"/>
      <c r="BL17" s="528"/>
    </row>
    <row r="18" spans="1:64" x14ac:dyDescent="0.25">
      <c r="A18" s="345"/>
      <c r="B18" s="345"/>
      <c r="C18" s="347"/>
      <c r="D18" s="358"/>
      <c r="E18" s="540"/>
      <c r="F18" s="280"/>
      <c r="G18" s="280"/>
      <c r="H18" s="318"/>
      <c r="I18" s="318"/>
      <c r="J18" s="309"/>
      <c r="K18" s="309"/>
      <c r="L18" s="309"/>
      <c r="M18" s="305"/>
      <c r="N18" s="534"/>
      <c r="O18" s="534"/>
      <c r="P18" s="535"/>
      <c r="Q18" s="338"/>
      <c r="R18" s="317"/>
      <c r="S18" s="351"/>
      <c r="T18" s="537"/>
      <c r="U18" s="537"/>
      <c r="V18" s="537"/>
      <c r="W18" s="305"/>
      <c r="X18" s="305"/>
      <c r="Y18" s="537"/>
      <c r="Z18" s="537"/>
      <c r="AA18" s="516"/>
      <c r="AB18" s="516"/>
      <c r="AC18" s="537"/>
      <c r="AD18" s="516"/>
      <c r="AE18" s="516"/>
      <c r="AF18" s="537"/>
      <c r="AG18" s="516"/>
      <c r="AH18" s="516"/>
      <c r="AI18" s="537"/>
      <c r="AJ18" s="516"/>
      <c r="AK18" s="516"/>
      <c r="AL18" s="542"/>
      <c r="AM18" s="542"/>
      <c r="AN18" s="542"/>
      <c r="AO18" s="545"/>
      <c r="AP18" s="309"/>
      <c r="AQ18" s="309"/>
      <c r="AR18" s="506"/>
      <c r="AS18" s="533"/>
      <c r="AT18" s="508"/>
      <c r="AU18" s="506"/>
      <c r="AV18" s="508"/>
      <c r="AW18" s="525"/>
      <c r="AX18" s="525"/>
      <c r="AY18" s="525"/>
      <c r="AZ18" s="525"/>
      <c r="BA18" s="525"/>
      <c r="BB18" s="525"/>
      <c r="BC18" s="525"/>
      <c r="BD18" s="525"/>
      <c r="BE18" s="525"/>
      <c r="BF18" s="525"/>
      <c r="BG18" s="525"/>
      <c r="BH18" s="525"/>
      <c r="BI18" s="516"/>
      <c r="BJ18" s="516"/>
      <c r="BK18" s="307"/>
      <c r="BL18" s="528"/>
    </row>
    <row r="19" spans="1:64" x14ac:dyDescent="0.25">
      <c r="A19" s="345"/>
      <c r="B19" s="345"/>
      <c r="C19" s="347"/>
      <c r="D19" s="357" t="s">
        <v>112</v>
      </c>
      <c r="E19" s="539">
        <v>200</v>
      </c>
      <c r="F19" s="279">
        <v>100</v>
      </c>
      <c r="G19" s="279">
        <v>234</v>
      </c>
      <c r="H19" s="316">
        <v>2.34</v>
      </c>
      <c r="I19" s="316">
        <f>234/200</f>
        <v>1.17</v>
      </c>
      <c r="J19" s="309"/>
      <c r="K19" s="309"/>
      <c r="L19" s="309"/>
      <c r="M19" s="305"/>
      <c r="N19" s="534"/>
      <c r="O19" s="534"/>
      <c r="P19" s="535"/>
      <c r="Q19" s="338"/>
      <c r="R19" s="317"/>
      <c r="S19" s="351"/>
      <c r="T19" s="537"/>
      <c r="U19" s="537"/>
      <c r="V19" s="537"/>
      <c r="W19" s="305"/>
      <c r="X19" s="305"/>
      <c r="Y19" s="537"/>
      <c r="Z19" s="537"/>
      <c r="AA19" s="516"/>
      <c r="AB19" s="516"/>
      <c r="AC19" s="537"/>
      <c r="AD19" s="516"/>
      <c r="AE19" s="516"/>
      <c r="AF19" s="537"/>
      <c r="AG19" s="516"/>
      <c r="AH19" s="516"/>
      <c r="AI19" s="537"/>
      <c r="AJ19" s="516"/>
      <c r="AK19" s="516"/>
      <c r="AL19" s="542"/>
      <c r="AM19" s="542"/>
      <c r="AN19" s="542"/>
      <c r="AO19" s="545"/>
      <c r="AP19" s="309"/>
      <c r="AQ19" s="309"/>
      <c r="AR19" s="506"/>
      <c r="AS19" s="533"/>
      <c r="AT19" s="508"/>
      <c r="AU19" s="506"/>
      <c r="AV19" s="508"/>
      <c r="AW19" s="525"/>
      <c r="AX19" s="525"/>
      <c r="AY19" s="525"/>
      <c r="AZ19" s="525"/>
      <c r="BA19" s="525"/>
      <c r="BB19" s="525"/>
      <c r="BC19" s="525"/>
      <c r="BD19" s="525"/>
      <c r="BE19" s="525"/>
      <c r="BF19" s="525"/>
      <c r="BG19" s="525"/>
      <c r="BH19" s="525"/>
      <c r="BI19" s="516"/>
      <c r="BJ19" s="516"/>
      <c r="BK19" s="307"/>
      <c r="BL19" s="528"/>
    </row>
    <row r="20" spans="1:64" x14ac:dyDescent="0.25">
      <c r="A20" s="345"/>
      <c r="B20" s="345"/>
      <c r="C20" s="347"/>
      <c r="D20" s="359"/>
      <c r="E20" s="549"/>
      <c r="F20" s="312"/>
      <c r="G20" s="312"/>
      <c r="H20" s="317"/>
      <c r="I20" s="317"/>
      <c r="J20" s="309"/>
      <c r="K20" s="309"/>
      <c r="L20" s="309"/>
      <c r="M20" s="305"/>
      <c r="N20" s="534"/>
      <c r="O20" s="534"/>
      <c r="P20" s="535"/>
      <c r="Q20" s="338"/>
      <c r="R20" s="317"/>
      <c r="S20" s="351"/>
      <c r="T20" s="537"/>
      <c r="U20" s="537"/>
      <c r="V20" s="537"/>
      <c r="W20" s="305"/>
      <c r="X20" s="305"/>
      <c r="Y20" s="537"/>
      <c r="Z20" s="537"/>
      <c r="AA20" s="516"/>
      <c r="AB20" s="516"/>
      <c r="AC20" s="537"/>
      <c r="AD20" s="516"/>
      <c r="AE20" s="516"/>
      <c r="AF20" s="537"/>
      <c r="AG20" s="516"/>
      <c r="AH20" s="516"/>
      <c r="AI20" s="537"/>
      <c r="AJ20" s="516"/>
      <c r="AK20" s="516"/>
      <c r="AL20" s="542"/>
      <c r="AM20" s="542"/>
      <c r="AN20" s="542"/>
      <c r="AO20" s="545"/>
      <c r="AP20" s="309"/>
      <c r="AQ20" s="309"/>
      <c r="AR20" s="506"/>
      <c r="AS20" s="533"/>
      <c r="AT20" s="508"/>
      <c r="AU20" s="506"/>
      <c r="AV20" s="508"/>
      <c r="AW20" s="525"/>
      <c r="AX20" s="525"/>
      <c r="AY20" s="525"/>
      <c r="AZ20" s="525"/>
      <c r="BA20" s="525"/>
      <c r="BB20" s="525"/>
      <c r="BC20" s="525"/>
      <c r="BD20" s="525"/>
      <c r="BE20" s="525"/>
      <c r="BF20" s="525"/>
      <c r="BG20" s="525"/>
      <c r="BH20" s="525"/>
      <c r="BI20" s="516"/>
      <c r="BJ20" s="516"/>
      <c r="BK20" s="307"/>
      <c r="BL20" s="528"/>
    </row>
    <row r="21" spans="1:64" x14ac:dyDescent="0.25">
      <c r="A21" s="345"/>
      <c r="B21" s="345"/>
      <c r="C21" s="347"/>
      <c r="D21" s="358"/>
      <c r="E21" s="540"/>
      <c r="F21" s="280"/>
      <c r="G21" s="280"/>
      <c r="H21" s="318"/>
      <c r="I21" s="318"/>
      <c r="J21" s="309"/>
      <c r="K21" s="309"/>
      <c r="L21" s="309"/>
      <c r="M21" s="270"/>
      <c r="N21" s="534"/>
      <c r="O21" s="534"/>
      <c r="P21" s="535"/>
      <c r="Q21" s="337"/>
      <c r="R21" s="318"/>
      <c r="S21" s="352"/>
      <c r="T21" s="538"/>
      <c r="U21" s="538"/>
      <c r="V21" s="538"/>
      <c r="W21" s="270"/>
      <c r="X21" s="270"/>
      <c r="Y21" s="538"/>
      <c r="Z21" s="538"/>
      <c r="AA21" s="517"/>
      <c r="AB21" s="517"/>
      <c r="AC21" s="538"/>
      <c r="AD21" s="517"/>
      <c r="AE21" s="517"/>
      <c r="AF21" s="538"/>
      <c r="AG21" s="517"/>
      <c r="AH21" s="517"/>
      <c r="AI21" s="538"/>
      <c r="AJ21" s="517"/>
      <c r="AK21" s="517"/>
      <c r="AL21" s="543"/>
      <c r="AM21" s="543"/>
      <c r="AN21" s="543"/>
      <c r="AO21" s="546"/>
      <c r="AP21" s="309"/>
      <c r="AQ21" s="309"/>
      <c r="AR21" s="506"/>
      <c r="AS21" s="533"/>
      <c r="AT21" s="508"/>
      <c r="AU21" s="506"/>
      <c r="AV21" s="508"/>
      <c r="AW21" s="526"/>
      <c r="AX21" s="526"/>
      <c r="AY21" s="526"/>
      <c r="AZ21" s="526"/>
      <c r="BA21" s="526"/>
      <c r="BB21" s="526"/>
      <c r="BC21" s="526"/>
      <c r="BD21" s="526"/>
      <c r="BE21" s="526"/>
      <c r="BF21" s="526"/>
      <c r="BG21" s="526"/>
      <c r="BH21" s="526"/>
      <c r="BI21" s="517"/>
      <c r="BJ21" s="517"/>
      <c r="BK21" s="308"/>
      <c r="BL21" s="529"/>
    </row>
    <row r="22" spans="1:64" ht="135" x14ac:dyDescent="0.25">
      <c r="A22" s="345"/>
      <c r="B22" s="345"/>
      <c r="C22" s="347" t="s">
        <v>40</v>
      </c>
      <c r="D22" s="214" t="s">
        <v>113</v>
      </c>
      <c r="E22" s="210">
        <v>5000</v>
      </c>
      <c r="F22" s="213">
        <v>2365</v>
      </c>
      <c r="G22" s="213">
        <v>0</v>
      </c>
      <c r="H22" s="183">
        <f>G22/F22</f>
        <v>0</v>
      </c>
      <c r="I22" s="183">
        <f>569/5000</f>
        <v>0.1138</v>
      </c>
      <c r="J22" s="309" t="s">
        <v>142</v>
      </c>
      <c r="K22" s="309" t="s">
        <v>150</v>
      </c>
      <c r="L22" s="309" t="s">
        <v>153</v>
      </c>
      <c r="M22" s="269" t="s">
        <v>200</v>
      </c>
      <c r="N22" s="245">
        <v>44562</v>
      </c>
      <c r="O22" s="245">
        <v>44926</v>
      </c>
      <c r="P22" s="205">
        <v>365</v>
      </c>
      <c r="Q22" s="336">
        <v>1</v>
      </c>
      <c r="R22" s="316">
        <v>1</v>
      </c>
      <c r="S22" s="350">
        <v>1</v>
      </c>
      <c r="T22" s="536" t="s">
        <v>393</v>
      </c>
      <c r="U22" s="515"/>
      <c r="V22" s="515"/>
      <c r="W22" s="269" t="s">
        <v>200</v>
      </c>
      <c r="X22" s="269" t="s">
        <v>200</v>
      </c>
      <c r="Y22" s="205" t="s">
        <v>394</v>
      </c>
      <c r="Z22" s="205" t="s">
        <v>393</v>
      </c>
      <c r="AA22" s="197"/>
      <c r="AB22" s="197"/>
      <c r="AC22" s="205" t="s">
        <v>393</v>
      </c>
      <c r="AD22" s="197"/>
      <c r="AE22" s="197"/>
      <c r="AF22" s="205" t="s">
        <v>393</v>
      </c>
      <c r="AG22" s="197"/>
      <c r="AH22" s="197"/>
      <c r="AI22" s="205" t="s">
        <v>393</v>
      </c>
      <c r="AJ22" s="197"/>
      <c r="AK22" s="197"/>
      <c r="AL22" s="200">
        <v>1</v>
      </c>
      <c r="AM22" s="200">
        <v>1</v>
      </c>
      <c r="AN22" s="200">
        <v>1</v>
      </c>
      <c r="AO22" s="247">
        <v>0</v>
      </c>
      <c r="AP22" s="309">
        <f>V22</f>
        <v>0</v>
      </c>
      <c r="AQ22" s="309" t="s">
        <v>190</v>
      </c>
      <c r="AR22" s="505">
        <v>702189566</v>
      </c>
      <c r="AS22" s="533">
        <f>47208000/AR22</f>
        <v>6.7229708736515181E-2</v>
      </c>
      <c r="AT22" s="507">
        <v>702189566</v>
      </c>
      <c r="AU22" s="505">
        <v>702189566</v>
      </c>
      <c r="AV22" s="507">
        <f>AT22-AU22</f>
        <v>0</v>
      </c>
      <c r="AW22" s="505">
        <v>202189566</v>
      </c>
      <c r="AX22" s="505">
        <v>29952000</v>
      </c>
      <c r="AY22" s="505">
        <v>7488000</v>
      </c>
      <c r="AZ22" s="505">
        <v>202189566</v>
      </c>
      <c r="BA22" s="505">
        <v>29952000</v>
      </c>
      <c r="BB22" s="505">
        <v>18720000</v>
      </c>
      <c r="BC22" s="505">
        <v>702189566</v>
      </c>
      <c r="BD22" s="505">
        <v>41808000</v>
      </c>
      <c r="BE22" s="505">
        <v>26208000</v>
      </c>
      <c r="BF22" s="505">
        <v>702189566</v>
      </c>
      <c r="BG22" s="505">
        <v>47208000</v>
      </c>
      <c r="BH22" s="505">
        <v>47148000</v>
      </c>
      <c r="BI22" s="197"/>
      <c r="BJ22" s="197"/>
      <c r="BK22" s="248"/>
      <c r="BL22" s="271" t="s">
        <v>400</v>
      </c>
    </row>
    <row r="23" spans="1:64" x14ac:dyDescent="0.25">
      <c r="A23" s="345"/>
      <c r="B23" s="345"/>
      <c r="C23" s="347"/>
      <c r="D23" s="347" t="s">
        <v>114</v>
      </c>
      <c r="E23" s="407">
        <v>1</v>
      </c>
      <c r="F23" s="319">
        <v>1</v>
      </c>
      <c r="G23" s="281">
        <v>1</v>
      </c>
      <c r="H23" s="551">
        <f>G23/F23</f>
        <v>1</v>
      </c>
      <c r="I23" s="551">
        <f>1/E23</f>
        <v>1</v>
      </c>
      <c r="J23" s="309"/>
      <c r="K23" s="309"/>
      <c r="L23" s="309"/>
      <c r="M23" s="305"/>
      <c r="N23" s="547">
        <v>44562</v>
      </c>
      <c r="O23" s="547">
        <v>44926</v>
      </c>
      <c r="P23" s="536">
        <v>365</v>
      </c>
      <c r="Q23" s="338"/>
      <c r="R23" s="317"/>
      <c r="S23" s="351"/>
      <c r="T23" s="537"/>
      <c r="U23" s="516"/>
      <c r="V23" s="516"/>
      <c r="W23" s="305"/>
      <c r="X23" s="305"/>
      <c r="Y23" s="536" t="s">
        <v>394</v>
      </c>
      <c r="Z23" s="536" t="s">
        <v>393</v>
      </c>
      <c r="AA23" s="515"/>
      <c r="AB23" s="515"/>
      <c r="AC23" s="536" t="s">
        <v>393</v>
      </c>
      <c r="AD23" s="515"/>
      <c r="AE23" s="515"/>
      <c r="AF23" s="536" t="s">
        <v>393</v>
      </c>
      <c r="AG23" s="515"/>
      <c r="AH23" s="515"/>
      <c r="AI23" s="536" t="s">
        <v>393</v>
      </c>
      <c r="AJ23" s="515"/>
      <c r="AK23" s="515"/>
      <c r="AL23" s="553">
        <v>1</v>
      </c>
      <c r="AM23" s="553">
        <v>1</v>
      </c>
      <c r="AN23" s="553">
        <v>1</v>
      </c>
      <c r="AO23" s="544">
        <f t="shared" ref="AO23:AO70" si="1">G23-AN23</f>
        <v>0</v>
      </c>
      <c r="AP23" s="309"/>
      <c r="AQ23" s="309"/>
      <c r="AR23" s="506"/>
      <c r="AS23" s="533"/>
      <c r="AT23" s="508"/>
      <c r="AU23" s="506"/>
      <c r="AV23" s="508"/>
      <c r="AW23" s="506"/>
      <c r="AX23" s="506"/>
      <c r="AY23" s="506"/>
      <c r="AZ23" s="506"/>
      <c r="BA23" s="506"/>
      <c r="BB23" s="506"/>
      <c r="BC23" s="506"/>
      <c r="BD23" s="506"/>
      <c r="BE23" s="506"/>
      <c r="BF23" s="506"/>
      <c r="BG23" s="506"/>
      <c r="BH23" s="506"/>
      <c r="BI23" s="197"/>
      <c r="BJ23" s="197"/>
      <c r="BK23" s="248"/>
      <c r="BL23" s="550"/>
    </row>
    <row r="24" spans="1:64" x14ac:dyDescent="0.25">
      <c r="A24" s="345"/>
      <c r="B24" s="345"/>
      <c r="C24" s="347"/>
      <c r="D24" s="347"/>
      <c r="E24" s="407"/>
      <c r="F24" s="320"/>
      <c r="G24" s="282"/>
      <c r="H24" s="552"/>
      <c r="I24" s="552"/>
      <c r="J24" s="309"/>
      <c r="K24" s="309"/>
      <c r="L24" s="309"/>
      <c r="M24" s="305"/>
      <c r="N24" s="548"/>
      <c r="O24" s="548"/>
      <c r="P24" s="538"/>
      <c r="Q24" s="338"/>
      <c r="R24" s="317"/>
      <c r="S24" s="351"/>
      <c r="T24" s="537"/>
      <c r="U24" s="516"/>
      <c r="V24" s="516"/>
      <c r="W24" s="305"/>
      <c r="X24" s="305"/>
      <c r="Y24" s="538"/>
      <c r="Z24" s="538"/>
      <c r="AA24" s="517"/>
      <c r="AB24" s="517"/>
      <c r="AC24" s="538"/>
      <c r="AD24" s="517"/>
      <c r="AE24" s="517"/>
      <c r="AF24" s="538"/>
      <c r="AG24" s="517"/>
      <c r="AH24" s="517"/>
      <c r="AI24" s="538"/>
      <c r="AJ24" s="517"/>
      <c r="AK24" s="517"/>
      <c r="AL24" s="554"/>
      <c r="AM24" s="554"/>
      <c r="AN24" s="554"/>
      <c r="AO24" s="546"/>
      <c r="AP24" s="309"/>
      <c r="AQ24" s="309"/>
      <c r="AR24" s="506"/>
      <c r="AS24" s="533"/>
      <c r="AT24" s="508"/>
      <c r="AU24" s="506"/>
      <c r="AV24" s="508"/>
      <c r="AW24" s="506"/>
      <c r="AX24" s="506"/>
      <c r="AY24" s="506"/>
      <c r="AZ24" s="506"/>
      <c r="BA24" s="506"/>
      <c r="BB24" s="506"/>
      <c r="BC24" s="506"/>
      <c r="BD24" s="506"/>
      <c r="BE24" s="506"/>
      <c r="BF24" s="506"/>
      <c r="BG24" s="506"/>
      <c r="BH24" s="506"/>
      <c r="BI24" s="197"/>
      <c r="BJ24" s="197"/>
      <c r="BK24" s="248"/>
      <c r="BL24" s="550"/>
    </row>
    <row r="25" spans="1:64" x14ac:dyDescent="0.25">
      <c r="A25" s="345"/>
      <c r="B25" s="345"/>
      <c r="C25" s="347"/>
      <c r="D25" s="347" t="s">
        <v>115</v>
      </c>
      <c r="E25" s="339">
        <v>1</v>
      </c>
      <c r="F25" s="294">
        <v>1</v>
      </c>
      <c r="G25" s="273">
        <v>0</v>
      </c>
      <c r="H25" s="385">
        <f>G25/F25</f>
        <v>0</v>
      </c>
      <c r="I25" s="385">
        <f>0/E25</f>
        <v>0</v>
      </c>
      <c r="J25" s="309"/>
      <c r="K25" s="309"/>
      <c r="L25" s="309"/>
      <c r="M25" s="305"/>
      <c r="N25" s="547">
        <v>44562</v>
      </c>
      <c r="O25" s="547">
        <v>44926</v>
      </c>
      <c r="P25" s="536">
        <v>365</v>
      </c>
      <c r="Q25" s="338"/>
      <c r="R25" s="317"/>
      <c r="S25" s="351"/>
      <c r="T25" s="537"/>
      <c r="U25" s="516"/>
      <c r="V25" s="516"/>
      <c r="W25" s="305"/>
      <c r="X25" s="305"/>
      <c r="Y25" s="536" t="s">
        <v>394</v>
      </c>
      <c r="Z25" s="536" t="s">
        <v>393</v>
      </c>
      <c r="AA25" s="515"/>
      <c r="AB25" s="515"/>
      <c r="AC25" s="536" t="s">
        <v>393</v>
      </c>
      <c r="AD25" s="515"/>
      <c r="AE25" s="515"/>
      <c r="AF25" s="536" t="s">
        <v>393</v>
      </c>
      <c r="AG25" s="515"/>
      <c r="AH25" s="515"/>
      <c r="AI25" s="536" t="s">
        <v>393</v>
      </c>
      <c r="AJ25" s="515"/>
      <c r="AK25" s="515"/>
      <c r="AL25" s="553">
        <v>1</v>
      </c>
      <c r="AM25" s="553">
        <v>1</v>
      </c>
      <c r="AN25" s="553">
        <v>1</v>
      </c>
      <c r="AO25" s="544">
        <v>0</v>
      </c>
      <c r="AP25" s="309"/>
      <c r="AQ25" s="309"/>
      <c r="AR25" s="506"/>
      <c r="AS25" s="533"/>
      <c r="AT25" s="508"/>
      <c r="AU25" s="506"/>
      <c r="AV25" s="508"/>
      <c r="AW25" s="506"/>
      <c r="AX25" s="506"/>
      <c r="AY25" s="506"/>
      <c r="AZ25" s="506"/>
      <c r="BA25" s="506"/>
      <c r="BB25" s="506"/>
      <c r="BC25" s="506"/>
      <c r="BD25" s="506"/>
      <c r="BE25" s="506"/>
      <c r="BF25" s="506"/>
      <c r="BG25" s="506"/>
      <c r="BH25" s="506"/>
      <c r="BI25" s="197"/>
      <c r="BJ25" s="197"/>
      <c r="BK25" s="248"/>
      <c r="BL25" s="550"/>
    </row>
    <row r="26" spans="1:64" x14ac:dyDescent="0.25">
      <c r="A26" s="345"/>
      <c r="B26" s="345"/>
      <c r="C26" s="347"/>
      <c r="D26" s="347"/>
      <c r="E26" s="339"/>
      <c r="F26" s="296"/>
      <c r="G26" s="275"/>
      <c r="H26" s="387"/>
      <c r="I26" s="387"/>
      <c r="J26" s="309"/>
      <c r="K26" s="309"/>
      <c r="L26" s="309"/>
      <c r="M26" s="305"/>
      <c r="N26" s="548"/>
      <c r="O26" s="548"/>
      <c r="P26" s="538"/>
      <c r="Q26" s="338"/>
      <c r="R26" s="317"/>
      <c r="S26" s="351"/>
      <c r="T26" s="537"/>
      <c r="U26" s="516"/>
      <c r="V26" s="516"/>
      <c r="W26" s="305"/>
      <c r="X26" s="305"/>
      <c r="Y26" s="538"/>
      <c r="Z26" s="538"/>
      <c r="AA26" s="517"/>
      <c r="AB26" s="517"/>
      <c r="AC26" s="538"/>
      <c r="AD26" s="517"/>
      <c r="AE26" s="517"/>
      <c r="AF26" s="538"/>
      <c r="AG26" s="517"/>
      <c r="AH26" s="517"/>
      <c r="AI26" s="538"/>
      <c r="AJ26" s="517"/>
      <c r="AK26" s="517"/>
      <c r="AL26" s="554"/>
      <c r="AM26" s="554"/>
      <c r="AN26" s="554"/>
      <c r="AO26" s="546"/>
      <c r="AP26" s="309"/>
      <c r="AQ26" s="309"/>
      <c r="AR26" s="506"/>
      <c r="AS26" s="533"/>
      <c r="AT26" s="508"/>
      <c r="AU26" s="506"/>
      <c r="AV26" s="508"/>
      <c r="AW26" s="506"/>
      <c r="AX26" s="506"/>
      <c r="AY26" s="506"/>
      <c r="AZ26" s="506"/>
      <c r="BA26" s="506"/>
      <c r="BB26" s="506"/>
      <c r="BC26" s="506"/>
      <c r="BD26" s="506"/>
      <c r="BE26" s="506"/>
      <c r="BF26" s="506"/>
      <c r="BG26" s="506"/>
      <c r="BH26" s="506"/>
      <c r="BI26" s="197"/>
      <c r="BJ26" s="197"/>
      <c r="BK26" s="248"/>
      <c r="BL26" s="550"/>
    </row>
    <row r="27" spans="1:64" ht="75" x14ac:dyDescent="0.25">
      <c r="A27" s="345"/>
      <c r="B27" s="345"/>
      <c r="C27" s="347"/>
      <c r="D27" s="214" t="s">
        <v>116</v>
      </c>
      <c r="E27" s="210">
        <v>40</v>
      </c>
      <c r="F27" s="80">
        <v>20</v>
      </c>
      <c r="G27" s="80">
        <v>0</v>
      </c>
      <c r="H27" s="183">
        <f>G27/F27</f>
        <v>0</v>
      </c>
      <c r="I27" s="183">
        <f>0/E27</f>
        <v>0</v>
      </c>
      <c r="J27" s="309"/>
      <c r="K27" s="309"/>
      <c r="L27" s="309"/>
      <c r="M27" s="270"/>
      <c r="N27" s="245">
        <v>44562</v>
      </c>
      <c r="O27" s="245">
        <v>44926</v>
      </c>
      <c r="P27" s="205">
        <v>365</v>
      </c>
      <c r="Q27" s="337"/>
      <c r="R27" s="318"/>
      <c r="S27" s="352"/>
      <c r="T27" s="538"/>
      <c r="U27" s="517"/>
      <c r="V27" s="517"/>
      <c r="W27" s="270"/>
      <c r="X27" s="270"/>
      <c r="Y27" s="205" t="s">
        <v>394</v>
      </c>
      <c r="Z27" s="205" t="s">
        <v>393</v>
      </c>
      <c r="AA27" s="197"/>
      <c r="AB27" s="197"/>
      <c r="AC27" s="205" t="s">
        <v>393</v>
      </c>
      <c r="AD27" s="197"/>
      <c r="AE27" s="197"/>
      <c r="AF27" s="205" t="s">
        <v>393</v>
      </c>
      <c r="AG27" s="197"/>
      <c r="AH27" s="197"/>
      <c r="AI27" s="205" t="s">
        <v>393</v>
      </c>
      <c r="AJ27" s="197"/>
      <c r="AK27" s="197"/>
      <c r="AL27" s="200">
        <v>1</v>
      </c>
      <c r="AM27" s="200">
        <v>1</v>
      </c>
      <c r="AN27" s="200">
        <v>1</v>
      </c>
      <c r="AO27" s="247">
        <v>0</v>
      </c>
      <c r="AP27" s="309"/>
      <c r="AQ27" s="309"/>
      <c r="AR27" s="506"/>
      <c r="AS27" s="533"/>
      <c r="AT27" s="508"/>
      <c r="AU27" s="506"/>
      <c r="AV27" s="508"/>
      <c r="AW27" s="506"/>
      <c r="AX27" s="506"/>
      <c r="AY27" s="506"/>
      <c r="AZ27" s="506"/>
      <c r="BA27" s="506"/>
      <c r="BB27" s="506"/>
      <c r="BC27" s="506"/>
      <c r="BD27" s="506"/>
      <c r="BE27" s="506"/>
      <c r="BF27" s="506"/>
      <c r="BG27" s="506"/>
      <c r="BH27" s="506"/>
      <c r="BI27" s="197"/>
      <c r="BJ27" s="197"/>
      <c r="BK27" s="248"/>
      <c r="BL27" s="272"/>
    </row>
    <row r="28" spans="1:64" ht="105" x14ac:dyDescent="0.25">
      <c r="A28" s="345"/>
      <c r="B28" s="345"/>
      <c r="C28" s="347" t="s">
        <v>41</v>
      </c>
      <c r="D28" s="347" t="s">
        <v>117</v>
      </c>
      <c r="E28" s="339">
        <v>1</v>
      </c>
      <c r="F28" s="414" t="s">
        <v>140</v>
      </c>
      <c r="G28" s="414" t="s">
        <v>71</v>
      </c>
      <c r="H28" s="414" t="s">
        <v>71</v>
      </c>
      <c r="I28" s="551">
        <v>1</v>
      </c>
      <c r="J28" s="309" t="s">
        <v>143</v>
      </c>
      <c r="K28" s="309" t="s">
        <v>154</v>
      </c>
      <c r="L28" s="309" t="s">
        <v>155</v>
      </c>
      <c r="M28" s="68" t="s">
        <v>202</v>
      </c>
      <c r="N28" s="245">
        <v>44562</v>
      </c>
      <c r="O28" s="245">
        <v>44926</v>
      </c>
      <c r="P28" s="205">
        <v>365</v>
      </c>
      <c r="Q28" s="48">
        <v>1</v>
      </c>
      <c r="R28" s="40">
        <v>0.3</v>
      </c>
      <c r="S28" s="40">
        <v>0.4</v>
      </c>
      <c r="T28" s="205" t="s">
        <v>393</v>
      </c>
      <c r="U28" s="197"/>
      <c r="V28" s="197"/>
      <c r="W28" s="68" t="s">
        <v>202</v>
      </c>
      <c r="X28" s="68" t="s">
        <v>202</v>
      </c>
      <c r="Y28" s="205" t="s">
        <v>394</v>
      </c>
      <c r="Z28" s="205" t="s">
        <v>393</v>
      </c>
      <c r="AA28" s="197"/>
      <c r="AB28" s="197"/>
      <c r="AC28" s="205" t="s">
        <v>393</v>
      </c>
      <c r="AD28" s="197"/>
      <c r="AE28" s="197"/>
      <c r="AF28" s="205" t="s">
        <v>393</v>
      </c>
      <c r="AG28" s="197"/>
      <c r="AH28" s="197"/>
      <c r="AI28" s="205" t="s">
        <v>393</v>
      </c>
      <c r="AJ28" s="197"/>
      <c r="AK28" s="197"/>
      <c r="AL28" s="246">
        <v>0.4</v>
      </c>
      <c r="AM28" s="246">
        <v>0.12</v>
      </c>
      <c r="AN28" s="246">
        <v>0.12</v>
      </c>
      <c r="AO28" s="247">
        <v>0.6</v>
      </c>
      <c r="AP28" s="309">
        <f>V28</f>
        <v>0</v>
      </c>
      <c r="AQ28" s="309" t="s">
        <v>190</v>
      </c>
      <c r="AR28" s="505">
        <v>402189566</v>
      </c>
      <c r="AS28" s="533">
        <f>41808000/AR28</f>
        <v>0.10395098116493653</v>
      </c>
      <c r="AT28" s="507">
        <v>402189566</v>
      </c>
      <c r="AU28" s="505">
        <v>402189566</v>
      </c>
      <c r="AV28" s="507">
        <f>AT28-AU28</f>
        <v>0</v>
      </c>
      <c r="AW28" s="505">
        <v>202189566</v>
      </c>
      <c r="AX28" s="505">
        <v>29952000</v>
      </c>
      <c r="AY28" s="505">
        <v>7488000</v>
      </c>
      <c r="AZ28" s="505">
        <v>202189566</v>
      </c>
      <c r="BA28" s="505">
        <v>29952000</v>
      </c>
      <c r="BB28" s="505">
        <v>18720000</v>
      </c>
      <c r="BC28" s="505">
        <v>402189566</v>
      </c>
      <c r="BD28" s="505">
        <v>41808000</v>
      </c>
      <c r="BE28" s="505">
        <v>29952000</v>
      </c>
      <c r="BF28" s="505">
        <v>402189566</v>
      </c>
      <c r="BG28" s="505">
        <v>41808000</v>
      </c>
      <c r="BH28" s="505">
        <v>41808000</v>
      </c>
      <c r="BI28" s="197"/>
      <c r="BJ28" s="197"/>
      <c r="BK28" s="248"/>
      <c r="BL28" s="271" t="s">
        <v>401</v>
      </c>
    </row>
    <row r="29" spans="1:64" ht="75" x14ac:dyDescent="0.25">
      <c r="A29" s="345"/>
      <c r="B29" s="345"/>
      <c r="C29" s="347"/>
      <c r="D29" s="347"/>
      <c r="E29" s="339"/>
      <c r="F29" s="415"/>
      <c r="G29" s="415"/>
      <c r="H29" s="415"/>
      <c r="I29" s="555"/>
      <c r="J29" s="309"/>
      <c r="K29" s="309"/>
      <c r="L29" s="309"/>
      <c r="M29" s="68" t="s">
        <v>203</v>
      </c>
      <c r="N29" s="245">
        <v>44562</v>
      </c>
      <c r="O29" s="245">
        <v>44926</v>
      </c>
      <c r="P29" s="205">
        <v>365</v>
      </c>
      <c r="Q29" s="48">
        <v>1</v>
      </c>
      <c r="R29" s="40">
        <v>0.3</v>
      </c>
      <c r="S29" s="40">
        <v>1</v>
      </c>
      <c r="T29" s="205" t="s">
        <v>393</v>
      </c>
      <c r="U29" s="197"/>
      <c r="V29" s="197"/>
      <c r="W29" s="68" t="s">
        <v>203</v>
      </c>
      <c r="X29" s="68" t="s">
        <v>203</v>
      </c>
      <c r="Y29" s="205" t="s">
        <v>394</v>
      </c>
      <c r="Z29" s="205" t="s">
        <v>393</v>
      </c>
      <c r="AA29" s="197"/>
      <c r="AB29" s="197"/>
      <c r="AC29" s="205" t="s">
        <v>393</v>
      </c>
      <c r="AD29" s="197"/>
      <c r="AE29" s="197"/>
      <c r="AF29" s="205" t="s">
        <v>393</v>
      </c>
      <c r="AG29" s="197"/>
      <c r="AH29" s="197"/>
      <c r="AI29" s="205" t="s">
        <v>393</v>
      </c>
      <c r="AJ29" s="197"/>
      <c r="AK29" s="197"/>
      <c r="AL29" s="246">
        <v>1</v>
      </c>
      <c r="AM29" s="246">
        <v>1</v>
      </c>
      <c r="AN29" s="246">
        <v>1</v>
      </c>
      <c r="AO29" s="247">
        <v>0</v>
      </c>
      <c r="AP29" s="309"/>
      <c r="AQ29" s="309"/>
      <c r="AR29" s="506"/>
      <c r="AS29" s="533"/>
      <c r="AT29" s="508"/>
      <c r="AU29" s="506"/>
      <c r="AV29" s="508"/>
      <c r="AW29" s="506"/>
      <c r="AX29" s="506"/>
      <c r="AY29" s="506"/>
      <c r="AZ29" s="506"/>
      <c r="BA29" s="506"/>
      <c r="BB29" s="506"/>
      <c r="BC29" s="506"/>
      <c r="BD29" s="506"/>
      <c r="BE29" s="506"/>
      <c r="BF29" s="506"/>
      <c r="BG29" s="506"/>
      <c r="BH29" s="506"/>
      <c r="BI29" s="197"/>
      <c r="BJ29" s="197"/>
      <c r="BK29" s="248"/>
      <c r="BL29" s="550"/>
    </row>
    <row r="30" spans="1:64" x14ac:dyDescent="0.25">
      <c r="A30" s="345"/>
      <c r="B30" s="345"/>
      <c r="C30" s="347"/>
      <c r="D30" s="357" t="s">
        <v>118</v>
      </c>
      <c r="E30" s="340">
        <v>0.3</v>
      </c>
      <c r="F30" s="286">
        <v>0.3</v>
      </c>
      <c r="G30" s="551">
        <v>0.495</v>
      </c>
      <c r="H30" s="551">
        <f>209/127</f>
        <v>1.6456692913385826</v>
      </c>
      <c r="I30" s="551">
        <f>209/127</f>
        <v>1.6456692913385826</v>
      </c>
      <c r="J30" s="309"/>
      <c r="K30" s="309"/>
      <c r="L30" s="309"/>
      <c r="M30" s="367" t="s">
        <v>204</v>
      </c>
      <c r="N30" s="547">
        <v>44562</v>
      </c>
      <c r="O30" s="547">
        <v>44926</v>
      </c>
      <c r="P30" s="536">
        <v>365</v>
      </c>
      <c r="Q30" s="336">
        <v>1</v>
      </c>
      <c r="R30" s="328">
        <v>0.4</v>
      </c>
      <c r="S30" s="328">
        <v>0.2</v>
      </c>
      <c r="T30" s="536" t="s">
        <v>393</v>
      </c>
      <c r="U30" s="515"/>
      <c r="V30" s="515"/>
      <c r="W30" s="367" t="s">
        <v>204</v>
      </c>
      <c r="X30" s="367" t="s">
        <v>204</v>
      </c>
      <c r="Y30" s="536" t="s">
        <v>394</v>
      </c>
      <c r="Z30" s="536" t="s">
        <v>393</v>
      </c>
      <c r="AA30" s="515"/>
      <c r="AB30" s="515"/>
      <c r="AC30" s="536" t="s">
        <v>393</v>
      </c>
      <c r="AD30" s="515"/>
      <c r="AE30" s="515"/>
      <c r="AF30" s="536" t="s">
        <v>393</v>
      </c>
      <c r="AG30" s="515"/>
      <c r="AH30" s="515"/>
      <c r="AI30" s="536" t="s">
        <v>393</v>
      </c>
      <c r="AJ30" s="515"/>
      <c r="AK30" s="515"/>
      <c r="AL30" s="541">
        <v>0.2</v>
      </c>
      <c r="AM30" s="541">
        <v>0.08</v>
      </c>
      <c r="AN30" s="541">
        <v>0.6</v>
      </c>
      <c r="AO30" s="541">
        <v>0.8</v>
      </c>
      <c r="AP30" s="309"/>
      <c r="AQ30" s="309"/>
      <c r="AR30" s="506"/>
      <c r="AS30" s="533"/>
      <c r="AT30" s="508"/>
      <c r="AU30" s="506"/>
      <c r="AV30" s="508"/>
      <c r="AW30" s="506"/>
      <c r="AX30" s="506"/>
      <c r="AY30" s="506"/>
      <c r="AZ30" s="506"/>
      <c r="BA30" s="506"/>
      <c r="BB30" s="506"/>
      <c r="BC30" s="506"/>
      <c r="BD30" s="506"/>
      <c r="BE30" s="506"/>
      <c r="BF30" s="506"/>
      <c r="BG30" s="506"/>
      <c r="BH30" s="506"/>
      <c r="BI30" s="197"/>
      <c r="BJ30" s="197"/>
      <c r="BK30" s="248"/>
      <c r="BL30" s="550"/>
    </row>
    <row r="31" spans="1:64" x14ac:dyDescent="0.25">
      <c r="A31" s="345"/>
      <c r="B31" s="345"/>
      <c r="C31" s="347"/>
      <c r="D31" s="358"/>
      <c r="E31" s="341"/>
      <c r="F31" s="287"/>
      <c r="G31" s="555"/>
      <c r="H31" s="555"/>
      <c r="I31" s="555"/>
      <c r="J31" s="309"/>
      <c r="K31" s="309"/>
      <c r="L31" s="309"/>
      <c r="M31" s="368"/>
      <c r="N31" s="556"/>
      <c r="O31" s="556"/>
      <c r="P31" s="537"/>
      <c r="Q31" s="338"/>
      <c r="R31" s="349"/>
      <c r="S31" s="349"/>
      <c r="T31" s="537"/>
      <c r="U31" s="516"/>
      <c r="V31" s="516"/>
      <c r="W31" s="368"/>
      <c r="X31" s="368"/>
      <c r="Y31" s="537"/>
      <c r="Z31" s="537"/>
      <c r="AA31" s="516"/>
      <c r="AB31" s="516"/>
      <c r="AC31" s="537"/>
      <c r="AD31" s="516"/>
      <c r="AE31" s="516"/>
      <c r="AF31" s="537"/>
      <c r="AG31" s="516"/>
      <c r="AH31" s="516"/>
      <c r="AI31" s="537"/>
      <c r="AJ31" s="516"/>
      <c r="AK31" s="516"/>
      <c r="AL31" s="557"/>
      <c r="AM31" s="557"/>
      <c r="AN31" s="557"/>
      <c r="AO31" s="557"/>
      <c r="AP31" s="309"/>
      <c r="AQ31" s="309"/>
      <c r="AR31" s="506"/>
      <c r="AS31" s="533"/>
      <c r="AT31" s="508"/>
      <c r="AU31" s="506"/>
      <c r="AV31" s="508"/>
      <c r="AW31" s="506"/>
      <c r="AX31" s="506"/>
      <c r="AY31" s="506"/>
      <c r="AZ31" s="506"/>
      <c r="BA31" s="506"/>
      <c r="BB31" s="506"/>
      <c r="BC31" s="506"/>
      <c r="BD31" s="506"/>
      <c r="BE31" s="506"/>
      <c r="BF31" s="506"/>
      <c r="BG31" s="506"/>
      <c r="BH31" s="506"/>
      <c r="BI31" s="197"/>
      <c r="BJ31" s="197"/>
      <c r="BK31" s="248"/>
      <c r="BL31" s="550"/>
    </row>
    <row r="32" spans="1:64" ht="105" x14ac:dyDescent="0.25">
      <c r="A32" s="345"/>
      <c r="B32" s="345"/>
      <c r="C32" s="347"/>
      <c r="D32" s="214" t="s">
        <v>119</v>
      </c>
      <c r="E32" s="33">
        <v>0.1</v>
      </c>
      <c r="F32" s="208">
        <v>0.05</v>
      </c>
      <c r="G32" s="182">
        <v>0</v>
      </c>
      <c r="H32" s="182">
        <v>0</v>
      </c>
      <c r="I32" s="182">
        <v>0</v>
      </c>
      <c r="J32" s="309"/>
      <c r="K32" s="309"/>
      <c r="L32" s="309"/>
      <c r="M32" s="369"/>
      <c r="N32" s="548"/>
      <c r="O32" s="548"/>
      <c r="P32" s="538"/>
      <c r="Q32" s="337"/>
      <c r="R32" s="329"/>
      <c r="S32" s="329"/>
      <c r="T32" s="538"/>
      <c r="U32" s="517"/>
      <c r="V32" s="517"/>
      <c r="W32" s="369"/>
      <c r="X32" s="369"/>
      <c r="Y32" s="538"/>
      <c r="Z32" s="538"/>
      <c r="AA32" s="517"/>
      <c r="AB32" s="517"/>
      <c r="AC32" s="538"/>
      <c r="AD32" s="517"/>
      <c r="AE32" s="517"/>
      <c r="AF32" s="538"/>
      <c r="AG32" s="517"/>
      <c r="AH32" s="517"/>
      <c r="AI32" s="538"/>
      <c r="AJ32" s="517"/>
      <c r="AK32" s="517"/>
      <c r="AL32" s="558"/>
      <c r="AM32" s="558"/>
      <c r="AN32" s="558"/>
      <c r="AO32" s="558"/>
      <c r="AP32" s="309"/>
      <c r="AQ32" s="309"/>
      <c r="AR32" s="506"/>
      <c r="AS32" s="533"/>
      <c r="AT32" s="508"/>
      <c r="AU32" s="506"/>
      <c r="AV32" s="508"/>
      <c r="AW32" s="506"/>
      <c r="AX32" s="506"/>
      <c r="AY32" s="506"/>
      <c r="AZ32" s="506"/>
      <c r="BA32" s="506"/>
      <c r="BB32" s="506"/>
      <c r="BC32" s="506"/>
      <c r="BD32" s="506"/>
      <c r="BE32" s="506"/>
      <c r="BF32" s="506"/>
      <c r="BG32" s="506"/>
      <c r="BH32" s="506"/>
      <c r="BI32" s="197"/>
      <c r="BJ32" s="197"/>
      <c r="BK32" s="248"/>
      <c r="BL32" s="272"/>
    </row>
    <row r="33" spans="1:64" ht="165" x14ac:dyDescent="0.25">
      <c r="A33" s="345"/>
      <c r="B33" s="345"/>
      <c r="C33" s="347" t="s">
        <v>42</v>
      </c>
      <c r="D33" s="347" t="s">
        <v>120</v>
      </c>
      <c r="E33" s="332">
        <v>6</v>
      </c>
      <c r="F33" s="288">
        <v>3</v>
      </c>
      <c r="G33" s="559">
        <v>4</v>
      </c>
      <c r="H33" s="531">
        <f>G33/F33</f>
        <v>1.3333333333333333</v>
      </c>
      <c r="I33" s="531">
        <f>6/E33</f>
        <v>1</v>
      </c>
      <c r="J33" s="309" t="s">
        <v>144</v>
      </c>
      <c r="K33" s="309" t="s">
        <v>156</v>
      </c>
      <c r="L33" s="309" t="s">
        <v>157</v>
      </c>
      <c r="M33" s="44" t="s">
        <v>175</v>
      </c>
      <c r="N33" s="245">
        <v>44562</v>
      </c>
      <c r="O33" s="245">
        <v>44926</v>
      </c>
      <c r="P33" s="205">
        <v>365</v>
      </c>
      <c r="Q33" s="48">
        <v>1</v>
      </c>
      <c r="R33" s="220">
        <v>0.1</v>
      </c>
      <c r="S33" s="220">
        <v>1</v>
      </c>
      <c r="T33" s="205" t="s">
        <v>393</v>
      </c>
      <c r="U33" s="197"/>
      <c r="V33" s="197"/>
      <c r="W33" s="44" t="s">
        <v>175</v>
      </c>
      <c r="X33" s="44" t="s">
        <v>175</v>
      </c>
      <c r="Y33" s="205" t="s">
        <v>394</v>
      </c>
      <c r="Z33" s="205" t="s">
        <v>393</v>
      </c>
      <c r="AA33" s="197"/>
      <c r="AB33" s="197"/>
      <c r="AC33" s="205" t="s">
        <v>393</v>
      </c>
      <c r="AD33" s="197"/>
      <c r="AE33" s="197"/>
      <c r="AF33" s="205" t="s">
        <v>393</v>
      </c>
      <c r="AG33" s="197"/>
      <c r="AH33" s="197"/>
      <c r="AI33" s="205" t="s">
        <v>393</v>
      </c>
      <c r="AJ33" s="197"/>
      <c r="AK33" s="197"/>
      <c r="AL33" s="246">
        <v>1</v>
      </c>
      <c r="AM33" s="246">
        <f t="shared" si="0"/>
        <v>0.1</v>
      </c>
      <c r="AN33" s="246">
        <v>1</v>
      </c>
      <c r="AO33" s="247">
        <v>0</v>
      </c>
      <c r="AP33" s="309">
        <f>V33</f>
        <v>0</v>
      </c>
      <c r="AQ33" s="309" t="s">
        <v>190</v>
      </c>
      <c r="AR33" s="505">
        <v>702189567</v>
      </c>
      <c r="AS33" s="533">
        <f>142257820/AR33</f>
        <v>0.20259175966936574</v>
      </c>
      <c r="AT33" s="507">
        <v>702189567</v>
      </c>
      <c r="AU33" s="505">
        <v>702189567</v>
      </c>
      <c r="AV33" s="507">
        <f>AT33-AU33</f>
        <v>0</v>
      </c>
      <c r="AW33" s="505">
        <v>602189567</v>
      </c>
      <c r="AX33" s="505">
        <v>65952000</v>
      </c>
      <c r="AY33" s="505">
        <v>16488000</v>
      </c>
      <c r="AZ33" s="505">
        <v>602189567</v>
      </c>
      <c r="BA33" s="505">
        <v>65952000</v>
      </c>
      <c r="BB33" s="505">
        <v>37476000</v>
      </c>
      <c r="BC33" s="505">
        <v>702189567</v>
      </c>
      <c r="BD33" s="505">
        <v>92732400</v>
      </c>
      <c r="BE33" s="505">
        <v>61452000</v>
      </c>
      <c r="BF33" s="505">
        <v>702189567</v>
      </c>
      <c r="BG33" s="505">
        <v>142257820</v>
      </c>
      <c r="BH33" s="505">
        <v>92732400</v>
      </c>
      <c r="BI33" s="197"/>
      <c r="BJ33" s="197"/>
      <c r="BK33" s="248"/>
      <c r="BL33" s="271" t="s">
        <v>402</v>
      </c>
    </row>
    <row r="34" spans="1:64" ht="45" x14ac:dyDescent="0.25">
      <c r="A34" s="345"/>
      <c r="B34" s="345"/>
      <c r="C34" s="347"/>
      <c r="D34" s="347"/>
      <c r="E34" s="332"/>
      <c r="F34" s="289"/>
      <c r="G34" s="559"/>
      <c r="H34" s="531"/>
      <c r="I34" s="531"/>
      <c r="J34" s="309"/>
      <c r="K34" s="309"/>
      <c r="L34" s="309"/>
      <c r="M34" s="44" t="s">
        <v>234</v>
      </c>
      <c r="N34" s="245">
        <v>44562</v>
      </c>
      <c r="O34" s="245">
        <v>44926</v>
      </c>
      <c r="P34" s="205">
        <v>365</v>
      </c>
      <c r="Q34" s="48">
        <v>1</v>
      </c>
      <c r="R34" s="220">
        <v>0.1</v>
      </c>
      <c r="S34" s="220">
        <v>1</v>
      </c>
      <c r="T34" s="205" t="s">
        <v>393</v>
      </c>
      <c r="U34" s="197"/>
      <c r="V34" s="197"/>
      <c r="W34" s="44" t="s">
        <v>234</v>
      </c>
      <c r="X34" s="44" t="s">
        <v>234</v>
      </c>
      <c r="Y34" s="205" t="s">
        <v>394</v>
      </c>
      <c r="Z34" s="205" t="s">
        <v>393</v>
      </c>
      <c r="AA34" s="197"/>
      <c r="AB34" s="197"/>
      <c r="AC34" s="205" t="s">
        <v>393</v>
      </c>
      <c r="AD34" s="197"/>
      <c r="AE34" s="197"/>
      <c r="AF34" s="205" t="s">
        <v>393</v>
      </c>
      <c r="AG34" s="197"/>
      <c r="AH34" s="197"/>
      <c r="AI34" s="205" t="s">
        <v>393</v>
      </c>
      <c r="AJ34" s="197"/>
      <c r="AK34" s="197"/>
      <c r="AL34" s="246">
        <v>1</v>
      </c>
      <c r="AM34" s="246">
        <f t="shared" si="0"/>
        <v>0.1</v>
      </c>
      <c r="AN34" s="246">
        <v>1</v>
      </c>
      <c r="AO34" s="247">
        <v>0</v>
      </c>
      <c r="AP34" s="309"/>
      <c r="AQ34" s="309"/>
      <c r="AR34" s="506"/>
      <c r="AS34" s="533"/>
      <c r="AT34" s="508"/>
      <c r="AU34" s="506"/>
      <c r="AV34" s="508"/>
      <c r="AW34" s="506"/>
      <c r="AX34" s="506"/>
      <c r="AY34" s="506"/>
      <c r="AZ34" s="506"/>
      <c r="BA34" s="506"/>
      <c r="BB34" s="506"/>
      <c r="BC34" s="506"/>
      <c r="BD34" s="506"/>
      <c r="BE34" s="506"/>
      <c r="BF34" s="506"/>
      <c r="BG34" s="506"/>
      <c r="BH34" s="506"/>
      <c r="BI34" s="197"/>
      <c r="BJ34" s="197"/>
      <c r="BK34" s="248"/>
      <c r="BL34" s="550"/>
    </row>
    <row r="35" spans="1:64" ht="150" x14ac:dyDescent="0.25">
      <c r="A35" s="345"/>
      <c r="B35" s="345"/>
      <c r="C35" s="347"/>
      <c r="D35" s="347"/>
      <c r="E35" s="332"/>
      <c r="F35" s="289"/>
      <c r="G35" s="559"/>
      <c r="H35" s="531"/>
      <c r="I35" s="531"/>
      <c r="J35" s="309"/>
      <c r="K35" s="309"/>
      <c r="L35" s="309"/>
      <c r="M35" s="44" t="s">
        <v>241</v>
      </c>
      <c r="N35" s="245">
        <v>44562</v>
      </c>
      <c r="O35" s="245">
        <v>44926</v>
      </c>
      <c r="P35" s="205">
        <v>365</v>
      </c>
      <c r="Q35" s="48">
        <v>4</v>
      </c>
      <c r="R35" s="220">
        <v>0.1</v>
      </c>
      <c r="S35" s="220">
        <v>1</v>
      </c>
      <c r="T35" s="205" t="s">
        <v>393</v>
      </c>
      <c r="U35" s="197"/>
      <c r="V35" s="197"/>
      <c r="W35" s="44" t="s">
        <v>241</v>
      </c>
      <c r="X35" s="44" t="s">
        <v>241</v>
      </c>
      <c r="Y35" s="205" t="s">
        <v>394</v>
      </c>
      <c r="Z35" s="205" t="s">
        <v>393</v>
      </c>
      <c r="AA35" s="197"/>
      <c r="AB35" s="197"/>
      <c r="AC35" s="205" t="s">
        <v>393</v>
      </c>
      <c r="AD35" s="197"/>
      <c r="AE35" s="197"/>
      <c r="AF35" s="205" t="s">
        <v>393</v>
      </c>
      <c r="AG35" s="197"/>
      <c r="AH35" s="197"/>
      <c r="AI35" s="205" t="s">
        <v>393</v>
      </c>
      <c r="AJ35" s="197"/>
      <c r="AK35" s="197"/>
      <c r="AL35" s="246">
        <v>1</v>
      </c>
      <c r="AM35" s="246">
        <f t="shared" si="0"/>
        <v>0.1</v>
      </c>
      <c r="AN35" s="246">
        <v>1</v>
      </c>
      <c r="AO35" s="247">
        <v>0</v>
      </c>
      <c r="AP35" s="309"/>
      <c r="AQ35" s="309"/>
      <c r="AR35" s="506"/>
      <c r="AS35" s="533"/>
      <c r="AT35" s="508"/>
      <c r="AU35" s="506"/>
      <c r="AV35" s="508"/>
      <c r="AW35" s="506"/>
      <c r="AX35" s="506"/>
      <c r="AY35" s="506"/>
      <c r="AZ35" s="506"/>
      <c r="BA35" s="506"/>
      <c r="BB35" s="506"/>
      <c r="BC35" s="506"/>
      <c r="BD35" s="506"/>
      <c r="BE35" s="506"/>
      <c r="BF35" s="506"/>
      <c r="BG35" s="506"/>
      <c r="BH35" s="506"/>
      <c r="BI35" s="197"/>
      <c r="BJ35" s="197"/>
      <c r="BK35" s="248"/>
      <c r="BL35" s="550"/>
    </row>
    <row r="36" spans="1:64" ht="105" x14ac:dyDescent="0.25">
      <c r="A36" s="345"/>
      <c r="B36" s="345"/>
      <c r="C36" s="347"/>
      <c r="D36" s="347"/>
      <c r="E36" s="332"/>
      <c r="F36" s="290"/>
      <c r="G36" s="559"/>
      <c r="H36" s="531"/>
      <c r="I36" s="531"/>
      <c r="J36" s="309"/>
      <c r="K36" s="309"/>
      <c r="L36" s="309"/>
      <c r="M36" s="44" t="s">
        <v>240</v>
      </c>
      <c r="N36" s="245">
        <v>44562</v>
      </c>
      <c r="O36" s="245">
        <v>44926</v>
      </c>
      <c r="P36" s="205">
        <v>365</v>
      </c>
      <c r="Q36" s="48">
        <v>1</v>
      </c>
      <c r="R36" s="220">
        <v>0.1</v>
      </c>
      <c r="S36" s="220">
        <v>0.1</v>
      </c>
      <c r="T36" s="205" t="s">
        <v>393</v>
      </c>
      <c r="U36" s="197"/>
      <c r="V36" s="197"/>
      <c r="W36" s="44" t="s">
        <v>240</v>
      </c>
      <c r="X36" s="44" t="s">
        <v>240</v>
      </c>
      <c r="Y36" s="205" t="s">
        <v>394</v>
      </c>
      <c r="Z36" s="249" t="s">
        <v>393</v>
      </c>
      <c r="AA36" s="201"/>
      <c r="AB36" s="201"/>
      <c r="AC36" s="249" t="s">
        <v>393</v>
      </c>
      <c r="AD36" s="201"/>
      <c r="AE36" s="201"/>
      <c r="AF36" s="249" t="s">
        <v>393</v>
      </c>
      <c r="AG36" s="201"/>
      <c r="AH36" s="201"/>
      <c r="AI36" s="249" t="s">
        <v>393</v>
      </c>
      <c r="AJ36" s="201"/>
      <c r="AK36" s="201"/>
      <c r="AL36" s="246">
        <v>0.1</v>
      </c>
      <c r="AM36" s="246">
        <v>0.01</v>
      </c>
      <c r="AN36" s="246">
        <v>0.1</v>
      </c>
      <c r="AO36" s="250">
        <v>0.9</v>
      </c>
      <c r="AP36" s="309"/>
      <c r="AQ36" s="309"/>
      <c r="AR36" s="506"/>
      <c r="AS36" s="533"/>
      <c r="AT36" s="508"/>
      <c r="AU36" s="506"/>
      <c r="AV36" s="508"/>
      <c r="AW36" s="506"/>
      <c r="AX36" s="506"/>
      <c r="AY36" s="506"/>
      <c r="AZ36" s="506"/>
      <c r="BA36" s="506"/>
      <c r="BB36" s="506"/>
      <c r="BC36" s="506"/>
      <c r="BD36" s="506"/>
      <c r="BE36" s="506"/>
      <c r="BF36" s="506"/>
      <c r="BG36" s="506"/>
      <c r="BH36" s="506"/>
      <c r="BI36" s="197"/>
      <c r="BJ36" s="197"/>
      <c r="BK36" s="248"/>
      <c r="BL36" s="550"/>
    </row>
    <row r="37" spans="1:64" ht="60" x14ac:dyDescent="0.25">
      <c r="A37" s="345"/>
      <c r="B37" s="345"/>
      <c r="C37" s="347"/>
      <c r="D37" s="347" t="s">
        <v>121</v>
      </c>
      <c r="E37" s="332">
        <v>800</v>
      </c>
      <c r="F37" s="319">
        <v>500</v>
      </c>
      <c r="G37" s="560">
        <v>289</v>
      </c>
      <c r="H37" s="531">
        <f>G37/F37</f>
        <v>0.57799999999999996</v>
      </c>
      <c r="I37" s="531">
        <f>(199+289)/E37</f>
        <v>0.61</v>
      </c>
      <c r="J37" s="309"/>
      <c r="K37" s="309"/>
      <c r="L37" s="309"/>
      <c r="M37" s="44" t="s">
        <v>206</v>
      </c>
      <c r="N37" s="245">
        <v>44562</v>
      </c>
      <c r="O37" s="245">
        <v>44926</v>
      </c>
      <c r="P37" s="205">
        <v>365</v>
      </c>
      <c r="Q37" s="48">
        <v>1</v>
      </c>
      <c r="R37" s="220">
        <v>0.3</v>
      </c>
      <c r="S37" s="220">
        <v>1</v>
      </c>
      <c r="T37" s="205" t="s">
        <v>393</v>
      </c>
      <c r="U37" s="197"/>
      <c r="V37" s="197"/>
      <c r="W37" s="44" t="s">
        <v>206</v>
      </c>
      <c r="X37" s="44" t="s">
        <v>206</v>
      </c>
      <c r="Y37" s="205" t="s">
        <v>394</v>
      </c>
      <c r="Z37" s="205" t="s">
        <v>393</v>
      </c>
      <c r="AA37" s="197"/>
      <c r="AB37" s="197"/>
      <c r="AC37" s="205" t="s">
        <v>393</v>
      </c>
      <c r="AD37" s="197"/>
      <c r="AE37" s="197"/>
      <c r="AF37" s="205" t="s">
        <v>393</v>
      </c>
      <c r="AG37" s="197"/>
      <c r="AH37" s="197"/>
      <c r="AI37" s="205" t="s">
        <v>393</v>
      </c>
      <c r="AJ37" s="197"/>
      <c r="AK37" s="197"/>
      <c r="AL37" s="246">
        <v>1</v>
      </c>
      <c r="AM37" s="246">
        <f t="shared" si="0"/>
        <v>0.3</v>
      </c>
      <c r="AN37" s="246">
        <v>1</v>
      </c>
      <c r="AO37" s="247">
        <v>0</v>
      </c>
      <c r="AP37" s="309"/>
      <c r="AQ37" s="309"/>
      <c r="AR37" s="506"/>
      <c r="AS37" s="533"/>
      <c r="AT37" s="508"/>
      <c r="AU37" s="506"/>
      <c r="AV37" s="508"/>
      <c r="AW37" s="506"/>
      <c r="AX37" s="506"/>
      <c r="AY37" s="506"/>
      <c r="AZ37" s="506"/>
      <c r="BA37" s="506"/>
      <c r="BB37" s="506"/>
      <c r="BC37" s="506"/>
      <c r="BD37" s="506"/>
      <c r="BE37" s="506"/>
      <c r="BF37" s="506"/>
      <c r="BG37" s="506"/>
      <c r="BH37" s="506"/>
      <c r="BI37" s="197"/>
      <c r="BJ37" s="197"/>
      <c r="BK37" s="248"/>
      <c r="BL37" s="550"/>
    </row>
    <row r="38" spans="1:64" ht="90" x14ac:dyDescent="0.25">
      <c r="A38" s="345"/>
      <c r="B38" s="345"/>
      <c r="C38" s="347"/>
      <c r="D38" s="347"/>
      <c r="E38" s="332"/>
      <c r="F38" s="320"/>
      <c r="G38" s="560"/>
      <c r="H38" s="531"/>
      <c r="I38" s="531"/>
      <c r="J38" s="309"/>
      <c r="K38" s="309"/>
      <c r="L38" s="309"/>
      <c r="M38" s="44" t="s">
        <v>239</v>
      </c>
      <c r="N38" s="245">
        <v>44562</v>
      </c>
      <c r="O38" s="245">
        <v>44926</v>
      </c>
      <c r="P38" s="205">
        <v>365</v>
      </c>
      <c r="Q38" s="48">
        <v>1</v>
      </c>
      <c r="R38" s="220">
        <v>0.1</v>
      </c>
      <c r="S38" s="220">
        <v>0</v>
      </c>
      <c r="T38" s="205" t="s">
        <v>393</v>
      </c>
      <c r="U38" s="197"/>
      <c r="V38" s="197"/>
      <c r="W38" s="44" t="s">
        <v>239</v>
      </c>
      <c r="X38" s="44" t="s">
        <v>239</v>
      </c>
      <c r="Y38" s="205" t="s">
        <v>394</v>
      </c>
      <c r="Z38" s="249" t="s">
        <v>393</v>
      </c>
      <c r="AA38" s="201"/>
      <c r="AB38" s="201"/>
      <c r="AC38" s="249" t="s">
        <v>393</v>
      </c>
      <c r="AD38" s="201"/>
      <c r="AE38" s="201"/>
      <c r="AF38" s="249" t="s">
        <v>393</v>
      </c>
      <c r="AG38" s="201"/>
      <c r="AH38" s="201"/>
      <c r="AI38" s="249" t="s">
        <v>393</v>
      </c>
      <c r="AJ38" s="201"/>
      <c r="AK38" s="201"/>
      <c r="AL38" s="246">
        <v>0</v>
      </c>
      <c r="AM38" s="246">
        <v>0</v>
      </c>
      <c r="AN38" s="246">
        <v>0</v>
      </c>
      <c r="AO38" s="250">
        <v>1</v>
      </c>
      <c r="AP38" s="309"/>
      <c r="AQ38" s="309"/>
      <c r="AR38" s="506"/>
      <c r="AS38" s="533"/>
      <c r="AT38" s="508"/>
      <c r="AU38" s="506"/>
      <c r="AV38" s="508"/>
      <c r="AW38" s="506"/>
      <c r="AX38" s="506"/>
      <c r="AY38" s="506"/>
      <c r="AZ38" s="506"/>
      <c r="BA38" s="506"/>
      <c r="BB38" s="506"/>
      <c r="BC38" s="506"/>
      <c r="BD38" s="506"/>
      <c r="BE38" s="506"/>
      <c r="BF38" s="506"/>
      <c r="BG38" s="506"/>
      <c r="BH38" s="506"/>
      <c r="BI38" s="197"/>
      <c r="BJ38" s="197"/>
      <c r="BK38" s="248"/>
      <c r="BL38" s="550"/>
    </row>
    <row r="39" spans="1:64" ht="195" x14ac:dyDescent="0.25">
      <c r="A39" s="345"/>
      <c r="B39" s="345"/>
      <c r="C39" s="347"/>
      <c r="D39" s="347"/>
      <c r="E39" s="332"/>
      <c r="F39" s="320"/>
      <c r="G39" s="560"/>
      <c r="H39" s="531"/>
      <c r="I39" s="531"/>
      <c r="J39" s="309"/>
      <c r="K39" s="309"/>
      <c r="L39" s="309"/>
      <c r="M39" s="39" t="s">
        <v>238</v>
      </c>
      <c r="N39" s="245">
        <v>44562</v>
      </c>
      <c r="O39" s="245">
        <v>44926</v>
      </c>
      <c r="P39" s="205">
        <v>365</v>
      </c>
      <c r="Q39" s="48">
        <v>1</v>
      </c>
      <c r="R39" s="220">
        <v>0.1</v>
      </c>
      <c r="S39" s="220">
        <v>0.6</v>
      </c>
      <c r="T39" s="205" t="s">
        <v>393</v>
      </c>
      <c r="U39" s="197"/>
      <c r="V39" s="197"/>
      <c r="W39" s="39" t="s">
        <v>238</v>
      </c>
      <c r="X39" s="39" t="s">
        <v>238</v>
      </c>
      <c r="Y39" s="205" t="s">
        <v>394</v>
      </c>
      <c r="Z39" s="205" t="s">
        <v>393</v>
      </c>
      <c r="AA39" s="197"/>
      <c r="AB39" s="197"/>
      <c r="AC39" s="205" t="s">
        <v>393</v>
      </c>
      <c r="AD39" s="197"/>
      <c r="AE39" s="197"/>
      <c r="AF39" s="205" t="s">
        <v>393</v>
      </c>
      <c r="AG39" s="197"/>
      <c r="AH39" s="197"/>
      <c r="AI39" s="205" t="s">
        <v>393</v>
      </c>
      <c r="AJ39" s="197"/>
      <c r="AK39" s="197"/>
      <c r="AL39" s="246">
        <v>0.6</v>
      </c>
      <c r="AM39" s="246">
        <v>0.06</v>
      </c>
      <c r="AN39" s="246">
        <v>0.06</v>
      </c>
      <c r="AO39" s="247">
        <v>0.4</v>
      </c>
      <c r="AP39" s="309"/>
      <c r="AQ39" s="309"/>
      <c r="AR39" s="506"/>
      <c r="AS39" s="533"/>
      <c r="AT39" s="508"/>
      <c r="AU39" s="506"/>
      <c r="AV39" s="508"/>
      <c r="AW39" s="506"/>
      <c r="AX39" s="506"/>
      <c r="AY39" s="506"/>
      <c r="AZ39" s="506"/>
      <c r="BA39" s="506"/>
      <c r="BB39" s="506"/>
      <c r="BC39" s="506"/>
      <c r="BD39" s="506"/>
      <c r="BE39" s="506"/>
      <c r="BF39" s="506"/>
      <c r="BG39" s="506"/>
      <c r="BH39" s="506"/>
      <c r="BI39" s="197"/>
      <c r="BJ39" s="197"/>
      <c r="BK39" s="248"/>
      <c r="BL39" s="550"/>
    </row>
    <row r="40" spans="1:64" ht="180" x14ac:dyDescent="0.25">
      <c r="A40" s="345"/>
      <c r="B40" s="345"/>
      <c r="C40" s="347"/>
      <c r="D40" s="347"/>
      <c r="E40" s="332"/>
      <c r="F40" s="320"/>
      <c r="G40" s="560"/>
      <c r="H40" s="531"/>
      <c r="I40" s="531"/>
      <c r="J40" s="309"/>
      <c r="K40" s="309"/>
      <c r="L40" s="309"/>
      <c r="M40" s="211" t="s">
        <v>237</v>
      </c>
      <c r="N40" s="245">
        <v>44562</v>
      </c>
      <c r="O40" s="245">
        <v>44926</v>
      </c>
      <c r="P40" s="205">
        <v>365</v>
      </c>
      <c r="Q40" s="48">
        <v>1</v>
      </c>
      <c r="R40" s="220">
        <v>0.1</v>
      </c>
      <c r="S40" s="220">
        <v>0</v>
      </c>
      <c r="T40" s="205" t="s">
        <v>393</v>
      </c>
      <c r="U40" s="197"/>
      <c r="V40" s="197"/>
      <c r="W40" s="211" t="s">
        <v>237</v>
      </c>
      <c r="X40" s="211" t="s">
        <v>237</v>
      </c>
      <c r="Y40" s="205" t="s">
        <v>394</v>
      </c>
      <c r="Z40" s="249" t="s">
        <v>393</v>
      </c>
      <c r="AA40" s="201"/>
      <c r="AB40" s="201"/>
      <c r="AC40" s="249" t="s">
        <v>393</v>
      </c>
      <c r="AD40" s="201"/>
      <c r="AE40" s="201"/>
      <c r="AF40" s="249" t="s">
        <v>393</v>
      </c>
      <c r="AG40" s="201"/>
      <c r="AH40" s="201"/>
      <c r="AI40" s="249" t="s">
        <v>393</v>
      </c>
      <c r="AJ40" s="201"/>
      <c r="AK40" s="201"/>
      <c r="AL40" s="246">
        <v>0</v>
      </c>
      <c r="AM40" s="246">
        <v>0</v>
      </c>
      <c r="AN40" s="246">
        <v>0</v>
      </c>
      <c r="AO40" s="250">
        <v>1</v>
      </c>
      <c r="AP40" s="309"/>
      <c r="AQ40" s="309"/>
      <c r="AR40" s="506"/>
      <c r="AS40" s="533"/>
      <c r="AT40" s="508"/>
      <c r="AU40" s="506"/>
      <c r="AV40" s="508"/>
      <c r="AW40" s="506"/>
      <c r="AX40" s="506"/>
      <c r="AY40" s="506"/>
      <c r="AZ40" s="506"/>
      <c r="BA40" s="506"/>
      <c r="BB40" s="506"/>
      <c r="BC40" s="506"/>
      <c r="BD40" s="506"/>
      <c r="BE40" s="506"/>
      <c r="BF40" s="506"/>
      <c r="BG40" s="506"/>
      <c r="BH40" s="506"/>
      <c r="BI40" s="197"/>
      <c r="BJ40" s="197"/>
      <c r="BK40" s="248"/>
      <c r="BL40" s="272"/>
    </row>
    <row r="41" spans="1:64" ht="180" x14ac:dyDescent="0.25">
      <c r="A41" s="345"/>
      <c r="B41" s="345"/>
      <c r="C41" s="347" t="s">
        <v>43</v>
      </c>
      <c r="D41" s="214" t="s">
        <v>122</v>
      </c>
      <c r="E41" s="221">
        <v>1</v>
      </c>
      <c r="F41" s="30">
        <v>1</v>
      </c>
      <c r="G41" s="75">
        <v>1</v>
      </c>
      <c r="H41" s="181">
        <f>G41/F41</f>
        <v>1</v>
      </c>
      <c r="I41" s="181">
        <f>1/E41</f>
        <v>1</v>
      </c>
      <c r="J41" s="309" t="s">
        <v>145</v>
      </c>
      <c r="K41" s="309" t="s">
        <v>158</v>
      </c>
      <c r="L41" s="309" t="s">
        <v>159</v>
      </c>
      <c r="M41" s="211" t="s">
        <v>236</v>
      </c>
      <c r="N41" s="245">
        <v>44562</v>
      </c>
      <c r="O41" s="245">
        <v>44926</v>
      </c>
      <c r="P41" s="205">
        <v>365</v>
      </c>
      <c r="Q41" s="48">
        <v>1</v>
      </c>
      <c r="R41" s="220">
        <v>0.2</v>
      </c>
      <c r="S41" s="220">
        <v>0.25</v>
      </c>
      <c r="T41" s="205" t="s">
        <v>393</v>
      </c>
      <c r="U41" s="197"/>
      <c r="V41" s="197"/>
      <c r="W41" s="211" t="s">
        <v>236</v>
      </c>
      <c r="X41" s="211" t="s">
        <v>236</v>
      </c>
      <c r="Y41" s="205" t="s">
        <v>394</v>
      </c>
      <c r="Z41" s="205" t="s">
        <v>393</v>
      </c>
      <c r="AA41" s="197"/>
      <c r="AB41" s="197"/>
      <c r="AC41" s="205" t="s">
        <v>393</v>
      </c>
      <c r="AD41" s="197"/>
      <c r="AE41" s="197"/>
      <c r="AF41" s="205" t="s">
        <v>393</v>
      </c>
      <c r="AG41" s="197"/>
      <c r="AH41" s="197"/>
      <c r="AI41" s="205" t="s">
        <v>393</v>
      </c>
      <c r="AJ41" s="197"/>
      <c r="AK41" s="197"/>
      <c r="AL41" s="246">
        <v>0.25</v>
      </c>
      <c r="AM41" s="246">
        <v>0.05</v>
      </c>
      <c r="AN41" s="246">
        <v>0.05</v>
      </c>
      <c r="AO41" s="250">
        <v>0.75</v>
      </c>
      <c r="AP41" s="309">
        <f>V41</f>
        <v>0</v>
      </c>
      <c r="AQ41" s="309" t="s">
        <v>190</v>
      </c>
      <c r="AR41" s="505">
        <v>402189567</v>
      </c>
      <c r="AS41" s="533">
        <f>112925866/AR41</f>
        <v>0.28077771097428789</v>
      </c>
      <c r="AT41" s="507">
        <v>402189567</v>
      </c>
      <c r="AU41" s="505">
        <v>402189567</v>
      </c>
      <c r="AV41" s="507">
        <f>AT41-AU41</f>
        <v>0</v>
      </c>
      <c r="AW41" s="505">
        <v>202189567</v>
      </c>
      <c r="AX41" s="505">
        <v>31616000</v>
      </c>
      <c r="AY41" s="505">
        <v>7904000</v>
      </c>
      <c r="AZ41" s="505">
        <v>202189567</v>
      </c>
      <c r="BA41" s="505">
        <v>31616000</v>
      </c>
      <c r="BB41" s="505">
        <v>19760000</v>
      </c>
      <c r="BC41" s="505">
        <v>402189567</v>
      </c>
      <c r="BD41" s="505">
        <v>49925866</v>
      </c>
      <c r="BE41" s="505">
        <v>31616000</v>
      </c>
      <c r="BF41" s="505">
        <v>402189567</v>
      </c>
      <c r="BG41" s="505">
        <v>112925866</v>
      </c>
      <c r="BH41" s="505">
        <v>112925866</v>
      </c>
      <c r="BI41" s="197"/>
      <c r="BJ41" s="197"/>
      <c r="BK41" s="248"/>
      <c r="BL41" s="271" t="s">
        <v>272</v>
      </c>
    </row>
    <row r="42" spans="1:64" ht="195" x14ac:dyDescent="0.25">
      <c r="A42" s="345"/>
      <c r="B42" s="345"/>
      <c r="C42" s="347"/>
      <c r="D42" s="347" t="s">
        <v>123</v>
      </c>
      <c r="E42" s="332">
        <v>6</v>
      </c>
      <c r="F42" s="294">
        <v>4</v>
      </c>
      <c r="G42" s="273">
        <v>5</v>
      </c>
      <c r="H42" s="385">
        <f>G42/F42</f>
        <v>1.25</v>
      </c>
      <c r="I42" s="385">
        <f>(1+G42)/E42</f>
        <v>1</v>
      </c>
      <c r="J42" s="309"/>
      <c r="K42" s="309"/>
      <c r="L42" s="309"/>
      <c r="M42" s="211" t="s">
        <v>235</v>
      </c>
      <c r="N42" s="245">
        <v>44562</v>
      </c>
      <c r="O42" s="245">
        <v>44926</v>
      </c>
      <c r="P42" s="205">
        <v>365</v>
      </c>
      <c r="Q42" s="48">
        <v>1</v>
      </c>
      <c r="R42" s="220">
        <v>0.15</v>
      </c>
      <c r="S42" s="220">
        <v>1</v>
      </c>
      <c r="T42" s="205" t="s">
        <v>393</v>
      </c>
      <c r="U42" s="197"/>
      <c r="V42" s="197"/>
      <c r="W42" s="211" t="s">
        <v>235</v>
      </c>
      <c r="X42" s="211" t="s">
        <v>235</v>
      </c>
      <c r="Y42" s="205" t="s">
        <v>394</v>
      </c>
      <c r="Z42" s="205" t="s">
        <v>393</v>
      </c>
      <c r="AA42" s="197"/>
      <c r="AB42" s="197"/>
      <c r="AC42" s="205" t="s">
        <v>393</v>
      </c>
      <c r="AD42" s="197"/>
      <c r="AE42" s="197"/>
      <c r="AF42" s="205" t="s">
        <v>393</v>
      </c>
      <c r="AG42" s="197"/>
      <c r="AH42" s="197"/>
      <c r="AI42" s="205" t="s">
        <v>393</v>
      </c>
      <c r="AJ42" s="197"/>
      <c r="AK42" s="197"/>
      <c r="AL42" s="246">
        <v>1</v>
      </c>
      <c r="AM42" s="246">
        <f t="shared" si="0"/>
        <v>0.15</v>
      </c>
      <c r="AN42" s="246">
        <v>1</v>
      </c>
      <c r="AO42" s="247">
        <v>0</v>
      </c>
      <c r="AP42" s="309"/>
      <c r="AQ42" s="309"/>
      <c r="AR42" s="506"/>
      <c r="AS42" s="533"/>
      <c r="AT42" s="508"/>
      <c r="AU42" s="506"/>
      <c r="AV42" s="508"/>
      <c r="AW42" s="506"/>
      <c r="AX42" s="506"/>
      <c r="AY42" s="506"/>
      <c r="AZ42" s="506"/>
      <c r="BA42" s="506"/>
      <c r="BB42" s="506"/>
      <c r="BC42" s="506"/>
      <c r="BD42" s="506"/>
      <c r="BE42" s="506"/>
      <c r="BF42" s="506"/>
      <c r="BG42" s="506"/>
      <c r="BH42" s="506"/>
      <c r="BI42" s="197"/>
      <c r="BJ42" s="197"/>
      <c r="BK42" s="248"/>
      <c r="BL42" s="550"/>
    </row>
    <row r="43" spans="1:64" ht="360" x14ac:dyDescent="0.25">
      <c r="A43" s="345"/>
      <c r="B43" s="345"/>
      <c r="C43" s="347"/>
      <c r="D43" s="347"/>
      <c r="E43" s="332"/>
      <c r="F43" s="295"/>
      <c r="G43" s="274"/>
      <c r="H43" s="386"/>
      <c r="I43" s="386"/>
      <c r="J43" s="309"/>
      <c r="K43" s="309"/>
      <c r="L43" s="309"/>
      <c r="M43" s="211" t="s">
        <v>208</v>
      </c>
      <c r="N43" s="245">
        <v>44562</v>
      </c>
      <c r="O43" s="245">
        <v>44926</v>
      </c>
      <c r="P43" s="205">
        <v>365</v>
      </c>
      <c r="Q43" s="48">
        <v>1</v>
      </c>
      <c r="R43" s="220">
        <v>0.25</v>
      </c>
      <c r="S43" s="220">
        <v>1</v>
      </c>
      <c r="T43" s="205" t="s">
        <v>393</v>
      </c>
      <c r="U43" s="197"/>
      <c r="V43" s="197"/>
      <c r="W43" s="211" t="s">
        <v>208</v>
      </c>
      <c r="X43" s="211" t="s">
        <v>208</v>
      </c>
      <c r="Y43" s="205" t="s">
        <v>394</v>
      </c>
      <c r="Z43" s="205" t="s">
        <v>393</v>
      </c>
      <c r="AA43" s="197"/>
      <c r="AB43" s="197"/>
      <c r="AC43" s="205" t="s">
        <v>393</v>
      </c>
      <c r="AD43" s="197"/>
      <c r="AE43" s="197"/>
      <c r="AF43" s="205" t="s">
        <v>393</v>
      </c>
      <c r="AG43" s="197"/>
      <c r="AH43" s="197"/>
      <c r="AI43" s="205" t="s">
        <v>393</v>
      </c>
      <c r="AJ43" s="197"/>
      <c r="AK43" s="197"/>
      <c r="AL43" s="246">
        <v>1</v>
      </c>
      <c r="AM43" s="246">
        <f t="shared" si="0"/>
        <v>0.25</v>
      </c>
      <c r="AN43" s="246">
        <v>1</v>
      </c>
      <c r="AO43" s="247">
        <v>0</v>
      </c>
      <c r="AP43" s="309"/>
      <c r="AQ43" s="309"/>
      <c r="AR43" s="506"/>
      <c r="AS43" s="533"/>
      <c r="AT43" s="508"/>
      <c r="AU43" s="506"/>
      <c r="AV43" s="508"/>
      <c r="AW43" s="506"/>
      <c r="AX43" s="506"/>
      <c r="AY43" s="506"/>
      <c r="AZ43" s="506"/>
      <c r="BA43" s="506"/>
      <c r="BB43" s="506"/>
      <c r="BC43" s="506"/>
      <c r="BD43" s="506"/>
      <c r="BE43" s="506"/>
      <c r="BF43" s="506"/>
      <c r="BG43" s="506"/>
      <c r="BH43" s="506"/>
      <c r="BI43" s="197"/>
      <c r="BJ43" s="197"/>
      <c r="BK43" s="248"/>
      <c r="BL43" s="550"/>
    </row>
    <row r="44" spans="1:64" ht="105" x14ac:dyDescent="0.25">
      <c r="A44" s="345"/>
      <c r="B44" s="345"/>
      <c r="C44" s="347"/>
      <c r="D44" s="347"/>
      <c r="E44" s="332"/>
      <c r="F44" s="295"/>
      <c r="G44" s="274"/>
      <c r="H44" s="386"/>
      <c r="I44" s="386"/>
      <c r="J44" s="309"/>
      <c r="K44" s="309"/>
      <c r="L44" s="309"/>
      <c r="M44" s="211" t="s">
        <v>209</v>
      </c>
      <c r="N44" s="245">
        <v>44562</v>
      </c>
      <c r="O44" s="245">
        <v>44926</v>
      </c>
      <c r="P44" s="205">
        <v>365</v>
      </c>
      <c r="Q44" s="48">
        <v>4</v>
      </c>
      <c r="R44" s="220">
        <v>0.15</v>
      </c>
      <c r="S44" s="220">
        <v>1</v>
      </c>
      <c r="T44" s="205" t="s">
        <v>393</v>
      </c>
      <c r="U44" s="197"/>
      <c r="V44" s="197"/>
      <c r="W44" s="211" t="s">
        <v>209</v>
      </c>
      <c r="X44" s="211" t="s">
        <v>209</v>
      </c>
      <c r="Y44" s="205" t="s">
        <v>394</v>
      </c>
      <c r="Z44" s="205" t="s">
        <v>393</v>
      </c>
      <c r="AA44" s="197"/>
      <c r="AB44" s="197"/>
      <c r="AC44" s="205" t="s">
        <v>393</v>
      </c>
      <c r="AD44" s="197"/>
      <c r="AE44" s="197"/>
      <c r="AF44" s="205" t="s">
        <v>393</v>
      </c>
      <c r="AG44" s="197"/>
      <c r="AH44" s="197"/>
      <c r="AI44" s="205" t="s">
        <v>393</v>
      </c>
      <c r="AJ44" s="197"/>
      <c r="AK44" s="197"/>
      <c r="AL44" s="246">
        <v>1</v>
      </c>
      <c r="AM44" s="246">
        <f t="shared" si="0"/>
        <v>0.15</v>
      </c>
      <c r="AN44" s="246">
        <v>1</v>
      </c>
      <c r="AO44" s="247">
        <v>0</v>
      </c>
      <c r="AP44" s="309"/>
      <c r="AQ44" s="309"/>
      <c r="AR44" s="506"/>
      <c r="AS44" s="533"/>
      <c r="AT44" s="508"/>
      <c r="AU44" s="506"/>
      <c r="AV44" s="508"/>
      <c r="AW44" s="506"/>
      <c r="AX44" s="506"/>
      <c r="AY44" s="506"/>
      <c r="AZ44" s="506"/>
      <c r="BA44" s="506"/>
      <c r="BB44" s="506"/>
      <c r="BC44" s="506"/>
      <c r="BD44" s="506"/>
      <c r="BE44" s="506"/>
      <c r="BF44" s="506"/>
      <c r="BG44" s="506"/>
      <c r="BH44" s="506"/>
      <c r="BI44" s="197"/>
      <c r="BJ44" s="197"/>
      <c r="BK44" s="248"/>
      <c r="BL44" s="550"/>
    </row>
    <row r="45" spans="1:64" ht="105" x14ac:dyDescent="0.25">
      <c r="A45" s="345"/>
      <c r="B45" s="345"/>
      <c r="C45" s="347"/>
      <c r="D45" s="347"/>
      <c r="E45" s="332"/>
      <c r="F45" s="296"/>
      <c r="G45" s="275"/>
      <c r="H45" s="387"/>
      <c r="I45" s="387"/>
      <c r="J45" s="309"/>
      <c r="K45" s="309"/>
      <c r="L45" s="309"/>
      <c r="M45" s="211" t="s">
        <v>210</v>
      </c>
      <c r="N45" s="245">
        <v>44562</v>
      </c>
      <c r="O45" s="245">
        <v>44926</v>
      </c>
      <c r="P45" s="205">
        <v>365</v>
      </c>
      <c r="Q45" s="48">
        <v>1</v>
      </c>
      <c r="R45" s="220">
        <v>0.15</v>
      </c>
      <c r="S45" s="220">
        <v>0.1</v>
      </c>
      <c r="T45" s="205" t="s">
        <v>393</v>
      </c>
      <c r="U45" s="197"/>
      <c r="V45" s="197"/>
      <c r="W45" s="211" t="s">
        <v>210</v>
      </c>
      <c r="X45" s="211" t="s">
        <v>210</v>
      </c>
      <c r="Y45" s="205" t="s">
        <v>394</v>
      </c>
      <c r="Z45" s="205" t="s">
        <v>393</v>
      </c>
      <c r="AA45" s="197"/>
      <c r="AB45" s="197"/>
      <c r="AC45" s="205" t="s">
        <v>393</v>
      </c>
      <c r="AD45" s="205"/>
      <c r="AE45" s="205"/>
      <c r="AF45" s="205" t="s">
        <v>393</v>
      </c>
      <c r="AG45" s="205"/>
      <c r="AH45" s="205"/>
      <c r="AI45" s="205" t="s">
        <v>393</v>
      </c>
      <c r="AJ45" s="205"/>
      <c r="AK45" s="205"/>
      <c r="AL45" s="246">
        <v>0.1</v>
      </c>
      <c r="AM45" s="246">
        <v>1.4999999999999999E-2</v>
      </c>
      <c r="AN45" s="246">
        <v>1.4999999999999999E-2</v>
      </c>
      <c r="AO45" s="247">
        <v>0.9</v>
      </c>
      <c r="AP45" s="309"/>
      <c r="AQ45" s="309"/>
      <c r="AR45" s="506"/>
      <c r="AS45" s="533"/>
      <c r="AT45" s="508"/>
      <c r="AU45" s="506"/>
      <c r="AV45" s="508"/>
      <c r="AW45" s="506"/>
      <c r="AX45" s="506"/>
      <c r="AY45" s="506"/>
      <c r="AZ45" s="506"/>
      <c r="BA45" s="506"/>
      <c r="BB45" s="506"/>
      <c r="BC45" s="506"/>
      <c r="BD45" s="506"/>
      <c r="BE45" s="506"/>
      <c r="BF45" s="506"/>
      <c r="BG45" s="506"/>
      <c r="BH45" s="506"/>
      <c r="BI45" s="197"/>
      <c r="BJ45" s="197"/>
      <c r="BK45" s="248"/>
      <c r="BL45" s="550"/>
    </row>
    <row r="46" spans="1:64" ht="135" x14ac:dyDescent="0.25">
      <c r="A46" s="345"/>
      <c r="B46" s="345"/>
      <c r="C46" s="347"/>
      <c r="D46" s="215" t="s">
        <v>124</v>
      </c>
      <c r="E46" s="225">
        <v>1</v>
      </c>
      <c r="F46" s="209">
        <v>1</v>
      </c>
      <c r="G46" s="212">
        <v>1</v>
      </c>
      <c r="H46" s="182">
        <f>G46/F46</f>
        <v>1</v>
      </c>
      <c r="I46" s="182">
        <f>1/E46</f>
        <v>1</v>
      </c>
      <c r="J46" s="309"/>
      <c r="K46" s="309"/>
      <c r="L46" s="309"/>
      <c r="M46" s="211" t="s">
        <v>211</v>
      </c>
      <c r="N46" s="245">
        <v>44562</v>
      </c>
      <c r="O46" s="245">
        <v>44926</v>
      </c>
      <c r="P46" s="205">
        <v>365</v>
      </c>
      <c r="Q46" s="48">
        <v>1</v>
      </c>
      <c r="R46" s="220">
        <v>0.1</v>
      </c>
      <c r="S46" s="220">
        <v>1</v>
      </c>
      <c r="T46" s="205" t="s">
        <v>393</v>
      </c>
      <c r="U46" s="197"/>
      <c r="V46" s="197"/>
      <c r="W46" s="211" t="s">
        <v>211</v>
      </c>
      <c r="X46" s="211" t="s">
        <v>211</v>
      </c>
      <c r="Y46" s="205" t="s">
        <v>394</v>
      </c>
      <c r="Z46" s="205" t="s">
        <v>393</v>
      </c>
      <c r="AA46" s="197"/>
      <c r="AB46" s="197"/>
      <c r="AC46" s="205" t="s">
        <v>393</v>
      </c>
      <c r="AD46" s="197"/>
      <c r="AE46" s="197"/>
      <c r="AF46" s="205" t="s">
        <v>393</v>
      </c>
      <c r="AG46" s="197"/>
      <c r="AH46" s="197"/>
      <c r="AI46" s="205" t="s">
        <v>393</v>
      </c>
      <c r="AJ46" s="197"/>
      <c r="AK46" s="197"/>
      <c r="AL46" s="246">
        <v>1</v>
      </c>
      <c r="AM46" s="246">
        <v>1</v>
      </c>
      <c r="AN46" s="246">
        <v>1</v>
      </c>
      <c r="AO46" s="247">
        <f t="shared" si="1"/>
        <v>0</v>
      </c>
      <c r="AP46" s="309"/>
      <c r="AQ46" s="309"/>
      <c r="AR46" s="506"/>
      <c r="AS46" s="533"/>
      <c r="AT46" s="508"/>
      <c r="AU46" s="506"/>
      <c r="AV46" s="508"/>
      <c r="AW46" s="506"/>
      <c r="AX46" s="506"/>
      <c r="AY46" s="506"/>
      <c r="AZ46" s="506"/>
      <c r="BA46" s="506"/>
      <c r="BB46" s="506"/>
      <c r="BC46" s="506"/>
      <c r="BD46" s="506"/>
      <c r="BE46" s="506"/>
      <c r="BF46" s="506"/>
      <c r="BG46" s="506"/>
      <c r="BH46" s="506"/>
      <c r="BI46" s="197"/>
      <c r="BJ46" s="197"/>
      <c r="BK46" s="248"/>
      <c r="BL46" s="272"/>
    </row>
    <row r="47" spans="1:64" ht="270" x14ac:dyDescent="0.25">
      <c r="A47" s="345"/>
      <c r="B47" s="348" t="s">
        <v>44</v>
      </c>
      <c r="C47" s="354" t="s">
        <v>48</v>
      </c>
      <c r="D47" s="216" t="s">
        <v>125</v>
      </c>
      <c r="E47" s="222">
        <v>4</v>
      </c>
      <c r="F47" s="74">
        <v>1</v>
      </c>
      <c r="G47" s="74">
        <v>2</v>
      </c>
      <c r="H47" s="181">
        <f>G47/F47</f>
        <v>2</v>
      </c>
      <c r="I47" s="181">
        <f>(2+G47)/E47</f>
        <v>1</v>
      </c>
      <c r="J47" s="309" t="s">
        <v>146</v>
      </c>
      <c r="K47" s="309" t="s">
        <v>160</v>
      </c>
      <c r="L47" s="309" t="s">
        <v>161</v>
      </c>
      <c r="M47" s="211" t="s">
        <v>213</v>
      </c>
      <c r="N47" s="245">
        <v>44562</v>
      </c>
      <c r="O47" s="245">
        <v>44926</v>
      </c>
      <c r="P47" s="205">
        <v>365</v>
      </c>
      <c r="Q47" s="48">
        <v>1</v>
      </c>
      <c r="R47" s="220">
        <v>0.1</v>
      </c>
      <c r="S47" s="220">
        <v>1</v>
      </c>
      <c r="T47" s="205" t="s">
        <v>393</v>
      </c>
      <c r="U47" s="197"/>
      <c r="V47" s="197"/>
      <c r="W47" s="211" t="s">
        <v>213</v>
      </c>
      <c r="X47" s="211" t="s">
        <v>213</v>
      </c>
      <c r="Y47" s="205" t="s">
        <v>394</v>
      </c>
      <c r="Z47" s="205" t="s">
        <v>393</v>
      </c>
      <c r="AA47" s="197"/>
      <c r="AB47" s="197"/>
      <c r="AC47" s="205" t="s">
        <v>393</v>
      </c>
      <c r="AD47" s="197"/>
      <c r="AE47" s="197"/>
      <c r="AF47" s="205" t="s">
        <v>393</v>
      </c>
      <c r="AG47" s="197"/>
      <c r="AH47" s="197"/>
      <c r="AI47" s="205" t="s">
        <v>393</v>
      </c>
      <c r="AJ47" s="197"/>
      <c r="AK47" s="197"/>
      <c r="AL47" s="246">
        <v>1</v>
      </c>
      <c r="AM47" s="246">
        <f t="shared" si="0"/>
        <v>0.1</v>
      </c>
      <c r="AN47" s="246">
        <v>1</v>
      </c>
      <c r="AO47" s="247">
        <f t="shared" si="1"/>
        <v>1</v>
      </c>
      <c r="AP47" s="309">
        <f>V47</f>
        <v>0</v>
      </c>
      <c r="AQ47" s="309" t="s">
        <v>190</v>
      </c>
      <c r="AR47" s="505">
        <v>1251094783</v>
      </c>
      <c r="AS47" s="533">
        <f>244994783/AR47</f>
        <v>0.19582431829227762</v>
      </c>
      <c r="AT47" s="507">
        <v>1251094783</v>
      </c>
      <c r="AU47" s="505">
        <v>1251094783</v>
      </c>
      <c r="AV47" s="507">
        <f>AT47-AU47</f>
        <v>0</v>
      </c>
      <c r="AW47" s="505">
        <v>251094783</v>
      </c>
      <c r="AX47" s="505">
        <v>39200000</v>
      </c>
      <c r="AY47" s="505">
        <v>0</v>
      </c>
      <c r="AZ47" s="505">
        <v>251094783</v>
      </c>
      <c r="BA47" s="505">
        <v>39200000</v>
      </c>
      <c r="BB47" s="505">
        <v>0</v>
      </c>
      <c r="BC47" s="505">
        <v>1251094783</v>
      </c>
      <c r="BD47" s="505">
        <v>39200000</v>
      </c>
      <c r="BE47" s="505">
        <v>0</v>
      </c>
      <c r="BF47" s="505">
        <v>1251094783</v>
      </c>
      <c r="BG47" s="505">
        <v>244994783</v>
      </c>
      <c r="BH47" s="505">
        <v>244994783</v>
      </c>
      <c r="BI47" s="197"/>
      <c r="BJ47" s="197"/>
      <c r="BK47" s="248"/>
      <c r="BL47" s="271" t="s">
        <v>403</v>
      </c>
    </row>
    <row r="48" spans="1:64" ht="90" x14ac:dyDescent="0.25">
      <c r="A48" s="345"/>
      <c r="B48" s="348"/>
      <c r="C48" s="354"/>
      <c r="D48" s="216" t="s">
        <v>126</v>
      </c>
      <c r="E48" s="224">
        <v>4</v>
      </c>
      <c r="F48" s="74">
        <v>1</v>
      </c>
      <c r="G48" s="74">
        <v>1</v>
      </c>
      <c r="H48" s="181">
        <f>G48/F48</f>
        <v>1</v>
      </c>
      <c r="I48" s="181">
        <f>(1+G48)/E48</f>
        <v>0.5</v>
      </c>
      <c r="J48" s="309"/>
      <c r="K48" s="309"/>
      <c r="L48" s="309"/>
      <c r="M48" s="211" t="s">
        <v>214</v>
      </c>
      <c r="N48" s="245">
        <v>44562</v>
      </c>
      <c r="O48" s="245">
        <v>44926</v>
      </c>
      <c r="P48" s="205">
        <v>365</v>
      </c>
      <c r="Q48" s="48">
        <v>1</v>
      </c>
      <c r="R48" s="220">
        <v>0.1</v>
      </c>
      <c r="S48" s="220">
        <v>1</v>
      </c>
      <c r="T48" s="205" t="s">
        <v>393</v>
      </c>
      <c r="U48" s="197"/>
      <c r="V48" s="197"/>
      <c r="W48" s="211" t="s">
        <v>214</v>
      </c>
      <c r="X48" s="211" t="s">
        <v>214</v>
      </c>
      <c r="Y48" s="205" t="s">
        <v>394</v>
      </c>
      <c r="Z48" s="205" t="s">
        <v>393</v>
      </c>
      <c r="AA48" s="197"/>
      <c r="AB48" s="197"/>
      <c r="AC48" s="205" t="s">
        <v>393</v>
      </c>
      <c r="AD48" s="197"/>
      <c r="AE48" s="197"/>
      <c r="AF48" s="205" t="s">
        <v>393</v>
      </c>
      <c r="AG48" s="197"/>
      <c r="AH48" s="197"/>
      <c r="AI48" s="205" t="s">
        <v>393</v>
      </c>
      <c r="AJ48" s="197"/>
      <c r="AK48" s="197"/>
      <c r="AL48" s="246">
        <v>1</v>
      </c>
      <c r="AM48" s="246">
        <f t="shared" si="0"/>
        <v>0.1</v>
      </c>
      <c r="AN48" s="246">
        <v>1</v>
      </c>
      <c r="AO48" s="247">
        <f t="shared" si="1"/>
        <v>0</v>
      </c>
      <c r="AP48" s="309"/>
      <c r="AQ48" s="309"/>
      <c r="AR48" s="506"/>
      <c r="AS48" s="533"/>
      <c r="AT48" s="508"/>
      <c r="AU48" s="506"/>
      <c r="AV48" s="508"/>
      <c r="AW48" s="506"/>
      <c r="AX48" s="506"/>
      <c r="AY48" s="506"/>
      <c r="AZ48" s="506"/>
      <c r="BA48" s="506"/>
      <c r="BB48" s="506"/>
      <c r="BC48" s="506"/>
      <c r="BD48" s="506"/>
      <c r="BE48" s="506"/>
      <c r="BF48" s="506"/>
      <c r="BG48" s="506"/>
      <c r="BH48" s="506"/>
      <c r="BI48" s="197"/>
      <c r="BJ48" s="197"/>
      <c r="BK48" s="248"/>
      <c r="BL48" s="550"/>
    </row>
    <row r="49" spans="1:64" ht="120" x14ac:dyDescent="0.25">
      <c r="A49" s="345"/>
      <c r="B49" s="348"/>
      <c r="C49" s="354"/>
      <c r="D49" s="216" t="s">
        <v>127</v>
      </c>
      <c r="E49" s="224">
        <v>1</v>
      </c>
      <c r="F49" s="74">
        <v>1</v>
      </c>
      <c r="G49" s="74">
        <v>0</v>
      </c>
      <c r="H49" s="181">
        <f>G49/F49</f>
        <v>0</v>
      </c>
      <c r="I49" s="181">
        <f>(0+G49)/E49</f>
        <v>0</v>
      </c>
      <c r="J49" s="309"/>
      <c r="K49" s="309"/>
      <c r="L49" s="309"/>
      <c r="M49" s="211" t="s">
        <v>215</v>
      </c>
      <c r="N49" s="245">
        <v>44562</v>
      </c>
      <c r="O49" s="245">
        <v>44926</v>
      </c>
      <c r="P49" s="205">
        <v>365</v>
      </c>
      <c r="Q49" s="48">
        <v>2</v>
      </c>
      <c r="R49" s="220">
        <v>0.1</v>
      </c>
      <c r="S49" s="220">
        <v>1</v>
      </c>
      <c r="T49" s="205" t="s">
        <v>393</v>
      </c>
      <c r="U49" s="197"/>
      <c r="V49" s="197"/>
      <c r="W49" s="211" t="s">
        <v>215</v>
      </c>
      <c r="X49" s="211" t="s">
        <v>215</v>
      </c>
      <c r="Y49" s="205" t="s">
        <v>394</v>
      </c>
      <c r="Z49" s="205" t="s">
        <v>393</v>
      </c>
      <c r="AA49" s="197"/>
      <c r="AB49" s="197"/>
      <c r="AC49" s="205" t="s">
        <v>393</v>
      </c>
      <c r="AD49" s="197"/>
      <c r="AE49" s="197"/>
      <c r="AF49" s="205" t="s">
        <v>393</v>
      </c>
      <c r="AG49" s="197"/>
      <c r="AH49" s="197"/>
      <c r="AI49" s="205" t="s">
        <v>393</v>
      </c>
      <c r="AJ49" s="197"/>
      <c r="AK49" s="197"/>
      <c r="AL49" s="246">
        <v>1</v>
      </c>
      <c r="AM49" s="246">
        <f t="shared" si="0"/>
        <v>0.1</v>
      </c>
      <c r="AN49" s="246">
        <v>1</v>
      </c>
      <c r="AO49" s="247">
        <v>0</v>
      </c>
      <c r="AP49" s="309"/>
      <c r="AQ49" s="309"/>
      <c r="AR49" s="506"/>
      <c r="AS49" s="533"/>
      <c r="AT49" s="508"/>
      <c r="AU49" s="506"/>
      <c r="AV49" s="508"/>
      <c r="AW49" s="506"/>
      <c r="AX49" s="506"/>
      <c r="AY49" s="506"/>
      <c r="AZ49" s="506"/>
      <c r="BA49" s="506"/>
      <c r="BB49" s="506"/>
      <c r="BC49" s="506"/>
      <c r="BD49" s="506"/>
      <c r="BE49" s="506"/>
      <c r="BF49" s="506"/>
      <c r="BG49" s="506"/>
      <c r="BH49" s="506"/>
      <c r="BI49" s="197"/>
      <c r="BJ49" s="197"/>
      <c r="BK49" s="248"/>
      <c r="BL49" s="550"/>
    </row>
    <row r="50" spans="1:64" ht="105" x14ac:dyDescent="0.25">
      <c r="A50" s="345"/>
      <c r="B50" s="348"/>
      <c r="C50" s="354"/>
      <c r="D50" s="354" t="s">
        <v>128</v>
      </c>
      <c r="E50" s="561">
        <v>1</v>
      </c>
      <c r="F50" s="300" t="s">
        <v>140</v>
      </c>
      <c r="G50" s="300" t="s">
        <v>140</v>
      </c>
      <c r="H50" s="551" t="s">
        <v>140</v>
      </c>
      <c r="I50" s="551">
        <v>1</v>
      </c>
      <c r="J50" s="309"/>
      <c r="K50" s="309"/>
      <c r="L50" s="309"/>
      <c r="M50" s="211" t="s">
        <v>216</v>
      </c>
      <c r="N50" s="245">
        <v>44562</v>
      </c>
      <c r="O50" s="245">
        <v>44926</v>
      </c>
      <c r="P50" s="205">
        <v>365</v>
      </c>
      <c r="Q50" s="48">
        <v>2</v>
      </c>
      <c r="R50" s="220">
        <v>0.1</v>
      </c>
      <c r="S50" s="220">
        <v>1</v>
      </c>
      <c r="T50" s="205" t="s">
        <v>393</v>
      </c>
      <c r="U50" s="197"/>
      <c r="V50" s="197"/>
      <c r="W50" s="211" t="s">
        <v>216</v>
      </c>
      <c r="X50" s="211" t="s">
        <v>216</v>
      </c>
      <c r="Y50" s="205" t="s">
        <v>394</v>
      </c>
      <c r="Z50" s="205" t="s">
        <v>393</v>
      </c>
      <c r="AA50" s="197"/>
      <c r="AB50" s="197"/>
      <c r="AC50" s="205" t="s">
        <v>393</v>
      </c>
      <c r="AD50" s="197"/>
      <c r="AE50" s="197"/>
      <c r="AF50" s="205" t="s">
        <v>393</v>
      </c>
      <c r="AG50" s="197"/>
      <c r="AH50" s="197"/>
      <c r="AI50" s="205" t="s">
        <v>393</v>
      </c>
      <c r="AJ50" s="197"/>
      <c r="AK50" s="197"/>
      <c r="AL50" s="246">
        <v>1</v>
      </c>
      <c r="AM50" s="246">
        <f t="shared" si="0"/>
        <v>0.1</v>
      </c>
      <c r="AN50" s="246">
        <v>1</v>
      </c>
      <c r="AO50" s="247">
        <v>0</v>
      </c>
      <c r="AP50" s="309"/>
      <c r="AQ50" s="309"/>
      <c r="AR50" s="506"/>
      <c r="AS50" s="533"/>
      <c r="AT50" s="508"/>
      <c r="AU50" s="506"/>
      <c r="AV50" s="508"/>
      <c r="AW50" s="506"/>
      <c r="AX50" s="506"/>
      <c r="AY50" s="506"/>
      <c r="AZ50" s="506"/>
      <c r="BA50" s="506"/>
      <c r="BB50" s="506"/>
      <c r="BC50" s="506"/>
      <c r="BD50" s="506"/>
      <c r="BE50" s="506"/>
      <c r="BF50" s="506"/>
      <c r="BG50" s="506"/>
      <c r="BH50" s="506"/>
      <c r="BI50" s="197"/>
      <c r="BJ50" s="197"/>
      <c r="BK50" s="248"/>
      <c r="BL50" s="550"/>
    </row>
    <row r="51" spans="1:64" ht="120" x14ac:dyDescent="0.25">
      <c r="A51" s="345"/>
      <c r="B51" s="348"/>
      <c r="C51" s="354"/>
      <c r="D51" s="354"/>
      <c r="E51" s="561"/>
      <c r="F51" s="301"/>
      <c r="G51" s="301"/>
      <c r="H51" s="552"/>
      <c r="I51" s="552"/>
      <c r="J51" s="309"/>
      <c r="K51" s="309"/>
      <c r="L51" s="309"/>
      <c r="M51" s="211" t="s">
        <v>217</v>
      </c>
      <c r="N51" s="245">
        <v>44562</v>
      </c>
      <c r="O51" s="245">
        <v>44926</v>
      </c>
      <c r="P51" s="205">
        <v>365</v>
      </c>
      <c r="Q51" s="48">
        <v>2</v>
      </c>
      <c r="R51" s="220">
        <v>0.1</v>
      </c>
      <c r="S51" s="220">
        <v>1</v>
      </c>
      <c r="T51" s="205" t="s">
        <v>393</v>
      </c>
      <c r="U51" s="197"/>
      <c r="V51" s="197"/>
      <c r="W51" s="211" t="s">
        <v>217</v>
      </c>
      <c r="X51" s="211" t="s">
        <v>217</v>
      </c>
      <c r="Y51" s="205" t="s">
        <v>394</v>
      </c>
      <c r="Z51" s="205" t="s">
        <v>393</v>
      </c>
      <c r="AA51" s="197"/>
      <c r="AB51" s="197"/>
      <c r="AC51" s="205" t="s">
        <v>393</v>
      </c>
      <c r="AD51" s="197"/>
      <c r="AE51" s="197"/>
      <c r="AF51" s="205" t="s">
        <v>393</v>
      </c>
      <c r="AG51" s="197"/>
      <c r="AH51" s="197"/>
      <c r="AI51" s="205" t="s">
        <v>393</v>
      </c>
      <c r="AJ51" s="197"/>
      <c r="AK51" s="197"/>
      <c r="AL51" s="246">
        <v>1</v>
      </c>
      <c r="AM51" s="246">
        <f t="shared" si="0"/>
        <v>0.1</v>
      </c>
      <c r="AN51" s="246">
        <v>1</v>
      </c>
      <c r="AO51" s="247">
        <v>0</v>
      </c>
      <c r="AP51" s="309"/>
      <c r="AQ51" s="309"/>
      <c r="AR51" s="506"/>
      <c r="AS51" s="533"/>
      <c r="AT51" s="508"/>
      <c r="AU51" s="506"/>
      <c r="AV51" s="508"/>
      <c r="AW51" s="506"/>
      <c r="AX51" s="506"/>
      <c r="AY51" s="506"/>
      <c r="AZ51" s="506"/>
      <c r="BA51" s="506"/>
      <c r="BB51" s="506"/>
      <c r="BC51" s="506"/>
      <c r="BD51" s="506"/>
      <c r="BE51" s="506"/>
      <c r="BF51" s="506"/>
      <c r="BG51" s="506"/>
      <c r="BH51" s="506"/>
      <c r="BI51" s="197"/>
      <c r="BJ51" s="197"/>
      <c r="BK51" s="248"/>
      <c r="BL51" s="550"/>
    </row>
    <row r="52" spans="1:64" ht="45" x14ac:dyDescent="0.25">
      <c r="A52" s="345"/>
      <c r="B52" s="348"/>
      <c r="C52" s="354"/>
      <c r="D52" s="354"/>
      <c r="E52" s="561"/>
      <c r="F52" s="301"/>
      <c r="G52" s="301"/>
      <c r="H52" s="552"/>
      <c r="I52" s="552"/>
      <c r="J52" s="309"/>
      <c r="K52" s="309"/>
      <c r="L52" s="309"/>
      <c r="M52" s="211" t="s">
        <v>218</v>
      </c>
      <c r="N52" s="245">
        <v>44562</v>
      </c>
      <c r="O52" s="245">
        <v>44926</v>
      </c>
      <c r="P52" s="205">
        <v>365</v>
      </c>
      <c r="Q52" s="48">
        <v>2</v>
      </c>
      <c r="R52" s="220">
        <v>0.1</v>
      </c>
      <c r="S52" s="220">
        <v>1</v>
      </c>
      <c r="T52" s="205" t="s">
        <v>393</v>
      </c>
      <c r="U52" s="197"/>
      <c r="V52" s="197"/>
      <c r="W52" s="211" t="s">
        <v>218</v>
      </c>
      <c r="X52" s="211" t="s">
        <v>218</v>
      </c>
      <c r="Y52" s="205" t="s">
        <v>394</v>
      </c>
      <c r="Z52" s="205" t="s">
        <v>393</v>
      </c>
      <c r="AA52" s="197"/>
      <c r="AB52" s="197"/>
      <c r="AC52" s="205" t="s">
        <v>393</v>
      </c>
      <c r="AD52" s="197"/>
      <c r="AE52" s="197"/>
      <c r="AF52" s="205" t="s">
        <v>393</v>
      </c>
      <c r="AG52" s="197"/>
      <c r="AH52" s="197"/>
      <c r="AI52" s="205" t="s">
        <v>393</v>
      </c>
      <c r="AJ52" s="197"/>
      <c r="AK52" s="197"/>
      <c r="AL52" s="246">
        <v>1</v>
      </c>
      <c r="AM52" s="246">
        <f t="shared" si="0"/>
        <v>0.1</v>
      </c>
      <c r="AN52" s="246">
        <v>1</v>
      </c>
      <c r="AO52" s="247">
        <v>0</v>
      </c>
      <c r="AP52" s="309"/>
      <c r="AQ52" s="309"/>
      <c r="AR52" s="506"/>
      <c r="AS52" s="533"/>
      <c r="AT52" s="508"/>
      <c r="AU52" s="506"/>
      <c r="AV52" s="508"/>
      <c r="AW52" s="506"/>
      <c r="AX52" s="506"/>
      <c r="AY52" s="506"/>
      <c r="AZ52" s="506"/>
      <c r="BA52" s="506"/>
      <c r="BB52" s="506"/>
      <c r="BC52" s="506"/>
      <c r="BD52" s="506"/>
      <c r="BE52" s="506"/>
      <c r="BF52" s="506"/>
      <c r="BG52" s="506"/>
      <c r="BH52" s="506"/>
      <c r="BI52" s="197"/>
      <c r="BJ52" s="197"/>
      <c r="BK52" s="248"/>
      <c r="BL52" s="550"/>
    </row>
    <row r="53" spans="1:64" ht="195" x14ac:dyDescent="0.25">
      <c r="A53" s="345"/>
      <c r="B53" s="348"/>
      <c r="C53" s="354"/>
      <c r="D53" s="354"/>
      <c r="E53" s="561"/>
      <c r="F53" s="301"/>
      <c r="G53" s="301"/>
      <c r="H53" s="552"/>
      <c r="I53" s="552"/>
      <c r="J53" s="309"/>
      <c r="K53" s="309"/>
      <c r="L53" s="309"/>
      <c r="M53" s="211" t="s">
        <v>219</v>
      </c>
      <c r="N53" s="245">
        <v>44562</v>
      </c>
      <c r="O53" s="245">
        <v>44926</v>
      </c>
      <c r="P53" s="205">
        <v>365</v>
      </c>
      <c r="Q53" s="48">
        <v>1</v>
      </c>
      <c r="R53" s="220">
        <v>0.1</v>
      </c>
      <c r="S53" s="220">
        <v>0.5</v>
      </c>
      <c r="T53" s="205" t="s">
        <v>393</v>
      </c>
      <c r="U53" s="197"/>
      <c r="V53" s="197"/>
      <c r="W53" s="211" t="s">
        <v>219</v>
      </c>
      <c r="X53" s="211" t="s">
        <v>219</v>
      </c>
      <c r="Y53" s="205" t="s">
        <v>394</v>
      </c>
      <c r="Z53" s="205" t="s">
        <v>393</v>
      </c>
      <c r="AA53" s="197"/>
      <c r="AB53" s="197"/>
      <c r="AC53" s="205" t="s">
        <v>393</v>
      </c>
      <c r="AD53" s="197"/>
      <c r="AE53" s="197"/>
      <c r="AF53" s="205" t="s">
        <v>393</v>
      </c>
      <c r="AG53" s="197"/>
      <c r="AH53" s="197"/>
      <c r="AI53" s="205" t="s">
        <v>393</v>
      </c>
      <c r="AJ53" s="197"/>
      <c r="AK53" s="197"/>
      <c r="AL53" s="246">
        <v>0.5</v>
      </c>
      <c r="AM53" s="246">
        <v>0.05</v>
      </c>
      <c r="AN53" s="246">
        <v>0.05</v>
      </c>
      <c r="AO53" s="247">
        <v>0.5</v>
      </c>
      <c r="AP53" s="309"/>
      <c r="AQ53" s="309"/>
      <c r="AR53" s="506"/>
      <c r="AS53" s="533"/>
      <c r="AT53" s="508"/>
      <c r="AU53" s="506"/>
      <c r="AV53" s="508"/>
      <c r="AW53" s="506"/>
      <c r="AX53" s="506"/>
      <c r="AY53" s="506"/>
      <c r="AZ53" s="506"/>
      <c r="BA53" s="506"/>
      <c r="BB53" s="506"/>
      <c r="BC53" s="506"/>
      <c r="BD53" s="506"/>
      <c r="BE53" s="506"/>
      <c r="BF53" s="506"/>
      <c r="BG53" s="506"/>
      <c r="BH53" s="506"/>
      <c r="BI53" s="197"/>
      <c r="BJ53" s="197"/>
      <c r="BK53" s="248"/>
      <c r="BL53" s="550"/>
    </row>
    <row r="54" spans="1:64" ht="105" x14ac:dyDescent="0.25">
      <c r="A54" s="345"/>
      <c r="B54" s="348"/>
      <c r="C54" s="354"/>
      <c r="D54" s="354"/>
      <c r="E54" s="561"/>
      <c r="F54" s="301"/>
      <c r="G54" s="301"/>
      <c r="H54" s="552"/>
      <c r="I54" s="552"/>
      <c r="J54" s="309"/>
      <c r="K54" s="309"/>
      <c r="L54" s="309"/>
      <c r="M54" s="211" t="s">
        <v>220</v>
      </c>
      <c r="N54" s="245">
        <v>44562</v>
      </c>
      <c r="O54" s="245">
        <v>44926</v>
      </c>
      <c r="P54" s="205">
        <v>365</v>
      </c>
      <c r="Q54" s="48">
        <v>1</v>
      </c>
      <c r="R54" s="220">
        <v>0.2</v>
      </c>
      <c r="S54" s="220">
        <v>0</v>
      </c>
      <c r="T54" s="205" t="s">
        <v>393</v>
      </c>
      <c r="U54" s="197"/>
      <c r="V54" s="197"/>
      <c r="W54" s="211" t="s">
        <v>220</v>
      </c>
      <c r="X54" s="211" t="s">
        <v>220</v>
      </c>
      <c r="Y54" s="205" t="s">
        <v>394</v>
      </c>
      <c r="Z54" s="205" t="s">
        <v>393</v>
      </c>
      <c r="AA54" s="197"/>
      <c r="AB54" s="197"/>
      <c r="AC54" s="205" t="s">
        <v>393</v>
      </c>
      <c r="AD54" s="197"/>
      <c r="AE54" s="197"/>
      <c r="AF54" s="205" t="s">
        <v>393</v>
      </c>
      <c r="AG54" s="197"/>
      <c r="AH54" s="197"/>
      <c r="AI54" s="205" t="s">
        <v>393</v>
      </c>
      <c r="AJ54" s="197"/>
      <c r="AK54" s="197"/>
      <c r="AL54" s="246">
        <v>0</v>
      </c>
      <c r="AM54" s="246">
        <v>0</v>
      </c>
      <c r="AN54" s="246">
        <v>0</v>
      </c>
      <c r="AO54" s="247">
        <v>1</v>
      </c>
      <c r="AP54" s="309"/>
      <c r="AQ54" s="309"/>
      <c r="AR54" s="506"/>
      <c r="AS54" s="533"/>
      <c r="AT54" s="508"/>
      <c r="AU54" s="506"/>
      <c r="AV54" s="508"/>
      <c r="AW54" s="506"/>
      <c r="AX54" s="506"/>
      <c r="AY54" s="506"/>
      <c r="AZ54" s="506"/>
      <c r="BA54" s="506"/>
      <c r="BB54" s="506"/>
      <c r="BC54" s="506"/>
      <c r="BD54" s="506"/>
      <c r="BE54" s="506"/>
      <c r="BF54" s="506"/>
      <c r="BG54" s="506"/>
      <c r="BH54" s="506"/>
      <c r="BI54" s="197"/>
      <c r="BJ54" s="197"/>
      <c r="BK54" s="248"/>
      <c r="BL54" s="550"/>
    </row>
    <row r="55" spans="1:64" ht="135" x14ac:dyDescent="0.25">
      <c r="A55" s="345"/>
      <c r="B55" s="348"/>
      <c r="C55" s="354"/>
      <c r="D55" s="354"/>
      <c r="E55" s="561"/>
      <c r="F55" s="302"/>
      <c r="G55" s="302"/>
      <c r="H55" s="555"/>
      <c r="I55" s="555"/>
      <c r="J55" s="309"/>
      <c r="K55" s="309"/>
      <c r="L55" s="309"/>
      <c r="M55" s="211" t="s">
        <v>221</v>
      </c>
      <c r="N55" s="245">
        <v>44562</v>
      </c>
      <c r="O55" s="245">
        <v>44926</v>
      </c>
      <c r="P55" s="205">
        <v>365</v>
      </c>
      <c r="Q55" s="48">
        <v>1</v>
      </c>
      <c r="R55" s="220">
        <v>0.1</v>
      </c>
      <c r="S55" s="220">
        <v>1</v>
      </c>
      <c r="T55" s="205" t="s">
        <v>393</v>
      </c>
      <c r="U55" s="197"/>
      <c r="V55" s="197"/>
      <c r="W55" s="211" t="s">
        <v>221</v>
      </c>
      <c r="X55" s="211" t="s">
        <v>221</v>
      </c>
      <c r="Y55" s="205" t="s">
        <v>394</v>
      </c>
      <c r="Z55" s="205" t="s">
        <v>393</v>
      </c>
      <c r="AA55" s="197"/>
      <c r="AB55" s="197"/>
      <c r="AC55" s="205" t="s">
        <v>393</v>
      </c>
      <c r="AD55" s="197"/>
      <c r="AE55" s="197"/>
      <c r="AF55" s="205" t="s">
        <v>393</v>
      </c>
      <c r="AG55" s="197"/>
      <c r="AH55" s="197"/>
      <c r="AI55" s="205" t="s">
        <v>393</v>
      </c>
      <c r="AJ55" s="197"/>
      <c r="AK55" s="197"/>
      <c r="AL55" s="246">
        <v>1</v>
      </c>
      <c r="AM55" s="246">
        <f t="shared" si="0"/>
        <v>0.1</v>
      </c>
      <c r="AN55" s="246">
        <v>1</v>
      </c>
      <c r="AO55" s="247">
        <v>0</v>
      </c>
      <c r="AP55" s="309"/>
      <c r="AQ55" s="309"/>
      <c r="AR55" s="506"/>
      <c r="AS55" s="533"/>
      <c r="AT55" s="508"/>
      <c r="AU55" s="506"/>
      <c r="AV55" s="508"/>
      <c r="AW55" s="506"/>
      <c r="AX55" s="506"/>
      <c r="AY55" s="506"/>
      <c r="AZ55" s="506"/>
      <c r="BA55" s="506"/>
      <c r="BB55" s="506"/>
      <c r="BC55" s="506"/>
      <c r="BD55" s="506"/>
      <c r="BE55" s="506"/>
      <c r="BF55" s="506"/>
      <c r="BG55" s="506"/>
      <c r="BH55" s="506"/>
      <c r="BI55" s="197"/>
      <c r="BJ55" s="197"/>
      <c r="BK55" s="248"/>
      <c r="BL55" s="272"/>
    </row>
    <row r="56" spans="1:64" ht="270" x14ac:dyDescent="0.25">
      <c r="A56" s="345"/>
      <c r="B56" s="348"/>
      <c r="C56" s="354" t="s">
        <v>49</v>
      </c>
      <c r="D56" s="216" t="s">
        <v>129</v>
      </c>
      <c r="E56" s="219">
        <v>1</v>
      </c>
      <c r="F56" s="78" t="s">
        <v>140</v>
      </c>
      <c r="G56" s="74" t="s">
        <v>71</v>
      </c>
      <c r="H56" s="247" t="s">
        <v>71</v>
      </c>
      <c r="I56" s="246">
        <v>1</v>
      </c>
      <c r="J56" s="309" t="s">
        <v>147</v>
      </c>
      <c r="K56" s="309" t="s">
        <v>162</v>
      </c>
      <c r="L56" s="309" t="s">
        <v>163</v>
      </c>
      <c r="M56" s="39" t="s">
        <v>223</v>
      </c>
      <c r="N56" s="245">
        <v>44562</v>
      </c>
      <c r="O56" s="245">
        <v>44926</v>
      </c>
      <c r="P56" s="205">
        <v>365</v>
      </c>
      <c r="Q56" s="48">
        <v>1</v>
      </c>
      <c r="R56" s="220">
        <v>0.45</v>
      </c>
      <c r="S56" s="220">
        <v>1</v>
      </c>
      <c r="T56" s="205" t="s">
        <v>393</v>
      </c>
      <c r="U56" s="197"/>
      <c r="V56" s="197"/>
      <c r="W56" s="39" t="s">
        <v>223</v>
      </c>
      <c r="X56" s="39" t="s">
        <v>223</v>
      </c>
      <c r="Y56" s="205" t="s">
        <v>394</v>
      </c>
      <c r="Z56" s="205" t="s">
        <v>393</v>
      </c>
      <c r="AA56" s="197"/>
      <c r="AB56" s="197"/>
      <c r="AC56" s="205" t="s">
        <v>393</v>
      </c>
      <c r="AD56" s="205"/>
      <c r="AE56" s="205"/>
      <c r="AF56" s="205" t="s">
        <v>393</v>
      </c>
      <c r="AG56" s="205"/>
      <c r="AH56" s="205"/>
      <c r="AI56" s="205" t="s">
        <v>393</v>
      </c>
      <c r="AJ56" s="205"/>
      <c r="AK56" s="205"/>
      <c r="AL56" s="246">
        <v>1</v>
      </c>
      <c r="AM56" s="246">
        <f t="shared" si="0"/>
        <v>0.45</v>
      </c>
      <c r="AN56" s="246">
        <v>1</v>
      </c>
      <c r="AO56" s="247">
        <v>0</v>
      </c>
      <c r="AP56" s="309">
        <f>V56</f>
        <v>0</v>
      </c>
      <c r="AQ56" s="363" t="s">
        <v>190</v>
      </c>
      <c r="AR56" s="505">
        <v>301976358</v>
      </c>
      <c r="AS56" s="533">
        <f>301900000/AR56</f>
        <v>0.99974713914524393</v>
      </c>
      <c r="AT56" s="507">
        <v>301976358</v>
      </c>
      <c r="AU56" s="505">
        <v>301976358</v>
      </c>
      <c r="AV56" s="507">
        <f>AT56-AU56</f>
        <v>0</v>
      </c>
      <c r="AW56" s="505">
        <v>301976358</v>
      </c>
      <c r="AX56" s="505">
        <v>40000000</v>
      </c>
      <c r="AY56" s="505">
        <v>10000000</v>
      </c>
      <c r="AZ56" s="505">
        <v>301976358</v>
      </c>
      <c r="BA56" s="505">
        <v>40000000</v>
      </c>
      <c r="BB56" s="505">
        <v>25000000</v>
      </c>
      <c r="BC56" s="505">
        <v>301976358</v>
      </c>
      <c r="BD56" s="505">
        <v>301900000</v>
      </c>
      <c r="BE56" s="505">
        <v>35000000</v>
      </c>
      <c r="BF56" s="505">
        <v>301976358</v>
      </c>
      <c r="BG56" s="505">
        <v>301900000</v>
      </c>
      <c r="BH56" s="505">
        <v>252720000</v>
      </c>
      <c r="BI56" s="197"/>
      <c r="BJ56" s="197"/>
      <c r="BK56" s="248" t="s">
        <v>404</v>
      </c>
      <c r="BL56" s="271" t="s">
        <v>405</v>
      </c>
    </row>
    <row r="57" spans="1:64" ht="75" x14ac:dyDescent="0.25">
      <c r="A57" s="345"/>
      <c r="B57" s="348"/>
      <c r="C57" s="354"/>
      <c r="D57" s="354" t="s">
        <v>130</v>
      </c>
      <c r="E57" s="334">
        <v>1</v>
      </c>
      <c r="F57" s="300" t="s">
        <v>140</v>
      </c>
      <c r="G57" s="559" t="s">
        <v>71</v>
      </c>
      <c r="H57" s="562" t="s">
        <v>71</v>
      </c>
      <c r="I57" s="563">
        <v>1</v>
      </c>
      <c r="J57" s="309"/>
      <c r="K57" s="309"/>
      <c r="L57" s="309"/>
      <c r="M57" s="39" t="s">
        <v>224</v>
      </c>
      <c r="N57" s="245">
        <v>44562</v>
      </c>
      <c r="O57" s="245">
        <v>44926</v>
      </c>
      <c r="P57" s="205">
        <v>365</v>
      </c>
      <c r="Q57" s="48">
        <v>1</v>
      </c>
      <c r="R57" s="220">
        <v>0.2</v>
      </c>
      <c r="S57" s="220">
        <v>1</v>
      </c>
      <c r="T57" s="205" t="s">
        <v>393</v>
      </c>
      <c r="U57" s="197"/>
      <c r="V57" s="197"/>
      <c r="W57" s="39" t="s">
        <v>224</v>
      </c>
      <c r="X57" s="39" t="s">
        <v>224</v>
      </c>
      <c r="Y57" s="205" t="s">
        <v>394</v>
      </c>
      <c r="Z57" s="205" t="s">
        <v>393</v>
      </c>
      <c r="AA57" s="197"/>
      <c r="AB57" s="197"/>
      <c r="AC57" s="205" t="s">
        <v>393</v>
      </c>
      <c r="AD57" s="205"/>
      <c r="AE57" s="205"/>
      <c r="AF57" s="205" t="s">
        <v>393</v>
      </c>
      <c r="AG57" s="205"/>
      <c r="AH57" s="205"/>
      <c r="AI57" s="205" t="s">
        <v>393</v>
      </c>
      <c r="AJ57" s="205"/>
      <c r="AK57" s="205"/>
      <c r="AL57" s="246">
        <v>1</v>
      </c>
      <c r="AM57" s="246">
        <f t="shared" si="0"/>
        <v>0.2</v>
      </c>
      <c r="AN57" s="246">
        <v>1</v>
      </c>
      <c r="AO57" s="247">
        <v>0</v>
      </c>
      <c r="AP57" s="309"/>
      <c r="AQ57" s="363"/>
      <c r="AR57" s="506"/>
      <c r="AS57" s="533"/>
      <c r="AT57" s="508"/>
      <c r="AU57" s="506"/>
      <c r="AV57" s="508"/>
      <c r="AW57" s="506"/>
      <c r="AX57" s="506"/>
      <c r="AY57" s="506"/>
      <c r="AZ57" s="506"/>
      <c r="BA57" s="506"/>
      <c r="BB57" s="506"/>
      <c r="BC57" s="506"/>
      <c r="BD57" s="506"/>
      <c r="BE57" s="506"/>
      <c r="BF57" s="506"/>
      <c r="BG57" s="506"/>
      <c r="BH57" s="506"/>
      <c r="BI57" s="197"/>
      <c r="BJ57" s="197"/>
      <c r="BK57" s="223" t="s">
        <v>406</v>
      </c>
      <c r="BL57" s="550"/>
    </row>
    <row r="58" spans="1:64" ht="150" x14ac:dyDescent="0.25">
      <c r="A58" s="345"/>
      <c r="B58" s="348"/>
      <c r="C58" s="354"/>
      <c r="D58" s="354"/>
      <c r="E58" s="334"/>
      <c r="F58" s="301"/>
      <c r="G58" s="559"/>
      <c r="H58" s="562"/>
      <c r="I58" s="563"/>
      <c r="J58" s="309"/>
      <c r="K58" s="309"/>
      <c r="L58" s="309"/>
      <c r="M58" s="39" t="s">
        <v>225</v>
      </c>
      <c r="N58" s="245">
        <v>44562</v>
      </c>
      <c r="O58" s="245">
        <v>44926</v>
      </c>
      <c r="P58" s="205">
        <v>365</v>
      </c>
      <c r="Q58" s="48">
        <v>1</v>
      </c>
      <c r="R58" s="220">
        <v>0.15</v>
      </c>
      <c r="S58" s="220">
        <v>1</v>
      </c>
      <c r="T58" s="205" t="s">
        <v>393</v>
      </c>
      <c r="U58" s="197"/>
      <c r="V58" s="197"/>
      <c r="W58" s="39" t="s">
        <v>225</v>
      </c>
      <c r="X58" s="39" t="s">
        <v>225</v>
      </c>
      <c r="Y58" s="205" t="s">
        <v>394</v>
      </c>
      <c r="Z58" s="205" t="s">
        <v>393</v>
      </c>
      <c r="AA58" s="197"/>
      <c r="AB58" s="197"/>
      <c r="AC58" s="205" t="s">
        <v>393</v>
      </c>
      <c r="AD58" s="205"/>
      <c r="AE58" s="205"/>
      <c r="AF58" s="205" t="s">
        <v>393</v>
      </c>
      <c r="AG58" s="205"/>
      <c r="AH58" s="205"/>
      <c r="AI58" s="205" t="s">
        <v>393</v>
      </c>
      <c r="AJ58" s="205"/>
      <c r="AK58" s="205"/>
      <c r="AL58" s="246">
        <v>1</v>
      </c>
      <c r="AM58" s="246">
        <f t="shared" si="0"/>
        <v>0.15</v>
      </c>
      <c r="AN58" s="246">
        <v>1</v>
      </c>
      <c r="AO58" s="247">
        <v>0</v>
      </c>
      <c r="AP58" s="309"/>
      <c r="AQ58" s="363"/>
      <c r="AR58" s="506"/>
      <c r="AS58" s="533"/>
      <c r="AT58" s="508"/>
      <c r="AU58" s="506"/>
      <c r="AV58" s="508"/>
      <c r="AW58" s="506"/>
      <c r="AX58" s="506"/>
      <c r="AY58" s="506"/>
      <c r="AZ58" s="506"/>
      <c r="BA58" s="506"/>
      <c r="BB58" s="506"/>
      <c r="BC58" s="506"/>
      <c r="BD58" s="506"/>
      <c r="BE58" s="506"/>
      <c r="BF58" s="506"/>
      <c r="BG58" s="506"/>
      <c r="BH58" s="506"/>
      <c r="BI58" s="197"/>
      <c r="BJ58" s="197"/>
      <c r="BK58" s="248" t="s">
        <v>407</v>
      </c>
      <c r="BL58" s="550"/>
    </row>
    <row r="59" spans="1:64" x14ac:dyDescent="0.25">
      <c r="A59" s="345"/>
      <c r="B59" s="348"/>
      <c r="C59" s="354"/>
      <c r="D59" s="354"/>
      <c r="E59" s="334"/>
      <c r="F59" s="302"/>
      <c r="G59" s="559"/>
      <c r="H59" s="562"/>
      <c r="I59" s="563"/>
      <c r="J59" s="309"/>
      <c r="K59" s="309"/>
      <c r="L59" s="309"/>
      <c r="M59" s="269" t="s">
        <v>226</v>
      </c>
      <c r="N59" s="245">
        <v>44562</v>
      </c>
      <c r="O59" s="245">
        <v>44926</v>
      </c>
      <c r="P59" s="205">
        <v>365</v>
      </c>
      <c r="Q59" s="336">
        <v>1</v>
      </c>
      <c r="R59" s="316">
        <v>0.2</v>
      </c>
      <c r="S59" s="316">
        <v>1</v>
      </c>
      <c r="T59" s="536" t="s">
        <v>393</v>
      </c>
      <c r="U59" s="515"/>
      <c r="V59" s="515"/>
      <c r="W59" s="269" t="s">
        <v>226</v>
      </c>
      <c r="X59" s="269" t="s">
        <v>226</v>
      </c>
      <c r="Y59" s="536" t="s">
        <v>394</v>
      </c>
      <c r="Z59" s="536" t="s">
        <v>393</v>
      </c>
      <c r="AA59" s="515"/>
      <c r="AB59" s="515"/>
      <c r="AC59" s="536" t="s">
        <v>393</v>
      </c>
      <c r="AD59" s="536"/>
      <c r="AE59" s="536"/>
      <c r="AF59" s="536" t="s">
        <v>393</v>
      </c>
      <c r="AG59" s="536"/>
      <c r="AH59" s="536"/>
      <c r="AI59" s="536" t="s">
        <v>393</v>
      </c>
      <c r="AJ59" s="536"/>
      <c r="AK59" s="536"/>
      <c r="AL59" s="541">
        <v>1</v>
      </c>
      <c r="AM59" s="541">
        <f t="shared" si="0"/>
        <v>0.2</v>
      </c>
      <c r="AN59" s="541">
        <v>1</v>
      </c>
      <c r="AO59" s="544">
        <v>0</v>
      </c>
      <c r="AP59" s="309"/>
      <c r="AQ59" s="363"/>
      <c r="AR59" s="506"/>
      <c r="AS59" s="533"/>
      <c r="AT59" s="508"/>
      <c r="AU59" s="506"/>
      <c r="AV59" s="508"/>
      <c r="AW59" s="506"/>
      <c r="AX59" s="506"/>
      <c r="AY59" s="506"/>
      <c r="AZ59" s="506"/>
      <c r="BA59" s="506"/>
      <c r="BB59" s="506"/>
      <c r="BC59" s="506"/>
      <c r="BD59" s="506"/>
      <c r="BE59" s="506"/>
      <c r="BF59" s="506"/>
      <c r="BG59" s="506"/>
      <c r="BH59" s="506"/>
      <c r="BI59" s="515"/>
      <c r="BJ59" s="515"/>
      <c r="BK59" s="269" t="s">
        <v>408</v>
      </c>
      <c r="BL59" s="550"/>
    </row>
    <row r="60" spans="1:64" ht="30" x14ac:dyDescent="0.25">
      <c r="A60" s="345"/>
      <c r="B60" s="348"/>
      <c r="C60" s="354"/>
      <c r="D60" s="46" t="s">
        <v>249</v>
      </c>
      <c r="E60" s="219">
        <v>1</v>
      </c>
      <c r="F60" s="78" t="s">
        <v>140</v>
      </c>
      <c r="G60" s="74" t="s">
        <v>71</v>
      </c>
      <c r="H60" s="247" t="s">
        <v>71</v>
      </c>
      <c r="I60" s="247">
        <v>1</v>
      </c>
      <c r="J60" s="309"/>
      <c r="K60" s="309"/>
      <c r="L60" s="309"/>
      <c r="M60" s="270"/>
      <c r="N60" s="245">
        <v>44562</v>
      </c>
      <c r="O60" s="245">
        <v>44926</v>
      </c>
      <c r="P60" s="205">
        <v>365</v>
      </c>
      <c r="Q60" s="337"/>
      <c r="R60" s="318"/>
      <c r="S60" s="318"/>
      <c r="T60" s="538"/>
      <c r="U60" s="517"/>
      <c r="V60" s="517"/>
      <c r="W60" s="270"/>
      <c r="X60" s="270"/>
      <c r="Y60" s="538"/>
      <c r="Z60" s="538"/>
      <c r="AA60" s="517"/>
      <c r="AB60" s="517"/>
      <c r="AC60" s="538"/>
      <c r="AD60" s="538"/>
      <c r="AE60" s="538"/>
      <c r="AF60" s="538"/>
      <c r="AG60" s="538"/>
      <c r="AH60" s="538"/>
      <c r="AI60" s="538"/>
      <c r="AJ60" s="538"/>
      <c r="AK60" s="538"/>
      <c r="AL60" s="543"/>
      <c r="AM60" s="543"/>
      <c r="AN60" s="543"/>
      <c r="AO60" s="546"/>
      <c r="AP60" s="309"/>
      <c r="AQ60" s="363"/>
      <c r="AR60" s="506"/>
      <c r="AS60" s="533"/>
      <c r="AT60" s="508"/>
      <c r="AU60" s="506"/>
      <c r="AV60" s="508"/>
      <c r="AW60" s="506"/>
      <c r="AX60" s="506"/>
      <c r="AY60" s="506"/>
      <c r="AZ60" s="506"/>
      <c r="BA60" s="506"/>
      <c r="BB60" s="506"/>
      <c r="BC60" s="506"/>
      <c r="BD60" s="506"/>
      <c r="BE60" s="506"/>
      <c r="BF60" s="506"/>
      <c r="BG60" s="506"/>
      <c r="BH60" s="506"/>
      <c r="BI60" s="517"/>
      <c r="BJ60" s="517"/>
      <c r="BK60" s="270"/>
      <c r="BL60" s="550"/>
    </row>
    <row r="61" spans="1:64" x14ac:dyDescent="0.25">
      <c r="A61" s="355" t="s">
        <v>50</v>
      </c>
      <c r="B61" s="355" t="s">
        <v>51</v>
      </c>
      <c r="C61" s="335" t="s">
        <v>54</v>
      </c>
      <c r="D61" s="335" t="s">
        <v>131</v>
      </c>
      <c r="E61" s="566">
        <v>1047261338899</v>
      </c>
      <c r="F61" s="330">
        <v>271583094439.5</v>
      </c>
      <c r="G61" s="564">
        <v>304489399070</v>
      </c>
      <c r="H61" s="552">
        <f>G61/F61</f>
        <v>1.121164775364287</v>
      </c>
      <c r="I61" s="552">
        <f>(504462913190+G61)/E61</f>
        <v>0.77244550353635943</v>
      </c>
      <c r="J61" s="309" t="s">
        <v>186</v>
      </c>
      <c r="K61" s="309" t="s">
        <v>242</v>
      </c>
      <c r="L61" s="309" t="s">
        <v>164</v>
      </c>
      <c r="M61" s="269" t="s">
        <v>228</v>
      </c>
      <c r="N61" s="245">
        <v>44562</v>
      </c>
      <c r="O61" s="245">
        <v>44926</v>
      </c>
      <c r="P61" s="205">
        <v>365</v>
      </c>
      <c r="Q61" s="336">
        <v>1</v>
      </c>
      <c r="R61" s="316">
        <v>0.65</v>
      </c>
      <c r="S61" s="364"/>
      <c r="T61" s="205" t="s">
        <v>393</v>
      </c>
      <c r="U61" s="197"/>
      <c r="V61" s="197"/>
      <c r="W61" s="269" t="s">
        <v>228</v>
      </c>
      <c r="X61" s="269" t="s">
        <v>228</v>
      </c>
      <c r="Y61" s="536" t="s">
        <v>394</v>
      </c>
      <c r="Z61" s="536" t="s">
        <v>393</v>
      </c>
      <c r="AA61" s="515"/>
      <c r="AB61" s="515"/>
      <c r="AC61" s="536" t="s">
        <v>393</v>
      </c>
      <c r="AD61" s="515"/>
      <c r="AE61" s="515"/>
      <c r="AF61" s="536" t="s">
        <v>393</v>
      </c>
      <c r="AG61" s="515"/>
      <c r="AH61" s="515"/>
      <c r="AI61" s="536" t="s">
        <v>393</v>
      </c>
      <c r="AJ61" s="515"/>
      <c r="AK61" s="515"/>
      <c r="AL61" s="541">
        <v>1</v>
      </c>
      <c r="AM61" s="541">
        <v>1</v>
      </c>
      <c r="AN61" s="541">
        <v>1</v>
      </c>
      <c r="AO61" s="544">
        <v>0</v>
      </c>
      <c r="AP61" s="309" t="s">
        <v>173</v>
      </c>
      <c r="AQ61" s="309" t="s">
        <v>190</v>
      </c>
      <c r="AR61" s="505">
        <v>27470705877.84</v>
      </c>
      <c r="AS61" s="533">
        <f>19956250368.8/AR61</f>
        <v>0.72645568182862952</v>
      </c>
      <c r="AT61" s="507">
        <v>27470705877.84</v>
      </c>
      <c r="AU61" s="505">
        <v>27470705877.84</v>
      </c>
      <c r="AV61" s="507">
        <v>0</v>
      </c>
      <c r="AW61" s="505">
        <v>19392824553</v>
      </c>
      <c r="AX61" s="505">
        <v>16588988692</v>
      </c>
      <c r="AY61" s="505">
        <v>1041434402</v>
      </c>
      <c r="AZ61" s="505">
        <v>19392824553</v>
      </c>
      <c r="BA61" s="505">
        <v>16831299466</v>
      </c>
      <c r="BB61" s="505">
        <v>2570006304</v>
      </c>
      <c r="BC61" s="505">
        <v>27470705877.84</v>
      </c>
      <c r="BD61" s="505">
        <v>19083554017</v>
      </c>
      <c r="BE61" s="505">
        <v>9390236539</v>
      </c>
      <c r="BF61" s="505">
        <v>27470705877.84</v>
      </c>
      <c r="BG61" s="505">
        <v>19956250368.799999</v>
      </c>
      <c r="BH61" s="505">
        <v>15568179955.040001</v>
      </c>
      <c r="BI61" s="505"/>
      <c r="BJ61" s="197"/>
      <c r="BK61" s="248"/>
      <c r="BL61" s="565" t="s">
        <v>409</v>
      </c>
    </row>
    <row r="62" spans="1:64" x14ac:dyDescent="0.25">
      <c r="A62" s="355"/>
      <c r="B62" s="355"/>
      <c r="C62" s="335"/>
      <c r="D62" s="335"/>
      <c r="E62" s="429"/>
      <c r="F62" s="331"/>
      <c r="G62" s="331"/>
      <c r="H62" s="555"/>
      <c r="I62" s="555"/>
      <c r="J62" s="309"/>
      <c r="K62" s="309"/>
      <c r="L62" s="309"/>
      <c r="M62" s="305"/>
      <c r="N62" s="245">
        <v>44562</v>
      </c>
      <c r="O62" s="245">
        <v>44926</v>
      </c>
      <c r="P62" s="205">
        <v>365</v>
      </c>
      <c r="Q62" s="338"/>
      <c r="R62" s="317"/>
      <c r="S62" s="365"/>
      <c r="T62" s="205" t="s">
        <v>393</v>
      </c>
      <c r="U62" s="197"/>
      <c r="V62" s="197"/>
      <c r="W62" s="305"/>
      <c r="X62" s="305"/>
      <c r="Y62" s="537"/>
      <c r="Z62" s="537"/>
      <c r="AA62" s="516"/>
      <c r="AB62" s="516"/>
      <c r="AC62" s="537"/>
      <c r="AD62" s="516"/>
      <c r="AE62" s="516"/>
      <c r="AF62" s="537"/>
      <c r="AG62" s="516"/>
      <c r="AH62" s="516"/>
      <c r="AI62" s="537"/>
      <c r="AJ62" s="516"/>
      <c r="AK62" s="516"/>
      <c r="AL62" s="542"/>
      <c r="AM62" s="542"/>
      <c r="AN62" s="542"/>
      <c r="AO62" s="545"/>
      <c r="AP62" s="309"/>
      <c r="AQ62" s="309"/>
      <c r="AR62" s="506"/>
      <c r="AS62" s="533"/>
      <c r="AT62" s="508"/>
      <c r="AU62" s="506"/>
      <c r="AV62" s="508"/>
      <c r="AW62" s="506"/>
      <c r="AX62" s="506"/>
      <c r="AY62" s="506"/>
      <c r="AZ62" s="506"/>
      <c r="BA62" s="506"/>
      <c r="BB62" s="506"/>
      <c r="BC62" s="506"/>
      <c r="BD62" s="506"/>
      <c r="BE62" s="506"/>
      <c r="BF62" s="506"/>
      <c r="BG62" s="506"/>
      <c r="BH62" s="506"/>
      <c r="BI62" s="506"/>
      <c r="BJ62" s="197"/>
      <c r="BK62" s="248"/>
      <c r="BL62" s="565"/>
    </row>
    <row r="63" spans="1:64" x14ac:dyDescent="0.25">
      <c r="A63" s="355"/>
      <c r="B63" s="355"/>
      <c r="C63" s="335"/>
      <c r="D63" s="335" t="s">
        <v>132</v>
      </c>
      <c r="E63" s="429">
        <v>1189376917533</v>
      </c>
      <c r="F63" s="330">
        <v>282507785478</v>
      </c>
      <c r="G63" s="330">
        <v>509488079777</v>
      </c>
      <c r="H63" s="551">
        <f>G63/F63</f>
        <v>1.8034479259215879</v>
      </c>
      <c r="I63" s="551">
        <f>(627039231271+G63)/E63</f>
        <v>0.9555653000273282</v>
      </c>
      <c r="J63" s="309"/>
      <c r="K63" s="309"/>
      <c r="L63" s="309"/>
      <c r="M63" s="305"/>
      <c r="N63" s="245">
        <v>44562</v>
      </c>
      <c r="O63" s="245">
        <v>44926</v>
      </c>
      <c r="P63" s="205">
        <v>365</v>
      </c>
      <c r="Q63" s="338"/>
      <c r="R63" s="317"/>
      <c r="S63" s="365"/>
      <c r="T63" s="205" t="s">
        <v>393</v>
      </c>
      <c r="U63" s="197"/>
      <c r="V63" s="197"/>
      <c r="W63" s="305"/>
      <c r="X63" s="305"/>
      <c r="Y63" s="537"/>
      <c r="Z63" s="537"/>
      <c r="AA63" s="516"/>
      <c r="AB63" s="516"/>
      <c r="AC63" s="537"/>
      <c r="AD63" s="516"/>
      <c r="AE63" s="516"/>
      <c r="AF63" s="537"/>
      <c r="AG63" s="516"/>
      <c r="AH63" s="516"/>
      <c r="AI63" s="537"/>
      <c r="AJ63" s="516"/>
      <c r="AK63" s="516"/>
      <c r="AL63" s="542"/>
      <c r="AM63" s="542"/>
      <c r="AN63" s="542"/>
      <c r="AO63" s="545"/>
      <c r="AP63" s="309"/>
      <c r="AQ63" s="309"/>
      <c r="AR63" s="506"/>
      <c r="AS63" s="533"/>
      <c r="AT63" s="508"/>
      <c r="AU63" s="506"/>
      <c r="AV63" s="508"/>
      <c r="AW63" s="506"/>
      <c r="AX63" s="506"/>
      <c r="AY63" s="506"/>
      <c r="AZ63" s="506"/>
      <c r="BA63" s="506"/>
      <c r="BB63" s="506"/>
      <c r="BC63" s="506"/>
      <c r="BD63" s="506"/>
      <c r="BE63" s="506"/>
      <c r="BF63" s="506"/>
      <c r="BG63" s="506"/>
      <c r="BH63" s="506"/>
      <c r="BI63" s="506"/>
      <c r="BJ63" s="197"/>
      <c r="BK63" s="248"/>
      <c r="BL63" s="565"/>
    </row>
    <row r="64" spans="1:64" x14ac:dyDescent="0.25">
      <c r="A64" s="355"/>
      <c r="B64" s="355"/>
      <c r="C64" s="335"/>
      <c r="D64" s="335"/>
      <c r="E64" s="429"/>
      <c r="F64" s="331"/>
      <c r="G64" s="331"/>
      <c r="H64" s="555"/>
      <c r="I64" s="555"/>
      <c r="J64" s="309"/>
      <c r="K64" s="309"/>
      <c r="L64" s="309"/>
      <c r="M64" s="305"/>
      <c r="N64" s="245">
        <v>44562</v>
      </c>
      <c r="O64" s="245">
        <v>44926</v>
      </c>
      <c r="P64" s="205">
        <v>365</v>
      </c>
      <c r="Q64" s="338"/>
      <c r="R64" s="317"/>
      <c r="S64" s="365"/>
      <c r="T64" s="205" t="s">
        <v>393</v>
      </c>
      <c r="U64" s="197"/>
      <c r="V64" s="197"/>
      <c r="W64" s="305"/>
      <c r="X64" s="305"/>
      <c r="Y64" s="537"/>
      <c r="Z64" s="537"/>
      <c r="AA64" s="516"/>
      <c r="AB64" s="516"/>
      <c r="AC64" s="537"/>
      <c r="AD64" s="516"/>
      <c r="AE64" s="516"/>
      <c r="AF64" s="537"/>
      <c r="AG64" s="516"/>
      <c r="AH64" s="516"/>
      <c r="AI64" s="537"/>
      <c r="AJ64" s="516"/>
      <c r="AK64" s="516"/>
      <c r="AL64" s="542"/>
      <c r="AM64" s="542"/>
      <c r="AN64" s="542"/>
      <c r="AO64" s="545"/>
      <c r="AP64" s="309"/>
      <c r="AQ64" s="309"/>
      <c r="AR64" s="506"/>
      <c r="AS64" s="533"/>
      <c r="AT64" s="508"/>
      <c r="AU64" s="506"/>
      <c r="AV64" s="508"/>
      <c r="AW64" s="506"/>
      <c r="AX64" s="506"/>
      <c r="AY64" s="506"/>
      <c r="AZ64" s="506"/>
      <c r="BA64" s="506"/>
      <c r="BB64" s="506"/>
      <c r="BC64" s="506"/>
      <c r="BD64" s="506"/>
      <c r="BE64" s="506"/>
      <c r="BF64" s="506"/>
      <c r="BG64" s="506"/>
      <c r="BH64" s="506"/>
      <c r="BI64" s="506"/>
      <c r="BJ64" s="197"/>
      <c r="BK64" s="248"/>
      <c r="BL64" s="565"/>
    </row>
    <row r="65" spans="1:64" ht="60" x14ac:dyDescent="0.25">
      <c r="A65" s="355"/>
      <c r="B65" s="355"/>
      <c r="C65" s="335"/>
      <c r="D65" s="217" t="s">
        <v>133</v>
      </c>
      <c r="E65" s="218">
        <v>14454734972</v>
      </c>
      <c r="F65" s="61">
        <v>1329796059.23</v>
      </c>
      <c r="G65" s="61">
        <v>10496502949</v>
      </c>
      <c r="H65" s="181">
        <f>G65/F65</f>
        <v>7.8933178333208884</v>
      </c>
      <c r="I65" s="181">
        <f>(12162533853.54+G65)/E65</f>
        <v>1.5675857666316542</v>
      </c>
      <c r="J65" s="309"/>
      <c r="K65" s="309"/>
      <c r="L65" s="309"/>
      <c r="M65" s="305"/>
      <c r="N65" s="245">
        <v>44562</v>
      </c>
      <c r="O65" s="245">
        <v>44926</v>
      </c>
      <c r="P65" s="205">
        <v>365</v>
      </c>
      <c r="Q65" s="338"/>
      <c r="R65" s="317"/>
      <c r="S65" s="365"/>
      <c r="T65" s="205" t="s">
        <v>393</v>
      </c>
      <c r="U65" s="197"/>
      <c r="V65" s="197"/>
      <c r="W65" s="305"/>
      <c r="X65" s="305"/>
      <c r="Y65" s="537"/>
      <c r="Z65" s="537"/>
      <c r="AA65" s="516"/>
      <c r="AB65" s="516"/>
      <c r="AC65" s="537"/>
      <c r="AD65" s="516"/>
      <c r="AE65" s="516"/>
      <c r="AF65" s="537"/>
      <c r="AG65" s="516"/>
      <c r="AH65" s="516"/>
      <c r="AI65" s="537"/>
      <c r="AJ65" s="516"/>
      <c r="AK65" s="516"/>
      <c r="AL65" s="542"/>
      <c r="AM65" s="542"/>
      <c r="AN65" s="542"/>
      <c r="AO65" s="545"/>
      <c r="AP65" s="309"/>
      <c r="AQ65" s="309"/>
      <c r="AR65" s="506"/>
      <c r="AS65" s="533"/>
      <c r="AT65" s="508"/>
      <c r="AU65" s="506"/>
      <c r="AV65" s="508"/>
      <c r="AW65" s="506"/>
      <c r="AX65" s="506"/>
      <c r="AY65" s="506"/>
      <c r="AZ65" s="506"/>
      <c r="BA65" s="506"/>
      <c r="BB65" s="506"/>
      <c r="BC65" s="506"/>
      <c r="BD65" s="506"/>
      <c r="BE65" s="506"/>
      <c r="BF65" s="506"/>
      <c r="BG65" s="506"/>
      <c r="BH65" s="506"/>
      <c r="BI65" s="506"/>
      <c r="BJ65" s="197"/>
      <c r="BK65" s="248"/>
      <c r="BL65" s="565"/>
    </row>
    <row r="66" spans="1:64" ht="75" x14ac:dyDescent="0.25">
      <c r="A66" s="355"/>
      <c r="B66" s="355"/>
      <c r="C66" s="335"/>
      <c r="D66" s="217" t="s">
        <v>134</v>
      </c>
      <c r="E66" s="218">
        <v>176659841306</v>
      </c>
      <c r="F66" s="61">
        <v>58514225726.5</v>
      </c>
      <c r="G66" s="61">
        <v>48099916000</v>
      </c>
      <c r="H66" s="181">
        <f>G66/F66</f>
        <v>0.82202089154905189</v>
      </c>
      <c r="I66" s="181">
        <f>(67743434853+G66)/E66</f>
        <v>0.65574241432914471</v>
      </c>
      <c r="J66" s="309"/>
      <c r="K66" s="309"/>
      <c r="L66" s="309"/>
      <c r="M66" s="270"/>
      <c r="N66" s="245">
        <v>44562</v>
      </c>
      <c r="O66" s="245">
        <v>44926</v>
      </c>
      <c r="P66" s="205">
        <v>365</v>
      </c>
      <c r="Q66" s="337"/>
      <c r="R66" s="318"/>
      <c r="S66" s="366"/>
      <c r="T66" s="205" t="s">
        <v>393</v>
      </c>
      <c r="U66" s="197"/>
      <c r="V66" s="197"/>
      <c r="W66" s="270"/>
      <c r="X66" s="270"/>
      <c r="Y66" s="538"/>
      <c r="Z66" s="538"/>
      <c r="AA66" s="517"/>
      <c r="AB66" s="517"/>
      <c r="AC66" s="538"/>
      <c r="AD66" s="517"/>
      <c r="AE66" s="517"/>
      <c r="AF66" s="538"/>
      <c r="AG66" s="517"/>
      <c r="AH66" s="517"/>
      <c r="AI66" s="538"/>
      <c r="AJ66" s="517"/>
      <c r="AK66" s="517"/>
      <c r="AL66" s="543"/>
      <c r="AM66" s="543"/>
      <c r="AN66" s="543"/>
      <c r="AO66" s="546"/>
      <c r="AP66" s="309"/>
      <c r="AQ66" s="309"/>
      <c r="AR66" s="506"/>
      <c r="AS66" s="533"/>
      <c r="AT66" s="508"/>
      <c r="AU66" s="506"/>
      <c r="AV66" s="508"/>
      <c r="AW66" s="506"/>
      <c r="AX66" s="506"/>
      <c r="AY66" s="506"/>
      <c r="AZ66" s="506"/>
      <c r="BA66" s="506"/>
      <c r="BB66" s="506"/>
      <c r="BC66" s="506"/>
      <c r="BD66" s="506"/>
      <c r="BE66" s="506"/>
      <c r="BF66" s="506"/>
      <c r="BG66" s="506"/>
      <c r="BH66" s="506"/>
      <c r="BI66" s="506"/>
      <c r="BJ66" s="197"/>
      <c r="BK66" s="248"/>
      <c r="BL66" s="565"/>
    </row>
    <row r="67" spans="1:64" ht="90" x14ac:dyDescent="0.25">
      <c r="A67" s="355"/>
      <c r="B67" s="355"/>
      <c r="C67" s="335"/>
      <c r="D67" s="217" t="s">
        <v>135</v>
      </c>
      <c r="E67" s="34">
        <v>1</v>
      </c>
      <c r="F67" s="83">
        <v>1</v>
      </c>
      <c r="G67" s="83">
        <v>1</v>
      </c>
      <c r="H67" s="182">
        <v>0.5</v>
      </c>
      <c r="I67" s="182">
        <v>0.5</v>
      </c>
      <c r="J67" s="309"/>
      <c r="K67" s="309"/>
      <c r="L67" s="309"/>
      <c r="M67" s="269" t="s">
        <v>229</v>
      </c>
      <c r="N67" s="245">
        <v>44562</v>
      </c>
      <c r="O67" s="245">
        <v>44926</v>
      </c>
      <c r="P67" s="205">
        <v>365</v>
      </c>
      <c r="Q67" s="336">
        <v>1</v>
      </c>
      <c r="R67" s="316">
        <v>0.35</v>
      </c>
      <c r="S67" s="364"/>
      <c r="T67" s="205" t="s">
        <v>393</v>
      </c>
      <c r="U67" s="197"/>
      <c r="V67" s="197"/>
      <c r="W67" s="269" t="s">
        <v>229</v>
      </c>
      <c r="X67" s="269" t="s">
        <v>229</v>
      </c>
      <c r="Y67" s="205" t="s">
        <v>394</v>
      </c>
      <c r="Z67" s="205" t="s">
        <v>393</v>
      </c>
      <c r="AA67" s="197"/>
      <c r="AB67" s="197"/>
      <c r="AC67" s="205" t="s">
        <v>393</v>
      </c>
      <c r="AD67" s="197"/>
      <c r="AE67" s="197"/>
      <c r="AF67" s="205" t="s">
        <v>393</v>
      </c>
      <c r="AG67" s="197"/>
      <c r="AH67" s="197"/>
      <c r="AI67" s="205" t="s">
        <v>393</v>
      </c>
      <c r="AJ67" s="197"/>
      <c r="AK67" s="197"/>
      <c r="AL67" s="246">
        <v>1</v>
      </c>
      <c r="AM67" s="246">
        <v>1</v>
      </c>
      <c r="AN67" s="246">
        <v>1</v>
      </c>
      <c r="AO67" s="247">
        <f t="shared" si="1"/>
        <v>0</v>
      </c>
      <c r="AP67" s="309"/>
      <c r="AQ67" s="309"/>
      <c r="AR67" s="506"/>
      <c r="AS67" s="533"/>
      <c r="AT67" s="508"/>
      <c r="AU67" s="506"/>
      <c r="AV67" s="508"/>
      <c r="AW67" s="506"/>
      <c r="AX67" s="506"/>
      <c r="AY67" s="506"/>
      <c r="AZ67" s="506"/>
      <c r="BA67" s="506"/>
      <c r="BB67" s="506"/>
      <c r="BC67" s="506"/>
      <c r="BD67" s="506"/>
      <c r="BE67" s="506"/>
      <c r="BF67" s="506"/>
      <c r="BG67" s="506"/>
      <c r="BH67" s="506"/>
      <c r="BI67" s="506"/>
      <c r="BJ67" s="197"/>
      <c r="BK67" s="248"/>
      <c r="BL67" s="565"/>
    </row>
    <row r="68" spans="1:64" ht="135" x14ac:dyDescent="0.25">
      <c r="A68" s="355"/>
      <c r="B68" s="355"/>
      <c r="C68" s="335"/>
      <c r="D68" s="217" t="s">
        <v>136</v>
      </c>
      <c r="E68" s="84">
        <v>3</v>
      </c>
      <c r="F68" s="83">
        <v>1</v>
      </c>
      <c r="G68" s="83">
        <v>1</v>
      </c>
      <c r="H68" s="182">
        <f>2/F68</f>
        <v>2</v>
      </c>
      <c r="I68" s="182">
        <f>(3+2)/E68</f>
        <v>1.6666666666666667</v>
      </c>
      <c r="J68" s="309"/>
      <c r="K68" s="309"/>
      <c r="L68" s="309"/>
      <c r="M68" s="270"/>
      <c r="N68" s="245">
        <v>44562</v>
      </c>
      <c r="O68" s="245">
        <v>44926</v>
      </c>
      <c r="P68" s="205">
        <v>365</v>
      </c>
      <c r="Q68" s="337"/>
      <c r="R68" s="318"/>
      <c r="S68" s="366"/>
      <c r="T68" s="205" t="s">
        <v>393</v>
      </c>
      <c r="U68" s="197"/>
      <c r="V68" s="197"/>
      <c r="W68" s="270"/>
      <c r="X68" s="270"/>
      <c r="Y68" s="205" t="s">
        <v>394</v>
      </c>
      <c r="Z68" s="205" t="s">
        <v>393</v>
      </c>
      <c r="AA68" s="197"/>
      <c r="AB68" s="197"/>
      <c r="AC68" s="205" t="s">
        <v>393</v>
      </c>
      <c r="AD68" s="197"/>
      <c r="AE68" s="197"/>
      <c r="AF68" s="205" t="s">
        <v>393</v>
      </c>
      <c r="AG68" s="197"/>
      <c r="AH68" s="197"/>
      <c r="AI68" s="205" t="s">
        <v>393</v>
      </c>
      <c r="AJ68" s="197"/>
      <c r="AK68" s="197"/>
      <c r="AL68" s="246">
        <v>1</v>
      </c>
      <c r="AM68" s="246">
        <f t="shared" si="0"/>
        <v>0</v>
      </c>
      <c r="AN68" s="246">
        <v>1</v>
      </c>
      <c r="AO68" s="247">
        <f t="shared" si="1"/>
        <v>0</v>
      </c>
      <c r="AP68" s="309"/>
      <c r="AQ68" s="309"/>
      <c r="AR68" s="506"/>
      <c r="AS68" s="533"/>
      <c r="AT68" s="508"/>
      <c r="AU68" s="506"/>
      <c r="AV68" s="508"/>
      <c r="AW68" s="506"/>
      <c r="AX68" s="506"/>
      <c r="AY68" s="506"/>
      <c r="AZ68" s="506"/>
      <c r="BA68" s="506"/>
      <c r="BB68" s="506"/>
      <c r="BC68" s="506"/>
      <c r="BD68" s="506"/>
      <c r="BE68" s="506"/>
      <c r="BF68" s="506"/>
      <c r="BG68" s="506"/>
      <c r="BH68" s="506"/>
      <c r="BI68" s="197"/>
      <c r="BJ68" s="197"/>
      <c r="BK68" s="248"/>
      <c r="BL68" s="565"/>
    </row>
    <row r="69" spans="1:64" ht="180" x14ac:dyDescent="0.25">
      <c r="A69" s="355"/>
      <c r="B69" s="355"/>
      <c r="C69" s="24" t="s">
        <v>67</v>
      </c>
      <c r="D69" s="24" t="s">
        <v>137</v>
      </c>
      <c r="E69" s="251">
        <v>396000000000</v>
      </c>
      <c r="F69" s="61">
        <v>151637399199.37</v>
      </c>
      <c r="G69" s="61">
        <v>28900950282</v>
      </c>
      <c r="H69" s="181">
        <f>G69/F69</f>
        <v>0.19059249521947799</v>
      </c>
      <c r="I69" s="181">
        <f>121626151883.26/E69</f>
        <v>0.30713674717994949</v>
      </c>
      <c r="J69" s="206" t="s">
        <v>148</v>
      </c>
      <c r="K69" s="206" t="s">
        <v>187</v>
      </c>
      <c r="L69" s="206" t="s">
        <v>165</v>
      </c>
      <c r="M69" s="223" t="s">
        <v>176</v>
      </c>
      <c r="N69" s="245">
        <v>44562</v>
      </c>
      <c r="O69" s="245">
        <v>44926</v>
      </c>
      <c r="P69" s="205">
        <v>365</v>
      </c>
      <c r="Q69" s="49">
        <v>1</v>
      </c>
      <c r="R69" s="220">
        <v>1</v>
      </c>
      <c r="S69" s="220"/>
      <c r="T69" s="205" t="s">
        <v>393</v>
      </c>
      <c r="U69" s="197"/>
      <c r="V69" s="197"/>
      <c r="W69" s="223" t="s">
        <v>176</v>
      </c>
      <c r="X69" s="223" t="s">
        <v>176</v>
      </c>
      <c r="Y69" s="205" t="s">
        <v>394</v>
      </c>
      <c r="Z69" s="205" t="s">
        <v>393</v>
      </c>
      <c r="AA69" s="197"/>
      <c r="AB69" s="197"/>
      <c r="AC69" s="205" t="s">
        <v>393</v>
      </c>
      <c r="AD69" s="197"/>
      <c r="AE69" s="197"/>
      <c r="AF69" s="205" t="s">
        <v>393</v>
      </c>
      <c r="AG69" s="197"/>
      <c r="AH69" s="197"/>
      <c r="AI69" s="205" t="s">
        <v>393</v>
      </c>
      <c r="AJ69" s="197"/>
      <c r="AK69" s="197"/>
      <c r="AL69" s="246">
        <v>1</v>
      </c>
      <c r="AM69" s="246">
        <f t="shared" si="0"/>
        <v>1</v>
      </c>
      <c r="AN69" s="246">
        <v>1</v>
      </c>
      <c r="AO69" s="247">
        <v>0</v>
      </c>
      <c r="AP69" s="206">
        <f>V69</f>
        <v>0</v>
      </c>
      <c r="AQ69" s="206" t="s">
        <v>190</v>
      </c>
      <c r="AR69" s="252">
        <v>28609950282</v>
      </c>
      <c r="AS69" s="253">
        <f>28608539106/AR69</f>
        <v>0.99995067534245641</v>
      </c>
      <c r="AT69" s="254">
        <v>28609950282</v>
      </c>
      <c r="AU69" s="252">
        <v>28609950282</v>
      </c>
      <c r="AV69" s="254">
        <f>AT69-AU69</f>
        <v>0</v>
      </c>
      <c r="AW69" s="252">
        <v>20000000000</v>
      </c>
      <c r="AX69" s="252">
        <v>0</v>
      </c>
      <c r="AY69" s="252">
        <v>0</v>
      </c>
      <c r="AZ69" s="252">
        <v>20000000000</v>
      </c>
      <c r="BA69" s="252">
        <v>0</v>
      </c>
      <c r="BB69" s="252">
        <v>0</v>
      </c>
      <c r="BC69" s="252">
        <v>28609950282</v>
      </c>
      <c r="BD69" s="252">
        <v>0</v>
      </c>
      <c r="BE69" s="252">
        <v>0</v>
      </c>
      <c r="BF69" s="252">
        <v>28609950282</v>
      </c>
      <c r="BG69" s="252">
        <v>28608539106</v>
      </c>
      <c r="BH69" s="252">
        <v>27629251523.93</v>
      </c>
      <c r="BI69" s="197"/>
      <c r="BJ69" s="197"/>
      <c r="BK69" s="248"/>
      <c r="BL69" s="41" t="s">
        <v>410</v>
      </c>
    </row>
    <row r="70" spans="1:64" ht="150" x14ac:dyDescent="0.25">
      <c r="A70" s="353" t="s">
        <v>68</v>
      </c>
      <c r="B70" s="353" t="s">
        <v>69</v>
      </c>
      <c r="C70" s="309" t="s">
        <v>73</v>
      </c>
      <c r="D70" s="309" t="s">
        <v>138</v>
      </c>
      <c r="E70" s="309">
        <v>33</v>
      </c>
      <c r="F70" s="294">
        <v>17</v>
      </c>
      <c r="G70" s="273">
        <v>1</v>
      </c>
      <c r="H70" s="385">
        <f>G70/F70</f>
        <v>5.8823529411764705E-2</v>
      </c>
      <c r="I70" s="385">
        <f>1/E70</f>
        <v>3.0303030303030304E-2</v>
      </c>
      <c r="J70" s="294" t="s">
        <v>177</v>
      </c>
      <c r="K70" s="294" t="s">
        <v>188</v>
      </c>
      <c r="L70" s="294" t="s">
        <v>178</v>
      </c>
      <c r="M70" s="39" t="s">
        <v>180</v>
      </c>
      <c r="N70" s="245">
        <v>44562</v>
      </c>
      <c r="O70" s="245">
        <v>44926</v>
      </c>
      <c r="P70" s="205">
        <v>365</v>
      </c>
      <c r="Q70" s="49">
        <v>1</v>
      </c>
      <c r="R70" s="220">
        <v>0.7</v>
      </c>
      <c r="S70" s="220">
        <v>1</v>
      </c>
      <c r="T70" s="205" t="s">
        <v>393</v>
      </c>
      <c r="U70" s="197"/>
      <c r="V70" s="197"/>
      <c r="W70" s="39" t="s">
        <v>180</v>
      </c>
      <c r="X70" s="39" t="s">
        <v>180</v>
      </c>
      <c r="Y70" s="205" t="s">
        <v>394</v>
      </c>
      <c r="Z70" s="205" t="s">
        <v>393</v>
      </c>
      <c r="AA70" s="197"/>
      <c r="AB70" s="197"/>
      <c r="AC70" s="205" t="s">
        <v>393</v>
      </c>
      <c r="AD70" s="197"/>
      <c r="AE70" s="197"/>
      <c r="AF70" s="205" t="s">
        <v>393</v>
      </c>
      <c r="AG70" s="197"/>
      <c r="AH70" s="197"/>
      <c r="AI70" s="205" t="s">
        <v>393</v>
      </c>
      <c r="AJ70" s="197"/>
      <c r="AK70" s="197"/>
      <c r="AL70" s="246">
        <v>1</v>
      </c>
      <c r="AM70" s="246">
        <f t="shared" si="0"/>
        <v>0.7</v>
      </c>
      <c r="AN70" s="246">
        <v>1</v>
      </c>
      <c r="AO70" s="247">
        <f t="shared" si="1"/>
        <v>0</v>
      </c>
      <c r="AP70" s="309">
        <f>V70</f>
        <v>0</v>
      </c>
      <c r="AQ70" s="294" t="s">
        <v>190</v>
      </c>
      <c r="AR70" s="524">
        <v>700000000</v>
      </c>
      <c r="AS70" s="568">
        <f>0/AR70</f>
        <v>0</v>
      </c>
      <c r="AT70" s="502">
        <v>700000000</v>
      </c>
      <c r="AU70" s="524">
        <v>700000000</v>
      </c>
      <c r="AV70" s="502">
        <f>AT70-AU70</f>
        <v>0</v>
      </c>
      <c r="AW70" s="524">
        <v>400000000</v>
      </c>
      <c r="AX70" s="524">
        <v>0</v>
      </c>
      <c r="AY70" s="524">
        <v>0</v>
      </c>
      <c r="AZ70" s="524">
        <v>400000000</v>
      </c>
      <c r="BA70" s="524">
        <v>0</v>
      </c>
      <c r="BB70" s="524">
        <v>0</v>
      </c>
      <c r="BC70" s="524">
        <v>700000000</v>
      </c>
      <c r="BD70" s="524">
        <v>0</v>
      </c>
      <c r="BE70" s="524">
        <v>0</v>
      </c>
      <c r="BF70" s="524">
        <v>700000000</v>
      </c>
      <c r="BG70" s="524">
        <v>0</v>
      </c>
      <c r="BH70" s="524">
        <v>0</v>
      </c>
      <c r="BI70" s="197"/>
      <c r="BJ70" s="197"/>
      <c r="BK70" s="248"/>
      <c r="BL70" s="271" t="s">
        <v>411</v>
      </c>
    </row>
    <row r="71" spans="1:64" ht="195" x14ac:dyDescent="0.25">
      <c r="A71" s="353"/>
      <c r="B71" s="353"/>
      <c r="C71" s="309"/>
      <c r="D71" s="309"/>
      <c r="E71" s="309"/>
      <c r="F71" s="296"/>
      <c r="G71" s="275"/>
      <c r="H71" s="387"/>
      <c r="I71" s="387"/>
      <c r="J71" s="296"/>
      <c r="K71" s="296"/>
      <c r="L71" s="296"/>
      <c r="M71" s="39" t="s">
        <v>179</v>
      </c>
      <c r="N71" s="245">
        <v>44562</v>
      </c>
      <c r="O71" s="245">
        <v>44926</v>
      </c>
      <c r="P71" s="205">
        <v>365</v>
      </c>
      <c r="Q71" s="49">
        <v>1</v>
      </c>
      <c r="R71" s="220">
        <v>0.3</v>
      </c>
      <c r="S71" s="207">
        <v>1</v>
      </c>
      <c r="T71" s="205" t="s">
        <v>393</v>
      </c>
      <c r="U71" s="197"/>
      <c r="V71" s="197"/>
      <c r="W71" s="39" t="s">
        <v>179</v>
      </c>
      <c r="X71" s="39" t="s">
        <v>179</v>
      </c>
      <c r="Y71" s="205" t="s">
        <v>394</v>
      </c>
      <c r="Z71" s="205" t="s">
        <v>393</v>
      </c>
      <c r="AA71" s="197"/>
      <c r="AB71" s="197"/>
      <c r="AC71" s="205" t="s">
        <v>393</v>
      </c>
      <c r="AD71" s="197"/>
      <c r="AE71" s="197"/>
      <c r="AF71" s="205" t="s">
        <v>393</v>
      </c>
      <c r="AG71" s="197"/>
      <c r="AH71" s="197"/>
      <c r="AI71" s="205" t="s">
        <v>393</v>
      </c>
      <c r="AJ71" s="197"/>
      <c r="AK71" s="197"/>
      <c r="AL71" s="246">
        <v>1</v>
      </c>
      <c r="AM71" s="246">
        <f t="shared" si="0"/>
        <v>0.3</v>
      </c>
      <c r="AN71" s="246">
        <v>1</v>
      </c>
      <c r="AO71" s="247">
        <v>0</v>
      </c>
      <c r="AP71" s="309"/>
      <c r="AQ71" s="296"/>
      <c r="AR71" s="567"/>
      <c r="AS71" s="569"/>
      <c r="AT71" s="570"/>
      <c r="AU71" s="567"/>
      <c r="AV71" s="570"/>
      <c r="AW71" s="567"/>
      <c r="AX71" s="567"/>
      <c r="AY71" s="567"/>
      <c r="AZ71" s="567"/>
      <c r="BA71" s="567"/>
      <c r="BB71" s="567"/>
      <c r="BC71" s="567"/>
      <c r="BD71" s="567"/>
      <c r="BE71" s="567"/>
      <c r="BF71" s="567"/>
      <c r="BG71" s="567"/>
      <c r="BH71" s="567"/>
      <c r="BI71" s="197"/>
      <c r="BJ71" s="197"/>
      <c r="BK71" s="248"/>
      <c r="BL71" s="272"/>
    </row>
    <row r="72" spans="1:64" ht="180" x14ac:dyDescent="0.25">
      <c r="A72" s="353"/>
      <c r="B72" s="353"/>
      <c r="C72" s="309" t="s">
        <v>74</v>
      </c>
      <c r="D72" s="309" t="s">
        <v>139</v>
      </c>
      <c r="E72" s="309">
        <v>2</v>
      </c>
      <c r="F72" s="294">
        <v>1</v>
      </c>
      <c r="G72" s="273">
        <v>3</v>
      </c>
      <c r="H72" s="385">
        <f>G72/F72</f>
        <v>3</v>
      </c>
      <c r="I72" s="385">
        <f>(2+G72)/E72</f>
        <v>2.5</v>
      </c>
      <c r="J72" s="294" t="s">
        <v>181</v>
      </c>
      <c r="K72" s="294" t="s">
        <v>182</v>
      </c>
      <c r="L72" s="294" t="s">
        <v>178</v>
      </c>
      <c r="M72" s="39" t="s">
        <v>183</v>
      </c>
      <c r="N72" s="245">
        <v>44562</v>
      </c>
      <c r="O72" s="245">
        <v>44926</v>
      </c>
      <c r="P72" s="205">
        <v>365</v>
      </c>
      <c r="Q72" s="49">
        <v>1</v>
      </c>
      <c r="R72" s="220">
        <v>0.7</v>
      </c>
      <c r="S72" s="220">
        <v>1</v>
      </c>
      <c r="T72" s="205" t="s">
        <v>393</v>
      </c>
      <c r="U72" s="197"/>
      <c r="V72" s="197"/>
      <c r="W72" s="39" t="s">
        <v>183</v>
      </c>
      <c r="X72" s="39" t="s">
        <v>183</v>
      </c>
      <c r="Y72" s="205" t="s">
        <v>394</v>
      </c>
      <c r="Z72" s="205" t="s">
        <v>393</v>
      </c>
      <c r="AA72" s="197"/>
      <c r="AB72" s="197"/>
      <c r="AC72" s="205" t="s">
        <v>393</v>
      </c>
      <c r="AD72" s="197"/>
      <c r="AE72" s="197"/>
      <c r="AF72" s="205" t="s">
        <v>393</v>
      </c>
      <c r="AG72" s="197"/>
      <c r="AH72" s="197"/>
      <c r="AI72" s="205" t="s">
        <v>393</v>
      </c>
      <c r="AJ72" s="197"/>
      <c r="AK72" s="197"/>
      <c r="AL72" s="246">
        <v>1</v>
      </c>
      <c r="AM72" s="246">
        <f t="shared" si="0"/>
        <v>0.7</v>
      </c>
      <c r="AN72" s="246">
        <v>1</v>
      </c>
      <c r="AO72" s="247">
        <v>0</v>
      </c>
      <c r="AP72" s="309">
        <f>V72</f>
        <v>0</v>
      </c>
      <c r="AQ72" s="294" t="s">
        <v>190</v>
      </c>
      <c r="AR72" s="524">
        <v>300000000</v>
      </c>
      <c r="AS72" s="568">
        <f>127897120/AR72</f>
        <v>0.42632373333333334</v>
      </c>
      <c r="AT72" s="502">
        <v>300000000</v>
      </c>
      <c r="AU72" s="524">
        <v>300000000</v>
      </c>
      <c r="AV72" s="502">
        <f>AT72-AU72</f>
        <v>0</v>
      </c>
      <c r="AW72" s="524">
        <v>100000000</v>
      </c>
      <c r="AX72" s="524">
        <v>30143360</v>
      </c>
      <c r="AY72" s="524">
        <v>7535840</v>
      </c>
      <c r="AZ72" s="524">
        <v>100000000</v>
      </c>
      <c r="BA72" s="524">
        <v>30143360</v>
      </c>
      <c r="BB72" s="524">
        <v>18839600</v>
      </c>
      <c r="BC72" s="524">
        <v>300000000</v>
      </c>
      <c r="BD72" s="524">
        <v>41447120</v>
      </c>
      <c r="BE72" s="524">
        <v>26375440</v>
      </c>
      <c r="BF72" s="524">
        <v>300000000</v>
      </c>
      <c r="BG72" s="524">
        <v>127897120</v>
      </c>
      <c r="BH72" s="524">
        <v>84672120</v>
      </c>
      <c r="BI72" s="197"/>
      <c r="BJ72" s="197"/>
      <c r="BK72" s="248"/>
      <c r="BL72" s="271" t="s">
        <v>412</v>
      </c>
    </row>
    <row r="73" spans="1:64" ht="195" x14ac:dyDescent="0.25">
      <c r="A73" s="353"/>
      <c r="B73" s="353"/>
      <c r="C73" s="309"/>
      <c r="D73" s="309"/>
      <c r="E73" s="309"/>
      <c r="F73" s="296"/>
      <c r="G73" s="275"/>
      <c r="H73" s="387"/>
      <c r="I73" s="387"/>
      <c r="J73" s="296"/>
      <c r="K73" s="296"/>
      <c r="L73" s="296"/>
      <c r="M73" s="39" t="s">
        <v>179</v>
      </c>
      <c r="N73" s="245">
        <v>44562</v>
      </c>
      <c r="O73" s="245">
        <v>44926</v>
      </c>
      <c r="P73" s="205">
        <v>365</v>
      </c>
      <c r="Q73" s="49">
        <v>1</v>
      </c>
      <c r="R73" s="220">
        <v>0.3</v>
      </c>
      <c r="S73" s="207">
        <v>1</v>
      </c>
      <c r="T73" s="205" t="s">
        <v>393</v>
      </c>
      <c r="U73" s="197"/>
      <c r="V73" s="197"/>
      <c r="W73" s="39" t="s">
        <v>179</v>
      </c>
      <c r="X73" s="39" t="s">
        <v>179</v>
      </c>
      <c r="Y73" s="205" t="s">
        <v>394</v>
      </c>
      <c r="Z73" s="205" t="s">
        <v>393</v>
      </c>
      <c r="AA73" s="197"/>
      <c r="AB73" s="197"/>
      <c r="AC73" s="205" t="s">
        <v>393</v>
      </c>
      <c r="AD73" s="197"/>
      <c r="AE73" s="197"/>
      <c r="AF73" s="205" t="s">
        <v>393</v>
      </c>
      <c r="AG73" s="197"/>
      <c r="AH73" s="197"/>
      <c r="AI73" s="205" t="s">
        <v>393</v>
      </c>
      <c r="AJ73" s="197"/>
      <c r="AK73" s="197"/>
      <c r="AL73" s="246">
        <v>1</v>
      </c>
      <c r="AM73" s="246">
        <f t="shared" si="0"/>
        <v>0.3</v>
      </c>
      <c r="AN73" s="246">
        <v>1</v>
      </c>
      <c r="AO73" s="247">
        <v>0</v>
      </c>
      <c r="AP73" s="309"/>
      <c r="AQ73" s="296"/>
      <c r="AR73" s="567"/>
      <c r="AS73" s="569"/>
      <c r="AT73" s="570"/>
      <c r="AU73" s="567"/>
      <c r="AV73" s="570"/>
      <c r="AW73" s="567"/>
      <c r="AX73" s="567"/>
      <c r="AY73" s="567"/>
      <c r="AZ73" s="567"/>
      <c r="BA73" s="567"/>
      <c r="BB73" s="567"/>
      <c r="BC73" s="567"/>
      <c r="BD73" s="567"/>
      <c r="BE73" s="567"/>
      <c r="BF73" s="567"/>
      <c r="BG73" s="567"/>
      <c r="BH73" s="567"/>
      <c r="BI73" s="197"/>
      <c r="BJ73" s="197"/>
      <c r="BK73" s="248"/>
      <c r="BL73" s="272"/>
    </row>
    <row r="93" spans="6:6" x14ac:dyDescent="0.25">
      <c r="F93" s="256">
        <v>304489301193</v>
      </c>
    </row>
    <row r="94" spans="6:6" x14ac:dyDescent="0.25">
      <c r="F94" s="256">
        <v>555049067471</v>
      </c>
    </row>
    <row r="95" spans="6:6" x14ac:dyDescent="0.25">
      <c r="F95" s="256">
        <v>10331004949.130001</v>
      </c>
    </row>
    <row r="96" spans="6:6" x14ac:dyDescent="0.25">
      <c r="F96" s="256">
        <v>43781317000</v>
      </c>
    </row>
  </sheetData>
  <mergeCells count="598">
    <mergeCell ref="BF72:BF73"/>
    <mergeCell ref="BG72:BG73"/>
    <mergeCell ref="BH72:BH73"/>
    <mergeCell ref="BL72:BL73"/>
    <mergeCell ref="AZ72:AZ73"/>
    <mergeCell ref="BA72:BA73"/>
    <mergeCell ref="BB72:BB73"/>
    <mergeCell ref="BC72:BC73"/>
    <mergeCell ref="BD72:BD73"/>
    <mergeCell ref="BE72:BE73"/>
    <mergeCell ref="AT72:AT73"/>
    <mergeCell ref="AU72:AU73"/>
    <mergeCell ref="AV72:AV73"/>
    <mergeCell ref="AW72:AW73"/>
    <mergeCell ref="AX72:AX73"/>
    <mergeCell ref="AY72:AY73"/>
    <mergeCell ref="K72:K73"/>
    <mergeCell ref="L72:L73"/>
    <mergeCell ref="AP72:AP73"/>
    <mergeCell ref="AQ72:AQ73"/>
    <mergeCell ref="AR72:AR73"/>
    <mergeCell ref="AS72:AS73"/>
    <mergeCell ref="BH70:BH71"/>
    <mergeCell ref="BL70:BL71"/>
    <mergeCell ref="C72:C73"/>
    <mergeCell ref="D72:D73"/>
    <mergeCell ref="E72:E73"/>
    <mergeCell ref="F72:F73"/>
    <mergeCell ref="G72:G73"/>
    <mergeCell ref="H72:H73"/>
    <mergeCell ref="I72:I73"/>
    <mergeCell ref="J72:J73"/>
    <mergeCell ref="BB70:BB71"/>
    <mergeCell ref="BC70:BC71"/>
    <mergeCell ref="BD70:BD71"/>
    <mergeCell ref="BE70:BE71"/>
    <mergeCell ref="BF70:BF71"/>
    <mergeCell ref="BG70:BG71"/>
    <mergeCell ref="AV70:AV71"/>
    <mergeCell ref="AW70:AW71"/>
    <mergeCell ref="AX70:AX71"/>
    <mergeCell ref="AY70:AY71"/>
    <mergeCell ref="AZ70:AZ71"/>
    <mergeCell ref="BA70:BA71"/>
    <mergeCell ref="AP70:AP71"/>
    <mergeCell ref="AQ70:AQ71"/>
    <mergeCell ref="AR70:AR71"/>
    <mergeCell ref="AS70:AS71"/>
    <mergeCell ref="AT70:AT71"/>
    <mergeCell ref="AU70:AU71"/>
    <mergeCell ref="G70:G71"/>
    <mergeCell ref="H70:H71"/>
    <mergeCell ref="I70:I71"/>
    <mergeCell ref="J70:J71"/>
    <mergeCell ref="K70:K71"/>
    <mergeCell ref="L70:L71"/>
    <mergeCell ref="A70:A73"/>
    <mergeCell ref="B70:B73"/>
    <mergeCell ref="C70:C71"/>
    <mergeCell ref="D70:D71"/>
    <mergeCell ref="E70:E71"/>
    <mergeCell ref="F70:F71"/>
    <mergeCell ref="A61:A69"/>
    <mergeCell ref="B61:B69"/>
    <mergeCell ref="C61:C68"/>
    <mergeCell ref="D61:D62"/>
    <mergeCell ref="E61:E62"/>
    <mergeCell ref="F61:F62"/>
    <mergeCell ref="BI61:BI67"/>
    <mergeCell ref="BL61:BL68"/>
    <mergeCell ref="D63:D64"/>
    <mergeCell ref="E63:E64"/>
    <mergeCell ref="F63:F64"/>
    <mergeCell ref="G63:G64"/>
    <mergeCell ref="H63:H64"/>
    <mergeCell ref="I63:I64"/>
    <mergeCell ref="M67:M68"/>
    <mergeCell ref="Q67:Q68"/>
    <mergeCell ref="BC61:BC68"/>
    <mergeCell ref="BD61:BD68"/>
    <mergeCell ref="BE61:BE68"/>
    <mergeCell ref="BF61:BF68"/>
    <mergeCell ref="BG61:BG68"/>
    <mergeCell ref="BH61:BH68"/>
    <mergeCell ref="AW61:AW68"/>
    <mergeCell ref="AX61:AX68"/>
    <mergeCell ref="AY61:AY68"/>
    <mergeCell ref="AZ61:AZ68"/>
    <mergeCell ref="BA61:BA68"/>
    <mergeCell ref="BB61:BB68"/>
    <mergeCell ref="AQ61:AQ68"/>
    <mergeCell ref="AR61:AR68"/>
    <mergeCell ref="AS61:AS68"/>
    <mergeCell ref="AT61:AT68"/>
    <mergeCell ref="AU61:AU68"/>
    <mergeCell ref="AV61:AV68"/>
    <mergeCell ref="AK61:AK66"/>
    <mergeCell ref="AL61:AL66"/>
    <mergeCell ref="AM61:AM66"/>
    <mergeCell ref="AN61:AN66"/>
    <mergeCell ref="AO61:AO66"/>
    <mergeCell ref="AP61:AP68"/>
    <mergeCell ref="AE61:AE66"/>
    <mergeCell ref="AF61:AF66"/>
    <mergeCell ref="AG61:AG66"/>
    <mergeCell ref="AH61:AH66"/>
    <mergeCell ref="AI61:AI66"/>
    <mergeCell ref="AJ61:AJ66"/>
    <mergeCell ref="Y61:Y66"/>
    <mergeCell ref="Z61:Z66"/>
    <mergeCell ref="AA61:AA66"/>
    <mergeCell ref="AB61:AB66"/>
    <mergeCell ref="AC61:AC66"/>
    <mergeCell ref="AD61:AD66"/>
    <mergeCell ref="M61:M66"/>
    <mergeCell ref="Q61:Q66"/>
    <mergeCell ref="R61:R66"/>
    <mergeCell ref="S61:S66"/>
    <mergeCell ref="W61:W66"/>
    <mergeCell ref="X61:X66"/>
    <mergeCell ref="G61:G62"/>
    <mergeCell ref="H61:H62"/>
    <mergeCell ref="I61:I62"/>
    <mergeCell ref="J61:J68"/>
    <mergeCell ref="K61:K68"/>
    <mergeCell ref="L61:L68"/>
    <mergeCell ref="R67:R68"/>
    <mergeCell ref="S67:S68"/>
    <mergeCell ref="W67:W68"/>
    <mergeCell ref="X67:X68"/>
    <mergeCell ref="AM59:AM60"/>
    <mergeCell ref="AN59:AN60"/>
    <mergeCell ref="AO59:AO60"/>
    <mergeCell ref="BI59:BI60"/>
    <mergeCell ref="BJ59:BJ60"/>
    <mergeCell ref="BK59:BK60"/>
    <mergeCell ref="AG59:AG60"/>
    <mergeCell ref="AH59:AH60"/>
    <mergeCell ref="AI59:AI60"/>
    <mergeCell ref="AJ59:AJ60"/>
    <mergeCell ref="AK59:AK60"/>
    <mergeCell ref="AL59:AL60"/>
    <mergeCell ref="BG56:BG60"/>
    <mergeCell ref="BH56:BH60"/>
    <mergeCell ref="AS56:AS60"/>
    <mergeCell ref="AT56:AT60"/>
    <mergeCell ref="AA59:AA60"/>
    <mergeCell ref="AB59:AB60"/>
    <mergeCell ref="AC59:AC60"/>
    <mergeCell ref="AD59:AD60"/>
    <mergeCell ref="AE59:AE60"/>
    <mergeCell ref="AF59:AF60"/>
    <mergeCell ref="U59:U60"/>
    <mergeCell ref="V59:V60"/>
    <mergeCell ref="W59:W60"/>
    <mergeCell ref="X59:X60"/>
    <mergeCell ref="Y59:Y60"/>
    <mergeCell ref="Z59:Z60"/>
    <mergeCell ref="BL56:BL60"/>
    <mergeCell ref="D57:D59"/>
    <mergeCell ref="E57:E59"/>
    <mergeCell ref="F57:F59"/>
    <mergeCell ref="G57:G59"/>
    <mergeCell ref="H57:H59"/>
    <mergeCell ref="I57:I59"/>
    <mergeCell ref="M59:M60"/>
    <mergeCell ref="BA56:BA60"/>
    <mergeCell ref="BB56:BB60"/>
    <mergeCell ref="BC56:BC60"/>
    <mergeCell ref="BD56:BD60"/>
    <mergeCell ref="BE56:BE60"/>
    <mergeCell ref="BF56:BF60"/>
    <mergeCell ref="AU56:AU60"/>
    <mergeCell ref="AV56:AV60"/>
    <mergeCell ref="AW56:AW60"/>
    <mergeCell ref="AX56:AX60"/>
    <mergeCell ref="AY56:AY60"/>
    <mergeCell ref="AZ56:AZ60"/>
    <mergeCell ref="L56:L60"/>
    <mergeCell ref="AP56:AP60"/>
    <mergeCell ref="AQ56:AQ60"/>
    <mergeCell ref="AR56:AR60"/>
    <mergeCell ref="Q59:Q60"/>
    <mergeCell ref="R59:R60"/>
    <mergeCell ref="S59:S60"/>
    <mergeCell ref="T59:T60"/>
    <mergeCell ref="BG47:BG55"/>
    <mergeCell ref="BH47:BH55"/>
    <mergeCell ref="BL47:BL55"/>
    <mergeCell ref="D50:D55"/>
    <mergeCell ref="E50:E55"/>
    <mergeCell ref="F50:F55"/>
    <mergeCell ref="G50:G55"/>
    <mergeCell ref="H50:H55"/>
    <mergeCell ref="I50:I55"/>
    <mergeCell ref="BA47:BA55"/>
    <mergeCell ref="BB47:BB55"/>
    <mergeCell ref="BC47:BC55"/>
    <mergeCell ref="BD47:BD55"/>
    <mergeCell ref="BE47:BE55"/>
    <mergeCell ref="BF47:BF55"/>
    <mergeCell ref="AU47:AU55"/>
    <mergeCell ref="AV47:AV55"/>
    <mergeCell ref="AW47:AW55"/>
    <mergeCell ref="AX47:AX55"/>
    <mergeCell ref="AY47:AY55"/>
    <mergeCell ref="AZ47:AZ55"/>
    <mergeCell ref="L47:L55"/>
    <mergeCell ref="AP47:AP55"/>
    <mergeCell ref="AQ47:AQ55"/>
    <mergeCell ref="AR47:AR55"/>
    <mergeCell ref="AS47:AS55"/>
    <mergeCell ref="AT47:AT55"/>
    <mergeCell ref="H42:H45"/>
    <mergeCell ref="I42:I45"/>
    <mergeCell ref="B47:B60"/>
    <mergeCell ref="C47:C55"/>
    <mergeCell ref="J47:J55"/>
    <mergeCell ref="K47:K55"/>
    <mergeCell ref="C56:C60"/>
    <mergeCell ref="J56:J60"/>
    <mergeCell ref="K56:K60"/>
    <mergeCell ref="BD41:BD46"/>
    <mergeCell ref="BE41:BE46"/>
    <mergeCell ref="AR41:AR46"/>
    <mergeCell ref="AS41:AS46"/>
    <mergeCell ref="AT41:AT46"/>
    <mergeCell ref="AU41:AU46"/>
    <mergeCell ref="AV41:AV46"/>
    <mergeCell ref="AW41:AW46"/>
    <mergeCell ref="C41:C46"/>
    <mergeCell ref="J41:J46"/>
    <mergeCell ref="K41:K46"/>
    <mergeCell ref="L41:L46"/>
    <mergeCell ref="AP41:AP46"/>
    <mergeCell ref="AQ41:AQ46"/>
    <mergeCell ref="D42:D45"/>
    <mergeCell ref="E42:E45"/>
    <mergeCell ref="F42:F45"/>
    <mergeCell ref="BF41:BF46"/>
    <mergeCell ref="BG41:BG46"/>
    <mergeCell ref="BH41:BH46"/>
    <mergeCell ref="BL41:BL46"/>
    <mergeCell ref="AX41:AX46"/>
    <mergeCell ref="AY41:AY46"/>
    <mergeCell ref="AZ41:AZ46"/>
    <mergeCell ref="BA41:BA46"/>
    <mergeCell ref="BB41:BB46"/>
    <mergeCell ref="BC41:BC46"/>
    <mergeCell ref="G42:G45"/>
    <mergeCell ref="D37:D40"/>
    <mergeCell ref="E37:E40"/>
    <mergeCell ref="F37:F40"/>
    <mergeCell ref="G37:G40"/>
    <mergeCell ref="H37:H40"/>
    <mergeCell ref="I37:I40"/>
    <mergeCell ref="BD33:BD40"/>
    <mergeCell ref="BE33:BE40"/>
    <mergeCell ref="AR33:AR40"/>
    <mergeCell ref="AS33:AS40"/>
    <mergeCell ref="AT33:AT40"/>
    <mergeCell ref="AU33:AU40"/>
    <mergeCell ref="AV33:AV40"/>
    <mergeCell ref="AW33:AW40"/>
    <mergeCell ref="I33:I36"/>
    <mergeCell ref="J33:J40"/>
    <mergeCell ref="K33:K40"/>
    <mergeCell ref="L33:L40"/>
    <mergeCell ref="AP33:AP40"/>
    <mergeCell ref="AQ33:AQ40"/>
    <mergeCell ref="BF33:BF40"/>
    <mergeCell ref="BG33:BG40"/>
    <mergeCell ref="BH33:BH40"/>
    <mergeCell ref="BL33:BL40"/>
    <mergeCell ref="AX33:AX40"/>
    <mergeCell ref="AY33:AY40"/>
    <mergeCell ref="AZ33:AZ40"/>
    <mergeCell ref="BA33:BA40"/>
    <mergeCell ref="BB33:BB40"/>
    <mergeCell ref="BC33:BC40"/>
    <mergeCell ref="AK30:AK32"/>
    <mergeCell ref="Z30:Z32"/>
    <mergeCell ref="AA30:AA32"/>
    <mergeCell ref="AB30:AB32"/>
    <mergeCell ref="AC30:AC32"/>
    <mergeCell ref="AD30:AD32"/>
    <mergeCell ref="AE30:AE32"/>
    <mergeCell ref="T30:T32"/>
    <mergeCell ref="U30:U32"/>
    <mergeCell ref="C33:C40"/>
    <mergeCell ref="D33:D36"/>
    <mergeCell ref="E33:E36"/>
    <mergeCell ref="F33:F36"/>
    <mergeCell ref="G33:G36"/>
    <mergeCell ref="H33:H36"/>
    <mergeCell ref="AF30:AF32"/>
    <mergeCell ref="AG30:AG32"/>
    <mergeCell ref="AH30:AH32"/>
    <mergeCell ref="BL28:BL32"/>
    <mergeCell ref="D30:D31"/>
    <mergeCell ref="E30:E31"/>
    <mergeCell ref="F30:F31"/>
    <mergeCell ref="G30:G31"/>
    <mergeCell ref="H30:H31"/>
    <mergeCell ref="I30:I31"/>
    <mergeCell ref="M30:M32"/>
    <mergeCell ref="N30:N32"/>
    <mergeCell ref="O30:O32"/>
    <mergeCell ref="BC28:BC32"/>
    <mergeCell ref="BD28:BD32"/>
    <mergeCell ref="BE28:BE32"/>
    <mergeCell ref="BF28:BF32"/>
    <mergeCell ref="BG28:BG32"/>
    <mergeCell ref="BH28:BH32"/>
    <mergeCell ref="AW28:AW32"/>
    <mergeCell ref="AX28:AX32"/>
    <mergeCell ref="AY28:AY32"/>
    <mergeCell ref="AZ28:AZ32"/>
    <mergeCell ref="AL30:AL32"/>
    <mergeCell ref="AM30:AM32"/>
    <mergeCell ref="AN30:AN32"/>
    <mergeCell ref="AO30:AO32"/>
    <mergeCell ref="BA28:BA32"/>
    <mergeCell ref="BB28:BB32"/>
    <mergeCell ref="AQ28:AQ32"/>
    <mergeCell ref="AR28:AR32"/>
    <mergeCell ref="AS28:AS32"/>
    <mergeCell ref="AT28:AT32"/>
    <mergeCell ref="AU28:AU32"/>
    <mergeCell ref="AV28:AV32"/>
    <mergeCell ref="H28:H29"/>
    <mergeCell ref="I28:I29"/>
    <mergeCell ref="J28:J32"/>
    <mergeCell ref="K28:K32"/>
    <mergeCell ref="L28:L32"/>
    <mergeCell ref="AP28:AP32"/>
    <mergeCell ref="P30:P32"/>
    <mergeCell ref="Q30:Q32"/>
    <mergeCell ref="R30:R32"/>
    <mergeCell ref="S30:S32"/>
    <mergeCell ref="V30:V32"/>
    <mergeCell ref="W30:W32"/>
    <mergeCell ref="X30:X32"/>
    <mergeCell ref="Y30:Y32"/>
    <mergeCell ref="AI30:AI32"/>
    <mergeCell ref="AJ30:AJ32"/>
    <mergeCell ref="C28:C32"/>
    <mergeCell ref="D28:D29"/>
    <mergeCell ref="E28:E29"/>
    <mergeCell ref="F28:F29"/>
    <mergeCell ref="G28:G29"/>
    <mergeCell ref="AE25:AE26"/>
    <mergeCell ref="AF25:AF26"/>
    <mergeCell ref="AG25:AG26"/>
    <mergeCell ref="AH25:AH26"/>
    <mergeCell ref="Y25:Y26"/>
    <mergeCell ref="Z25:Z26"/>
    <mergeCell ref="AA25:AA26"/>
    <mergeCell ref="AB25:AB26"/>
    <mergeCell ref="AC25:AC26"/>
    <mergeCell ref="AD25:AD26"/>
    <mergeCell ref="L22:L27"/>
    <mergeCell ref="M22:M27"/>
    <mergeCell ref="D25:D26"/>
    <mergeCell ref="E25:E26"/>
    <mergeCell ref="F25:F26"/>
    <mergeCell ref="G25:G26"/>
    <mergeCell ref="H25:H26"/>
    <mergeCell ref="AE23:AE24"/>
    <mergeCell ref="AF23:AF24"/>
    <mergeCell ref="AG23:AG24"/>
    <mergeCell ref="AH23:AH24"/>
    <mergeCell ref="Y23:Y24"/>
    <mergeCell ref="Z23:Z24"/>
    <mergeCell ref="AA23:AA24"/>
    <mergeCell ref="AB23:AB24"/>
    <mergeCell ref="AC23:AC24"/>
    <mergeCell ref="AD23:AD24"/>
    <mergeCell ref="J22:J27"/>
    <mergeCell ref="K22:K27"/>
    <mergeCell ref="BH22:BH27"/>
    <mergeCell ref="BL22:BL27"/>
    <mergeCell ref="D23:D24"/>
    <mergeCell ref="E23:E24"/>
    <mergeCell ref="F23:F24"/>
    <mergeCell ref="G23:G24"/>
    <mergeCell ref="H23:H24"/>
    <mergeCell ref="I23:I24"/>
    <mergeCell ref="N23:N24"/>
    <mergeCell ref="O23:O24"/>
    <mergeCell ref="BB22:BB27"/>
    <mergeCell ref="BC22:BC27"/>
    <mergeCell ref="BD22:BD27"/>
    <mergeCell ref="BE22:BE27"/>
    <mergeCell ref="BF22:BF27"/>
    <mergeCell ref="BG22:BG27"/>
    <mergeCell ref="AV22:AV27"/>
    <mergeCell ref="AW22:AW27"/>
    <mergeCell ref="AX22:AX27"/>
    <mergeCell ref="AY22:AY27"/>
    <mergeCell ref="AZ22:AZ27"/>
    <mergeCell ref="BA22:BA27"/>
    <mergeCell ref="AP22:AP27"/>
    <mergeCell ref="AQ22:AQ27"/>
    <mergeCell ref="AR22:AR27"/>
    <mergeCell ref="AS22:AS27"/>
    <mergeCell ref="AT22:AT27"/>
    <mergeCell ref="AU22:AU27"/>
    <mergeCell ref="S22:S27"/>
    <mergeCell ref="T22:T27"/>
    <mergeCell ref="U22:U27"/>
    <mergeCell ref="V22:V27"/>
    <mergeCell ref="W22:W27"/>
    <mergeCell ref="X22:X27"/>
    <mergeCell ref="AK23:AK24"/>
    <mergeCell ref="AL23:AL24"/>
    <mergeCell ref="AM23:AM24"/>
    <mergeCell ref="AN23:AN24"/>
    <mergeCell ref="AO23:AO24"/>
    <mergeCell ref="AI23:AI24"/>
    <mergeCell ref="AJ23:AJ24"/>
    <mergeCell ref="AK25:AK26"/>
    <mergeCell ref="AL25:AL26"/>
    <mergeCell ref="AM25:AM26"/>
    <mergeCell ref="AN25:AN26"/>
    <mergeCell ref="AO25:AO26"/>
    <mergeCell ref="AI25:AI26"/>
    <mergeCell ref="AJ25:AJ26"/>
    <mergeCell ref="Q22:Q27"/>
    <mergeCell ref="R22:R27"/>
    <mergeCell ref="P23:P24"/>
    <mergeCell ref="N25:N26"/>
    <mergeCell ref="O25:O26"/>
    <mergeCell ref="P25:P26"/>
    <mergeCell ref="E19:E21"/>
    <mergeCell ref="F19:F21"/>
    <mergeCell ref="G19:G21"/>
    <mergeCell ref="H19:H21"/>
    <mergeCell ref="I19:I21"/>
    <mergeCell ref="W15:W21"/>
    <mergeCell ref="C22:C27"/>
    <mergeCell ref="I25:I26"/>
    <mergeCell ref="BI15:BI21"/>
    <mergeCell ref="BJ15:BJ21"/>
    <mergeCell ref="BK15:BK21"/>
    <mergeCell ref="D17:D18"/>
    <mergeCell ref="E17:E18"/>
    <mergeCell ref="F17:F18"/>
    <mergeCell ref="G17:G18"/>
    <mergeCell ref="H17:H18"/>
    <mergeCell ref="I17:I18"/>
    <mergeCell ref="D19:D21"/>
    <mergeCell ref="AJ15:AJ21"/>
    <mergeCell ref="AK15:AK21"/>
    <mergeCell ref="AL15:AL21"/>
    <mergeCell ref="AM15:AM21"/>
    <mergeCell ref="AN15:AN21"/>
    <mergeCell ref="AO15:AO21"/>
    <mergeCell ref="AD15:AD21"/>
    <mergeCell ref="AE15:AE21"/>
    <mergeCell ref="AF15:AF21"/>
    <mergeCell ref="AG15:AG21"/>
    <mergeCell ref="AH15:AH21"/>
    <mergeCell ref="BE12:BE21"/>
    <mergeCell ref="BF12:BF21"/>
    <mergeCell ref="BG12:BG21"/>
    <mergeCell ref="X15:X21"/>
    <mergeCell ref="Y15:Y21"/>
    <mergeCell ref="Z15:Z21"/>
    <mergeCell ref="AA15:AA21"/>
    <mergeCell ref="AB15:AB21"/>
    <mergeCell ref="AC15:AC21"/>
    <mergeCell ref="AI15:AI21"/>
    <mergeCell ref="BH12:BH21"/>
    <mergeCell ref="BL12:BL21"/>
    <mergeCell ref="D13:D16"/>
    <mergeCell ref="E13:E16"/>
    <mergeCell ref="F13:F16"/>
    <mergeCell ref="G13:G16"/>
    <mergeCell ref="H13:H16"/>
    <mergeCell ref="AY12:AY21"/>
    <mergeCell ref="AZ12:AZ21"/>
    <mergeCell ref="BA12:BA21"/>
    <mergeCell ref="BB12:BB21"/>
    <mergeCell ref="BC12:BC21"/>
    <mergeCell ref="BD12:BD21"/>
    <mergeCell ref="AS12:AS21"/>
    <mergeCell ref="AT12:AT21"/>
    <mergeCell ref="AU12:AU21"/>
    <mergeCell ref="AV12:AV21"/>
    <mergeCell ref="AW12:AW21"/>
    <mergeCell ref="AX12:AX21"/>
    <mergeCell ref="I13:I16"/>
    <mergeCell ref="M15:M21"/>
    <mergeCell ref="N15:N21"/>
    <mergeCell ref="O15:O21"/>
    <mergeCell ref="P15:P21"/>
    <mergeCell ref="BI9:BI11"/>
    <mergeCell ref="BJ9:BJ11"/>
    <mergeCell ref="BL9:BL11"/>
    <mergeCell ref="C12:C21"/>
    <mergeCell ref="J12:J21"/>
    <mergeCell ref="K12:K21"/>
    <mergeCell ref="L12:L21"/>
    <mergeCell ref="AP12:AP21"/>
    <mergeCell ref="AQ12:AQ21"/>
    <mergeCell ref="AR12:AR21"/>
    <mergeCell ref="BC9:BC11"/>
    <mergeCell ref="BD9:BD11"/>
    <mergeCell ref="BE9:BE11"/>
    <mergeCell ref="BF9:BF11"/>
    <mergeCell ref="BG9:BG11"/>
    <mergeCell ref="BH9:BH11"/>
    <mergeCell ref="AW9:AW11"/>
    <mergeCell ref="AX9:AX11"/>
    <mergeCell ref="AY9:AY11"/>
    <mergeCell ref="AZ9:AZ11"/>
    <mergeCell ref="BA9:BA11"/>
    <mergeCell ref="BB9:BB11"/>
    <mergeCell ref="AQ9:AQ11"/>
    <mergeCell ref="AR9:AR11"/>
    <mergeCell ref="AT9:AT11"/>
    <mergeCell ref="AU9:AU11"/>
    <mergeCell ref="AV9:AV11"/>
    <mergeCell ref="H9:H11"/>
    <mergeCell ref="I9:I11"/>
    <mergeCell ref="J9:J11"/>
    <mergeCell ref="K9:K11"/>
    <mergeCell ref="L9:L11"/>
    <mergeCell ref="AP9:AP11"/>
    <mergeCell ref="A9:A60"/>
    <mergeCell ref="B9:B46"/>
    <mergeCell ref="C9:C11"/>
    <mergeCell ref="D9:D11"/>
    <mergeCell ref="E9:E11"/>
    <mergeCell ref="F9:F11"/>
    <mergeCell ref="G9:G11"/>
    <mergeCell ref="AR7:AR8"/>
    <mergeCell ref="AS7:AS8"/>
    <mergeCell ref="S6:S8"/>
    <mergeCell ref="M6:M8"/>
    <mergeCell ref="N6:N8"/>
    <mergeCell ref="O6:O8"/>
    <mergeCell ref="P6:P8"/>
    <mergeCell ref="Q6:Q8"/>
    <mergeCell ref="R6:R8"/>
    <mergeCell ref="G6:G8"/>
    <mergeCell ref="AS9:AS11"/>
    <mergeCell ref="Q15:Q21"/>
    <mergeCell ref="R15:R21"/>
    <mergeCell ref="S15:S21"/>
    <mergeCell ref="T15:T21"/>
    <mergeCell ref="U15:U21"/>
    <mergeCell ref="V15:V21"/>
    <mergeCell ref="BL6:BL8"/>
    <mergeCell ref="T7:V7"/>
    <mergeCell ref="W7:Y7"/>
    <mergeCell ref="Z7:AB7"/>
    <mergeCell ref="AC7:AE7"/>
    <mergeCell ref="AF7:AH7"/>
    <mergeCell ref="AI7:AK7"/>
    <mergeCell ref="AL7:AL8"/>
    <mergeCell ref="AM7:AM8"/>
    <mergeCell ref="T6:AO6"/>
    <mergeCell ref="AP6:AS6"/>
    <mergeCell ref="AT6:AV6"/>
    <mergeCell ref="AW6:BH6"/>
    <mergeCell ref="BI6:BJ7"/>
    <mergeCell ref="AN7:AN8"/>
    <mergeCell ref="AO7:AO8"/>
    <mergeCell ref="AP7:AP8"/>
    <mergeCell ref="AQ7:AQ8"/>
    <mergeCell ref="AZ7:BB7"/>
    <mergeCell ref="BC7:BE7"/>
    <mergeCell ref="BF7:BH7"/>
    <mergeCell ref="AT7:AT8"/>
    <mergeCell ref="AU7:AU8"/>
    <mergeCell ref="AV7:AV8"/>
    <mergeCell ref="A1:A4"/>
    <mergeCell ref="B1:BJ1"/>
    <mergeCell ref="B2:BJ2"/>
    <mergeCell ref="B3:BJ3"/>
    <mergeCell ref="B4:BJ4"/>
    <mergeCell ref="A5:S5"/>
    <mergeCell ref="T5:BK5"/>
    <mergeCell ref="H6:H8"/>
    <mergeCell ref="I6:I8"/>
    <mergeCell ref="J6:J8"/>
    <mergeCell ref="K6:K8"/>
    <mergeCell ref="L6:L8"/>
    <mergeCell ref="A6:A8"/>
    <mergeCell ref="B6:B8"/>
    <mergeCell ref="C6:C8"/>
    <mergeCell ref="D6:D8"/>
    <mergeCell ref="E6:E8"/>
    <mergeCell ref="F6:F8"/>
    <mergeCell ref="BK6:BK8"/>
    <mergeCell ref="AW7:AY7"/>
  </mergeCells>
  <phoneticPr fontId="21" type="noConversion"/>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 P. A. HACIENDA DIC 2022</vt:lpstr>
      <vt:lpstr>MATRIZ CONTROL INTERNO- HACIEND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Marlene Andrade</dc:creator>
  <cp:lastModifiedBy>Maria Mernarda Perez Carmona</cp:lastModifiedBy>
  <dcterms:created xsi:type="dcterms:W3CDTF">2021-10-19T17:22:30Z</dcterms:created>
  <dcterms:modified xsi:type="dcterms:W3CDTF">2023-01-31T16:12:11Z</dcterms:modified>
</cp:coreProperties>
</file>