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ink/ink1.xml" ContentType="application/inkml+xml"/>
  <Override PartName="/xl/ink/ink2.xml" ContentType="application/inkml+xml"/>
  <Override PartName="/xl/ink/ink3.xml" ContentType="application/inkml+xml"/>
  <Override PartName="/xl/ink/ink4.xml" ContentType="application/inkml+xml"/>
  <Override PartName="/xl/ink/ink5.xml" ContentType="application/inkml+xml"/>
  <Override PartName="/xl/ink/ink6.xml" ContentType="application/inkml+xml"/>
  <Override PartName="/xl/ink/ink7.xml" ContentType="application/inkml+xml"/>
  <Override PartName="/xl/ink/ink8.xml" ContentType="application/inkml+xml"/>
  <Override PartName="/xl/ink/ink9.xml" ContentType="application/inkml+xml"/>
  <Override PartName="/xl/ink/ink10.xml" ContentType="application/inkml+xml"/>
  <Override PartName="/xl/ink/ink11.xml" ContentType="application/inkml+xml"/>
  <Override PartName="/xl/ink/ink12.xml" ContentType="application/inkml+xml"/>
  <Override PartName="/xl/ink/ink13.xml" ContentType="application/inkml+xml"/>
  <Override PartName="/xl/ink/ink14.xml" ContentType="application/inkml+xml"/>
  <Override PartName="/xl/ink/ink15.xml" ContentType="application/inkml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ink/ink16.xml" ContentType="application/inkml+xml"/>
  <Override PartName="/xl/ink/ink17.xml" ContentType="application/inkml+xml"/>
  <Override PartName="/xl/ink/ink18.xml" ContentType="application/inkml+xml"/>
  <Override PartName="/xl/ink/ink19.xml" ContentType="application/inkml+xml"/>
  <Override PartName="/xl/ink/ink20.xml" ContentType="application/inkml+xml"/>
  <Override PartName="/xl/ink/ink21.xml" ContentType="application/inkml+xml"/>
  <Override PartName="/xl/ink/ink22.xml" ContentType="application/inkml+xml"/>
  <Override PartName="/xl/ink/ink23.xml" ContentType="application/inkml+xml"/>
  <Override PartName="/xl/ink/ink24.xml" ContentType="application/inkml+xml"/>
  <Override PartName="/xl/ink/ink25.xml" ContentType="application/inkml+xml"/>
  <Override PartName="/xl/ink/ink26.xml" ContentType="application/inkml+xml"/>
  <Override PartName="/xl/ink/ink27.xml" ContentType="application/inkml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bperez\Desktop\SEGUIMIENTOS PLANES DE ACCION A DIC.31 DE 2022\"/>
    </mc:Choice>
  </mc:AlternateContent>
  <bookViews>
    <workbookView xWindow="0" yWindow="0" windowWidth="20490" windowHeight="7155" firstSheet="1" activeTab="1"/>
  </bookViews>
  <sheets>
    <sheet name="SEG PA JUN" sheetId="1" state="hidden" r:id="rId1"/>
    <sheet name="SEG PA DIC " sheetId="2" r:id="rId2"/>
  </sheets>
  <externalReferences>
    <externalReference r:id="rId3"/>
  </externalReferences>
  <definedNames>
    <definedName name="_xlnm._FilterDatabase" localSheetId="1" hidden="1">'SEG PA DIC '!$B$1:$BD$197</definedName>
    <definedName name="meses">'[1]archivo de datos'!$E$20:$E$31</definedName>
    <definedName name="modalidad">'[1]archivo de datos'!$B$2:$B$15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R185" i="2" l="1"/>
  <c r="AR139" i="2"/>
  <c r="AS128" i="2" l="1"/>
  <c r="AT128" i="2"/>
  <c r="AR129" i="2"/>
  <c r="AR128" i="2"/>
  <c r="AR108" i="2"/>
  <c r="AS33" i="2"/>
  <c r="AS19" i="2"/>
  <c r="AR19" i="2"/>
  <c r="AR71" i="2"/>
  <c r="AS71" i="2"/>
  <c r="AT71" i="2" s="1"/>
  <c r="AS56" i="2"/>
  <c r="AR56" i="2"/>
  <c r="AR72" i="2" s="1"/>
  <c r="AF35" i="2"/>
  <c r="AF36" i="2"/>
  <c r="AF37" i="2"/>
  <c r="AF38" i="2"/>
  <c r="AF43" i="2"/>
  <c r="AF44" i="2"/>
  <c r="AF45" i="2"/>
  <c r="AF46" i="2"/>
  <c r="AF47" i="2"/>
  <c r="AF48" i="2"/>
  <c r="AF49" i="2"/>
  <c r="AF50" i="2"/>
  <c r="AF51" i="2"/>
  <c r="AF52" i="2"/>
  <c r="AF53" i="2"/>
  <c r="AF55" i="2"/>
  <c r="AF56" i="2"/>
  <c r="AF60" i="2"/>
  <c r="AF61" i="2"/>
  <c r="AF62" i="2"/>
  <c r="AF63" i="2"/>
  <c r="AF64" i="2"/>
  <c r="AF65" i="2"/>
  <c r="AS12" i="2"/>
  <c r="AR33" i="2"/>
  <c r="AT33" i="2"/>
  <c r="AR12" i="2"/>
  <c r="AR34" i="2"/>
  <c r="AS34" i="2"/>
  <c r="AF5" i="2"/>
  <c r="AC6" i="2"/>
  <c r="AF6" i="2"/>
  <c r="AF7" i="2"/>
  <c r="AF8" i="2"/>
  <c r="AF9" i="2"/>
  <c r="AF10" i="2"/>
  <c r="AF11" i="2"/>
  <c r="AF12" i="2"/>
  <c r="AF13" i="2"/>
  <c r="AF14" i="2"/>
  <c r="AF15" i="2"/>
  <c r="AF16" i="2"/>
  <c r="AF17" i="2"/>
  <c r="AF19" i="2"/>
  <c r="AF20" i="2"/>
  <c r="AF21" i="2"/>
  <c r="AF22" i="2"/>
  <c r="AF23" i="2"/>
  <c r="AF24" i="2"/>
  <c r="AF25" i="2"/>
  <c r="AF26" i="2"/>
  <c r="AF27" i="2"/>
  <c r="AF28" i="2"/>
  <c r="AF29" i="2"/>
  <c r="AF30" i="2"/>
  <c r="AF31" i="2"/>
  <c r="AF33" i="2"/>
  <c r="AF34" i="2"/>
  <c r="AT12" i="2"/>
  <c r="AT13" i="2"/>
  <c r="AT19" i="2"/>
  <c r="AE16" i="2"/>
  <c r="AT2" i="2"/>
  <c r="R185" i="2"/>
  <c r="R179" i="2"/>
  <c r="R174" i="2"/>
  <c r="R162" i="2"/>
  <c r="R159" i="2"/>
  <c r="R156" i="2"/>
  <c r="R155" i="2"/>
  <c r="P144" i="2"/>
  <c r="R144" i="2"/>
  <c r="R140" i="2"/>
  <c r="R135" i="2"/>
  <c r="R130" i="2"/>
  <c r="R123" i="2"/>
  <c r="R105" i="2"/>
  <c r="R92" i="2"/>
  <c r="R88" i="2"/>
  <c r="R85" i="2"/>
  <c r="R80" i="2"/>
  <c r="R78" i="2"/>
  <c r="R73" i="2"/>
  <c r="R66" i="2"/>
  <c r="P60" i="2"/>
  <c r="R60" i="2"/>
  <c r="P57" i="2"/>
  <c r="R57" i="2"/>
  <c r="R53" i="2"/>
  <c r="R50" i="2"/>
  <c r="R46" i="2"/>
  <c r="R43" i="2"/>
  <c r="R39" i="2"/>
  <c r="R35" i="2"/>
  <c r="R32" i="2"/>
  <c r="R29" i="2"/>
  <c r="P25" i="2"/>
  <c r="R25" i="2"/>
  <c r="R20" i="2"/>
  <c r="R13" i="2"/>
  <c r="P2" i="2"/>
  <c r="Q2" i="2"/>
  <c r="R2" i="2"/>
  <c r="AT169" i="2"/>
  <c r="AS129" i="2"/>
  <c r="AT129" i="2"/>
  <c r="AT73" i="2"/>
  <c r="AT57" i="2"/>
  <c r="AT35" i="2"/>
  <c r="AT20" i="2"/>
  <c r="S185" i="2"/>
  <c r="T53" i="2"/>
  <c r="AR196" i="2"/>
  <c r="AS196" i="2"/>
  <c r="AS184" i="2"/>
  <c r="AS143" i="2"/>
  <c r="AS161" i="2"/>
  <c r="AS91" i="2"/>
  <c r="AR184" i="2"/>
  <c r="AR161" i="2"/>
  <c r="AR143" i="2"/>
  <c r="AR91" i="2"/>
  <c r="AT91" i="2"/>
  <c r="AT116" i="2"/>
  <c r="AT109" i="2"/>
  <c r="AT162" i="2"/>
  <c r="AT97" i="2"/>
  <c r="AR197" i="2"/>
  <c r="U185" i="2"/>
  <c r="T185" i="2"/>
  <c r="S179" i="2"/>
  <c r="T179" i="2"/>
  <c r="T169" i="2"/>
  <c r="S169" i="2"/>
  <c r="U169" i="2"/>
  <c r="T162" i="2"/>
  <c r="S156" i="2"/>
  <c r="U156" i="2"/>
  <c r="T156" i="2"/>
  <c r="U158" i="2"/>
  <c r="U157" i="2"/>
  <c r="S140" i="2"/>
  <c r="T140" i="2"/>
  <c r="S135" i="2"/>
  <c r="T135" i="2"/>
  <c r="S130" i="2"/>
  <c r="T130" i="2"/>
  <c r="S123" i="2"/>
  <c r="T123" i="2"/>
  <c r="T117" i="2"/>
  <c r="T111" i="2"/>
  <c r="S117" i="2"/>
  <c r="S111" i="2"/>
  <c r="S109" i="2"/>
  <c r="S106" i="2"/>
  <c r="S105" i="2"/>
  <c r="S99" i="2"/>
  <c r="U99" i="2"/>
  <c r="S102" i="2"/>
  <c r="U102" i="2"/>
  <c r="T102" i="2"/>
  <c r="T105" i="2"/>
  <c r="S88" i="2"/>
  <c r="U88" i="2"/>
  <c r="T88" i="2"/>
  <c r="S85" i="2"/>
  <c r="T85" i="2"/>
  <c r="T80" i="2"/>
  <c r="S80" i="2"/>
  <c r="U80" i="2"/>
  <c r="S78" i="2"/>
  <c r="T78" i="2"/>
  <c r="T73" i="2"/>
  <c r="T66" i="2"/>
  <c r="S46" i="2"/>
  <c r="S43" i="2"/>
  <c r="S39" i="2"/>
  <c r="S32" i="2"/>
  <c r="S29" i="2"/>
  <c r="T50" i="2"/>
  <c r="S53" i="2"/>
  <c r="S50" i="2"/>
  <c r="AF146" i="2"/>
  <c r="AF147" i="2"/>
  <c r="AF148" i="2"/>
  <c r="AF149" i="2"/>
  <c r="AF150" i="2"/>
  <c r="AF154" i="2"/>
  <c r="AF155" i="2"/>
  <c r="AF160" i="2"/>
  <c r="AF178" i="2"/>
  <c r="AF182" i="2"/>
  <c r="AF181" i="2"/>
  <c r="AF166" i="2"/>
  <c r="AF165" i="2"/>
  <c r="AF145" i="2"/>
  <c r="AF144" i="2"/>
  <c r="AF135" i="2"/>
  <c r="AF134" i="2"/>
  <c r="AF132" i="2"/>
  <c r="AF131" i="2"/>
  <c r="AF92" i="2"/>
  <c r="AF93" i="2"/>
  <c r="AF94" i="2"/>
  <c r="AF133" i="2"/>
  <c r="AF113" i="2"/>
  <c r="AF112" i="2"/>
  <c r="AF111" i="2"/>
  <c r="AF110" i="2"/>
  <c r="AE6" i="2"/>
  <c r="AF130" i="2"/>
  <c r="AF83" i="2"/>
  <c r="AE60" i="2"/>
  <c r="T46" i="2"/>
  <c r="T43" i="2"/>
  <c r="T39" i="2"/>
  <c r="S35" i="2"/>
  <c r="T35" i="2"/>
  <c r="S20" i="2"/>
  <c r="T29" i="2" a="1"/>
  <c r="T29" i="2"/>
  <c r="T20" i="2" a="1"/>
  <c r="T20" i="2"/>
  <c r="S13" i="2"/>
  <c r="AF195" i="2"/>
  <c r="AF194" i="2"/>
  <c r="AF193" i="2"/>
  <c r="AF192" i="2"/>
  <c r="AF191" i="2"/>
  <c r="AF190" i="2"/>
  <c r="AF189" i="2"/>
  <c r="AF188" i="2"/>
  <c r="AF187" i="2"/>
  <c r="AF186" i="2"/>
  <c r="AF185" i="2"/>
  <c r="AF183" i="2"/>
  <c r="AF180" i="2"/>
  <c r="AF177" i="2"/>
  <c r="AF176" i="2"/>
  <c r="AF175" i="2"/>
  <c r="AF174" i="2"/>
  <c r="AF173" i="2"/>
  <c r="AF172" i="2"/>
  <c r="AF171" i="2"/>
  <c r="AF170" i="2"/>
  <c r="AF169" i="2"/>
  <c r="AF168" i="2"/>
  <c r="AF167" i="2"/>
  <c r="AF164" i="2"/>
  <c r="AF163" i="2"/>
  <c r="AF162" i="2"/>
  <c r="AF158" i="2"/>
  <c r="AF157" i="2"/>
  <c r="AF156" i="2"/>
  <c r="AF153" i="2"/>
  <c r="AF152" i="2"/>
  <c r="AF151" i="2"/>
  <c r="AF142" i="2"/>
  <c r="AF141" i="2"/>
  <c r="AF140" i="2"/>
  <c r="AF139" i="2"/>
  <c r="AF138" i="2"/>
  <c r="AF137" i="2"/>
  <c r="AF136" i="2"/>
  <c r="AF127" i="2"/>
  <c r="AF126" i="2"/>
  <c r="AF125" i="2"/>
  <c r="AF124" i="2"/>
  <c r="AF123" i="2"/>
  <c r="AF122" i="2"/>
  <c r="AF121" i="2"/>
  <c r="AF120" i="2"/>
  <c r="AF119" i="2"/>
  <c r="AF118" i="2"/>
  <c r="AF117" i="2"/>
  <c r="AF116" i="2"/>
  <c r="AF115" i="2"/>
  <c r="AF109" i="2"/>
  <c r="AF107" i="2"/>
  <c r="AF106" i="2"/>
  <c r="AF105" i="2"/>
  <c r="AF104" i="2"/>
  <c r="AF103" i="2"/>
  <c r="AF102" i="2"/>
  <c r="AF101" i="2"/>
  <c r="AF100" i="2"/>
  <c r="AF99" i="2"/>
  <c r="AF98" i="2"/>
  <c r="AF97" i="2"/>
  <c r="AF96" i="2"/>
  <c r="AF95" i="2"/>
  <c r="AF90" i="2"/>
  <c r="AF89" i="2"/>
  <c r="AF88" i="2"/>
  <c r="AF87" i="2"/>
  <c r="AF86" i="2"/>
  <c r="AF85" i="2"/>
  <c r="AF84" i="2"/>
  <c r="AF82" i="2"/>
  <c r="AF81" i="2"/>
  <c r="AF80" i="2"/>
  <c r="AF79" i="2"/>
  <c r="AF78" i="2"/>
  <c r="AF77" i="2"/>
  <c r="AF76" i="2"/>
  <c r="AF75" i="2"/>
  <c r="AF74" i="2"/>
  <c r="AF73" i="2"/>
  <c r="AF59" i="2"/>
  <c r="AF58" i="2"/>
  <c r="AF57" i="2"/>
  <c r="AF18" i="2"/>
  <c r="S174" i="2"/>
  <c r="AT161" i="2"/>
  <c r="AT184" i="2"/>
  <c r="AT196" i="2"/>
  <c r="AT101" i="2"/>
  <c r="AT34" i="2"/>
  <c r="AT143" i="2"/>
  <c r="T174" i="2"/>
  <c r="S162" i="2"/>
  <c r="U53" i="2"/>
  <c r="T60" i="2"/>
  <c r="S60" i="2"/>
  <c r="U13" i="2"/>
  <c r="AG2" i="2"/>
  <c r="S159" i="2"/>
  <c r="S155" i="2"/>
  <c r="T155" i="2"/>
  <c r="S144" i="2"/>
  <c r="U123" i="2"/>
  <c r="AB114" i="2"/>
  <c r="AF114" i="2"/>
  <c r="AG13" i="2"/>
  <c r="AG73" i="2"/>
  <c r="AG35" i="2"/>
  <c r="U60" i="2"/>
  <c r="T57" i="2"/>
  <c r="S57" i="2"/>
  <c r="T25" i="2" a="1"/>
  <c r="T25" i="2"/>
  <c r="S25" i="2"/>
  <c r="U25" i="2"/>
  <c r="T2" i="2"/>
  <c r="S73" i="2"/>
  <c r="U73" i="2"/>
  <c r="S66" i="2"/>
  <c r="U66" i="2"/>
  <c r="U50" i="2"/>
  <c r="U46" i="2"/>
  <c r="U35" i="2"/>
  <c r="U29" i="2"/>
  <c r="U20" i="2"/>
  <c r="AY185" i="2"/>
  <c r="AT185" i="2"/>
  <c r="U196" i="2"/>
  <c r="T196" i="2"/>
  <c r="AY162" i="2"/>
  <c r="AG162" i="2"/>
  <c r="AG184" i="2"/>
  <c r="U159" i="2"/>
  <c r="U155" i="2"/>
  <c r="AY144" i="2"/>
  <c r="AT144" i="2"/>
  <c r="U144" i="2"/>
  <c r="U140" i="2"/>
  <c r="AY139" i="2"/>
  <c r="U135" i="2"/>
  <c r="AY134" i="2"/>
  <c r="AY130" i="2"/>
  <c r="U130" i="2"/>
  <c r="AY119" i="2"/>
  <c r="U117" i="2"/>
  <c r="U111" i="2"/>
  <c r="AY109" i="2"/>
  <c r="T109" i="2"/>
  <c r="U109" i="2"/>
  <c r="U106" i="2"/>
  <c r="U105" i="2"/>
  <c r="AY101" i="2"/>
  <c r="T99" i="2"/>
  <c r="T96" i="2"/>
  <c r="S96" i="2"/>
  <c r="U96" i="2"/>
  <c r="T94" i="2"/>
  <c r="S94" i="2"/>
  <c r="U94" i="2"/>
  <c r="AY92" i="2"/>
  <c r="T92" i="2"/>
  <c r="S92" i="2"/>
  <c r="U92" i="2"/>
  <c r="U85" i="2"/>
  <c r="AY82" i="2"/>
  <c r="AY73" i="2"/>
  <c r="AY57" i="2"/>
  <c r="U43" i="2"/>
  <c r="AY35" i="2"/>
  <c r="U32" i="2"/>
  <c r="AY20" i="2"/>
  <c r="AY13" i="2"/>
  <c r="AY6" i="2"/>
  <c r="AY2" i="2"/>
  <c r="AR179" i="1"/>
  <c r="AR156" i="1"/>
  <c r="AR138" i="1"/>
  <c r="AR133" i="1"/>
  <c r="AR128" i="1"/>
  <c r="AR124" i="1"/>
  <c r="AR114" i="1"/>
  <c r="AR104" i="1"/>
  <c r="AR97" i="1"/>
  <c r="AR88" i="1"/>
  <c r="AR78" i="1"/>
  <c r="AR69" i="1"/>
  <c r="AR54" i="1"/>
  <c r="AR33" i="1"/>
  <c r="AR18" i="1"/>
  <c r="AR12" i="1"/>
  <c r="AR6" i="1"/>
  <c r="AR2" i="1"/>
  <c r="AM179" i="1"/>
  <c r="AM156" i="1"/>
  <c r="AM138" i="1"/>
  <c r="AM133" i="1"/>
  <c r="AM124" i="1"/>
  <c r="AM104" i="1"/>
  <c r="AM88" i="1"/>
  <c r="AM78" i="1"/>
  <c r="AM69" i="1"/>
  <c r="AM54" i="1"/>
  <c r="AM33" i="1"/>
  <c r="AM18" i="1"/>
  <c r="AM12" i="1"/>
  <c r="AM6" i="1"/>
  <c r="AM2" i="1"/>
  <c r="Q168" i="1"/>
  <c r="Q163" i="1"/>
  <c r="P163" i="1"/>
  <c r="Q156" i="1"/>
  <c r="P124" i="1"/>
  <c r="U161" i="2"/>
  <c r="S2" i="2"/>
  <c r="U2" i="2"/>
  <c r="U34" i="2"/>
  <c r="U184" i="2"/>
  <c r="AG92" i="2"/>
  <c r="T184" i="2"/>
  <c r="T72" i="2"/>
  <c r="AG130" i="2"/>
  <c r="AG143" i="2"/>
  <c r="AG185" i="2"/>
  <c r="AG196" i="2"/>
  <c r="T34" i="2"/>
  <c r="AG109" i="2"/>
  <c r="AG20" i="2"/>
  <c r="T129" i="2"/>
  <c r="T143" i="2"/>
  <c r="AG144" i="2"/>
  <c r="AG161" i="2"/>
  <c r="T161" i="2"/>
  <c r="U91" i="2"/>
  <c r="U129" i="2"/>
  <c r="U72" i="2"/>
  <c r="U143" i="2"/>
  <c r="P179" i="1"/>
  <c r="R179" i="1"/>
  <c r="Q179" i="1"/>
  <c r="P168" i="1"/>
  <c r="Q173" i="1"/>
  <c r="P156" i="1"/>
  <c r="AG129" i="2"/>
  <c r="AG34" i="2"/>
  <c r="U197" i="2"/>
  <c r="Q134" i="1"/>
  <c r="P134" i="1"/>
  <c r="P129" i="1"/>
  <c r="Q129" i="1"/>
  <c r="Q124" i="1"/>
  <c r="P112" i="1"/>
  <c r="P106" i="1"/>
  <c r="R106" i="1"/>
  <c r="P104" i="1"/>
  <c r="R104" i="1"/>
  <c r="Q92" i="1"/>
  <c r="P92" i="1"/>
  <c r="R92" i="1"/>
  <c r="AL190" i="1"/>
  <c r="AK190" i="1"/>
  <c r="AJ190" i="1"/>
  <c r="Z189" i="1"/>
  <c r="Z188" i="1"/>
  <c r="Z187" i="1"/>
  <c r="Z186" i="1"/>
  <c r="Z185" i="1"/>
  <c r="Z184" i="1"/>
  <c r="Z183" i="1"/>
  <c r="Z182" i="1"/>
  <c r="Z181" i="1"/>
  <c r="Z180" i="1"/>
  <c r="Z179" i="1"/>
  <c r="Q190" i="1"/>
  <c r="R190" i="1"/>
  <c r="Q178" i="1"/>
  <c r="P173" i="1"/>
  <c r="R163" i="1"/>
  <c r="AA156" i="1"/>
  <c r="AA178" i="1"/>
  <c r="R156" i="1"/>
  <c r="Z154" i="1"/>
  <c r="Z153" i="1"/>
  <c r="Q153" i="1"/>
  <c r="P153" i="1"/>
  <c r="R153" i="1"/>
  <c r="Z152" i="1"/>
  <c r="Z151" i="1"/>
  <c r="Z150" i="1"/>
  <c r="R150" i="1"/>
  <c r="Q150" i="1"/>
  <c r="P150" i="1"/>
  <c r="Z149" i="1"/>
  <c r="Q149" i="1"/>
  <c r="P149" i="1"/>
  <c r="R149" i="1"/>
  <c r="Z148" i="1"/>
  <c r="Z147" i="1"/>
  <c r="Z144" i="1"/>
  <c r="Z143" i="1"/>
  <c r="Z142" i="1"/>
  <c r="Z141" i="1"/>
  <c r="Z140" i="1"/>
  <c r="Z139" i="1"/>
  <c r="AA138" i="1"/>
  <c r="AA155" i="1"/>
  <c r="Q138" i="1"/>
  <c r="P138" i="1"/>
  <c r="R138" i="1"/>
  <c r="Z136" i="1"/>
  <c r="Z135" i="1"/>
  <c r="Z134" i="1"/>
  <c r="R134" i="1"/>
  <c r="Z133" i="1"/>
  <c r="Z132" i="1"/>
  <c r="Z131" i="1"/>
  <c r="Z130" i="1"/>
  <c r="Z129" i="1"/>
  <c r="R129" i="1"/>
  <c r="Z128" i="1"/>
  <c r="Z127" i="1"/>
  <c r="Z126" i="1"/>
  <c r="Z125" i="1"/>
  <c r="Z124" i="1"/>
  <c r="Q137" i="1"/>
  <c r="R124" i="1"/>
  <c r="Z122" i="1"/>
  <c r="Z121" i="1"/>
  <c r="Z120" i="1"/>
  <c r="Z119" i="1"/>
  <c r="Z118" i="1"/>
  <c r="P118" i="1"/>
  <c r="Z117" i="1"/>
  <c r="Z116" i="1"/>
  <c r="Z115" i="1"/>
  <c r="Z114" i="1"/>
  <c r="Z113" i="1"/>
  <c r="Z112" i="1"/>
  <c r="Q112" i="1"/>
  <c r="R112" i="1"/>
  <c r="Z111" i="1"/>
  <c r="Z110" i="1"/>
  <c r="Z109" i="1"/>
  <c r="Z108" i="1"/>
  <c r="Z107" i="1"/>
  <c r="Z106" i="1"/>
  <c r="Q106" i="1"/>
  <c r="Z105" i="1"/>
  <c r="Z104" i="1"/>
  <c r="Q104" i="1"/>
  <c r="Z103" i="1"/>
  <c r="Z102" i="1"/>
  <c r="P102" i="1"/>
  <c r="R102" i="1"/>
  <c r="Z101" i="1"/>
  <c r="Q101" i="1"/>
  <c r="P101" i="1"/>
  <c r="R101" i="1"/>
  <c r="Z100" i="1"/>
  <c r="Z99" i="1"/>
  <c r="Z98" i="1"/>
  <c r="P98" i="1"/>
  <c r="R98" i="1"/>
  <c r="AM97" i="1"/>
  <c r="Z97" i="1"/>
  <c r="Z96" i="1"/>
  <c r="Z95" i="1"/>
  <c r="Q95" i="1"/>
  <c r="P95" i="1"/>
  <c r="R95" i="1"/>
  <c r="Z94" i="1"/>
  <c r="Z93" i="1"/>
  <c r="Z92" i="1"/>
  <c r="Z91" i="1"/>
  <c r="Z90" i="1"/>
  <c r="Q90" i="1"/>
  <c r="P90" i="1"/>
  <c r="R90" i="1"/>
  <c r="Z89" i="1"/>
  <c r="Z88" i="1"/>
  <c r="Q88" i="1"/>
  <c r="P88" i="1"/>
  <c r="R88" i="1"/>
  <c r="Z86" i="1"/>
  <c r="Z85" i="1"/>
  <c r="Z84" i="1"/>
  <c r="P84" i="1"/>
  <c r="R84" i="1"/>
  <c r="Z83" i="1"/>
  <c r="Z82" i="1"/>
  <c r="Z81" i="1"/>
  <c r="Q81" i="1"/>
  <c r="P81" i="1"/>
  <c r="R81" i="1"/>
  <c r="Z80" i="1"/>
  <c r="Z79" i="1"/>
  <c r="Z78" i="1"/>
  <c r="Z77" i="1"/>
  <c r="Z76" i="1"/>
  <c r="Q76" i="1"/>
  <c r="P76" i="1"/>
  <c r="R76" i="1"/>
  <c r="Z75" i="1"/>
  <c r="Z74" i="1"/>
  <c r="Q74" i="1"/>
  <c r="P74" i="1"/>
  <c r="Z73" i="1"/>
  <c r="Z72" i="1"/>
  <c r="Z71" i="1"/>
  <c r="Z70" i="1"/>
  <c r="Z69" i="1"/>
  <c r="Q69" i="1"/>
  <c r="P69" i="1"/>
  <c r="R69" i="1"/>
  <c r="Z67" i="1"/>
  <c r="Z66" i="1"/>
  <c r="Z65" i="1"/>
  <c r="Z64" i="1"/>
  <c r="Z63" i="1"/>
  <c r="Q63" i="1"/>
  <c r="P63" i="1"/>
  <c r="R63" i="1"/>
  <c r="Z62" i="1"/>
  <c r="Z61" i="1"/>
  <c r="Z60" i="1"/>
  <c r="Z59" i="1"/>
  <c r="Z58" i="1"/>
  <c r="Z57" i="1"/>
  <c r="Q57" i="1"/>
  <c r="P57" i="1"/>
  <c r="R57" i="1"/>
  <c r="Z56" i="1"/>
  <c r="Z55" i="1"/>
  <c r="Z54" i="1"/>
  <c r="Q54" i="1"/>
  <c r="P54" i="1"/>
  <c r="R54" i="1"/>
  <c r="Z53" i="1"/>
  <c r="Z51" i="1"/>
  <c r="R51" i="1"/>
  <c r="Q51" i="1"/>
  <c r="P51" i="1"/>
  <c r="Z50" i="1"/>
  <c r="Z49" i="1"/>
  <c r="Q48" i="1"/>
  <c r="P48" i="1"/>
  <c r="R48" i="1"/>
  <c r="Z47" i="1"/>
  <c r="Z46" i="1"/>
  <c r="Z45" i="1"/>
  <c r="Z44" i="1"/>
  <c r="Q44" i="1"/>
  <c r="P44" i="1"/>
  <c r="R44" i="1"/>
  <c r="Z43" i="1"/>
  <c r="Z42" i="1"/>
  <c r="Z41" i="1"/>
  <c r="P41" i="1"/>
  <c r="R41" i="1"/>
  <c r="P37" i="1"/>
  <c r="Z36" i="1"/>
  <c r="Z35" i="1"/>
  <c r="Z34" i="1"/>
  <c r="Z33" i="1"/>
  <c r="R33" i="1"/>
  <c r="Q33" i="1"/>
  <c r="P33" i="1"/>
  <c r="R30" i="1"/>
  <c r="P30" i="1"/>
  <c r="Z29" i="1"/>
  <c r="Z28" i="1"/>
  <c r="Z27" i="1"/>
  <c r="Q27" i="1"/>
  <c r="P27" i="1"/>
  <c r="R27" i="1"/>
  <c r="Z26" i="1"/>
  <c r="Z25" i="1"/>
  <c r="Z24" i="1"/>
  <c r="Z23" i="1"/>
  <c r="Q23" i="1"/>
  <c r="P23" i="1"/>
  <c r="R23" i="1"/>
  <c r="Z22" i="1"/>
  <c r="Z21" i="1"/>
  <c r="Z20" i="1"/>
  <c r="Z19" i="1"/>
  <c r="Z18" i="1"/>
  <c r="Q18" i="1"/>
  <c r="P18" i="1"/>
  <c r="R18" i="1"/>
  <c r="Z17" i="1"/>
  <c r="Z15" i="1"/>
  <c r="Z14" i="1"/>
  <c r="Z13" i="1"/>
  <c r="Z12" i="1"/>
  <c r="Q12" i="1"/>
  <c r="P12" i="1"/>
  <c r="Z11" i="1"/>
  <c r="Z10" i="1"/>
  <c r="Z9" i="1"/>
  <c r="Z8" i="1"/>
  <c r="Z7" i="1"/>
  <c r="Z6" i="1"/>
  <c r="Z5" i="1"/>
  <c r="Z4" i="1"/>
  <c r="Z3" i="1"/>
  <c r="Z2" i="1"/>
  <c r="Q2" i="1"/>
  <c r="P2" i="1"/>
  <c r="R2" i="1"/>
  <c r="AL191" i="1"/>
  <c r="AA12" i="1"/>
  <c r="R87" i="1"/>
  <c r="AA69" i="1"/>
  <c r="AA104" i="1"/>
  <c r="AA2" i="1"/>
  <c r="Q68" i="1"/>
  <c r="AA33" i="1"/>
  <c r="AA18" i="1"/>
  <c r="AA88" i="1"/>
  <c r="AA123" i="1"/>
  <c r="Q155" i="1"/>
  <c r="R178" i="1"/>
  <c r="AA54" i="1"/>
  <c r="AA124" i="1"/>
  <c r="AA137" i="1"/>
  <c r="AA179" i="1"/>
  <c r="AA190" i="1"/>
  <c r="Q32" i="1"/>
  <c r="Q87" i="1"/>
  <c r="Q123" i="1"/>
  <c r="R68" i="1"/>
  <c r="R137" i="1"/>
  <c r="R32" i="1"/>
  <c r="R123" i="1"/>
  <c r="R155" i="1"/>
  <c r="AA68" i="1"/>
  <c r="AA32" i="1"/>
  <c r="AA191" i="1"/>
  <c r="Q191" i="1"/>
  <c r="R191" i="1"/>
  <c r="T91" i="2"/>
  <c r="T197" i="2"/>
  <c r="AE70" i="2"/>
  <c r="AF70" i="2"/>
  <c r="AE69" i="2"/>
  <c r="AF69" i="2"/>
  <c r="AE68" i="2"/>
  <c r="AF68" i="2"/>
  <c r="AE67" i="2"/>
  <c r="AF67" i="2"/>
  <c r="AE66" i="2"/>
  <c r="AF66" i="2"/>
  <c r="AG57" i="2"/>
  <c r="AG72" i="2"/>
  <c r="AG197" i="2"/>
  <c r="AG91" i="2"/>
  <c r="AF71" i="2" l="1"/>
  <c r="AF72" i="2"/>
  <c r="AS72" i="2"/>
  <c r="AT56" i="2"/>
  <c r="AS197" i="2" l="1"/>
  <c r="AT197" i="2" s="1"/>
  <c r="AT72" i="2"/>
  <c r="AT108" i="2"/>
</calcChain>
</file>

<file path=xl/comments1.xml><?xml version="1.0" encoding="utf-8"?>
<comments xmlns="http://schemas.openxmlformats.org/spreadsheetml/2006/main">
  <authors>
    <author>Luz Marlene Andrade</author>
    <author>Usuario</author>
  </authors>
  <commentList>
    <comment ref="AO1" authorId="0" shapeId="0">
      <text>
        <r>
          <rPr>
            <b/>
            <sz val="9"/>
            <color rgb="FF000000"/>
            <rFont val="Tahoma"/>
            <family val="2"/>
          </rPr>
          <t>Luz Marlene Andrade: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INDICAR QUÉ RUBRO PRESUPUESTAL ESTÁ SEÑALADO COMO TRAZADOR DE GÉNERO</t>
        </r>
      </text>
    </comment>
    <comment ref="J2" authorId="1" shapeId="0">
      <text>
        <r>
          <rPr>
            <b/>
            <sz val="9"/>
            <color rgb="FF000000"/>
            <rFont val="Tahoma"/>
            <family val="2"/>
          </rPr>
          <t>Usuario: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CUANTOS ESTUDIOS SON Y QUIEN VA A SER EL RESPONSABLE</t>
        </r>
      </text>
    </comment>
  </commentList>
</comments>
</file>

<file path=xl/comments2.xml><?xml version="1.0" encoding="utf-8"?>
<comments xmlns="http://schemas.openxmlformats.org/spreadsheetml/2006/main">
  <authors>
    <author>Luz Marlene Andrade</author>
    <author>Usuario</author>
  </authors>
  <commentList>
    <comment ref="AV1" authorId="0" shapeId="0">
      <text>
        <r>
          <rPr>
            <b/>
            <sz val="9"/>
            <color rgb="FF000000"/>
            <rFont val="Tahoma"/>
            <family val="2"/>
          </rPr>
          <t>Luz Marlene Andrade: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INDICAR QUÉ RUBRO PRESUPUESTAL ESTÁ SEÑALADO COMO TRAZADOR DE GÉNERO</t>
        </r>
      </text>
    </comment>
    <comment ref="J2" authorId="1" shapeId="0">
      <text>
        <r>
          <rPr>
            <b/>
            <sz val="9"/>
            <color rgb="FF000000"/>
            <rFont val="Tahoma"/>
            <family val="2"/>
          </rPr>
          <t>Usuario: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CUANTOS ESTUDIOS SON Y QUIEN VA A SER EL RESPONSABLE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<sst xmlns="http://schemas.openxmlformats.org/spreadsheetml/2006/main" count="2848" uniqueCount="480">
  <si>
    <t>PILAR</t>
  </si>
  <si>
    <t>LINEA ESTRATEGICA</t>
  </si>
  <si>
    <t>Indicador de Bienestar</t>
  </si>
  <si>
    <t>Línea Base 2019</t>
  </si>
  <si>
    <t>Meta Bienestar 2020-2023</t>
  </si>
  <si>
    <t xml:space="preserve">PROGRAMA </t>
  </si>
  <si>
    <t>Indicador de Producto</t>
  </si>
  <si>
    <t>UNIDAD DE MEDIDA DEL INDICADOR DE PRODUCTO</t>
  </si>
  <si>
    <t>Línea Base 2019 
Según PDD</t>
  </si>
  <si>
    <t>Descripción de la Meta Producto 2020-2023</t>
  </si>
  <si>
    <t>Valor Absoluto de la Meta Producto 2020-2023</t>
  </si>
  <si>
    <t>PROGRAMACIÓN META A 2022</t>
  </si>
  <si>
    <t>ACUMULADO DE META PRODUCTO 2020- 2021</t>
  </si>
  <si>
    <t>REPORTE META PRODUCTO
EJECUTADO DE ENERO 1 A MARZO 31 DE2022</t>
  </si>
  <si>
    <t>REPORTE META PRODUCTO
EJECUTADO DE ABRIL 1 A JUNIO 30 DE2022</t>
  </si>
  <si>
    <t>ACUMULADO META PRODUCTO EN EL CUATRIENIO</t>
  </si>
  <si>
    <t>AVANCE  META PRODUCTO A JUNIO 2022</t>
  </si>
  <si>
    <t>AVANCE  META PRODUCTO EN EL CUATRIENIO</t>
  </si>
  <si>
    <t xml:space="preserve">PROYECTOS </t>
  </si>
  <si>
    <t>CODIGO BPIM</t>
  </si>
  <si>
    <t>Objetivo del Proyecto</t>
  </si>
  <si>
    <t>ACTIVIDADES DEL PROYECTO ANUAL</t>
  </si>
  <si>
    <t>Valor Absoluto de la Actividad del  Proyecto 2022</t>
  </si>
  <si>
    <t>REPORTE ACTIVIDAD DE PROYECTO
EJECUTADO DE ENERO 1 A MARZO 31 DE 2022</t>
  </si>
  <si>
    <t>REPORTE ACTIVIDAD DE PROYECTO
EJECUTADO DE ABRIL 1 A JUNIO 30 DE 2022</t>
  </si>
  <si>
    <t>AVANCE PORCENTUAL DE LAS ACTIVIDADES DEL PROYECTO</t>
  </si>
  <si>
    <t>% AVANCE DEL PROYECTO</t>
  </si>
  <si>
    <t xml:space="preserve">Fecha de inicio </t>
  </si>
  <si>
    <t>Tiempo de Ejecución
(número de días)</t>
  </si>
  <si>
    <t>Beneficiarios Programados</t>
  </si>
  <si>
    <t>Beneficiarios Cubiertos</t>
  </si>
  <si>
    <t>Porcentaje de Participación de la Actividad en el Proyecto</t>
  </si>
  <si>
    <t xml:space="preserve">Dependencia Responsable </t>
  </si>
  <si>
    <t>Nombre del Responsable</t>
  </si>
  <si>
    <t>Fuente de Financiación</t>
  </si>
  <si>
    <t>Apropiación Definitiva
(en pesos)</t>
  </si>
  <si>
    <t>APROPIACION PRESUPUESTAL SEGÚN PLANEACION A JULIO</t>
  </si>
  <si>
    <t xml:space="preserve">REPORTE EJECUCIÓN PRESUPUESTAL </t>
  </si>
  <si>
    <t xml:space="preserve">% AVANCE DE LA  EJECUCIÓN PRESUPUESTAL SEGUNPLANEACION A JUNIO 2022 </t>
  </si>
  <si>
    <t>Fuente Presupuestal</t>
  </si>
  <si>
    <t>Rubro Presupuestal</t>
  </si>
  <si>
    <t xml:space="preserve">INDICAR SI EL RUBRO ESTÁ MARCADO COMO TRAZADOR DE GÉNERO
(SI ó NO) </t>
  </si>
  <si>
    <t>Código Presupuestal</t>
  </si>
  <si>
    <t>¿Requiere contratación?</t>
  </si>
  <si>
    <t xml:space="preserve">Tipo de Contratación </t>
  </si>
  <si>
    <t>Fecha de Inicio Contratación</t>
  </si>
  <si>
    <t>Estado</t>
  </si>
  <si>
    <t>Observación</t>
  </si>
  <si>
    <t>SALVEMOS JUNTOS NUESTRO PATRIMONIO NATURAL</t>
  </si>
  <si>
    <t>Inversion territorial en el Sector (En miles de pesos)</t>
  </si>
  <si>
    <t>$31.256.050  -Fuente EPA</t>
  </si>
  <si>
    <t>$34.000.000 (Incremento mayor al 8%)</t>
  </si>
  <si>
    <t>RECUPERAR Y RESTAURAR NUESTRAS ÁREAS NATURALES (BOSQUES, BIODIVERSIDAD Y SERVICIOS ECOSISTEMICOS)</t>
  </si>
  <si>
    <t>Numero de nuevos arboles sembrados</t>
  </si>
  <si>
    <t>Numero</t>
  </si>
  <si>
    <t>46843 -Fuente EPA</t>
  </si>
  <si>
    <t>100.000 nuevos arboles sembrados</t>
  </si>
  <si>
    <t>SISTEMA DE ARBOLADO URBANO</t>
  </si>
  <si>
    <t>Aumentar el número de árboles por habitante, contribuyendo de manera agregada a la conservación de la biodiversidad y al adecuado aprovechamiento de los servicios ecosistémicos, con el fin de crear espacios públicos que fomenten la actividad al aire.</t>
  </si>
  <si>
    <t>Diseño, desarrollo administracion de la
plataforma  virtual para registro de Biodiversidad</t>
  </si>
  <si>
    <t>EPA Cartagena y la Cuidad de Cartagenada</t>
  </si>
  <si>
    <t>Sub. Técnica y Desarrollo Sostenible</t>
  </si>
  <si>
    <t>NORMA BADRAM</t>
  </si>
  <si>
    <t>1.2.1.0.00 - Ingresos corrientes de Libre Destinación</t>
  </si>
  <si>
    <t>Servicios para la comunidad, sociales y personales</t>
  </si>
  <si>
    <t>2.3.2.02.02.009</t>
  </si>
  <si>
    <t>SI</t>
  </si>
  <si>
    <t>Contratacion directa</t>
  </si>
  <si>
    <t>Enero</t>
  </si>
  <si>
    <t>Socialización y
promoción de la
plataforma</t>
  </si>
  <si>
    <t>Identificar, estudiar y georeferenciar sitios de siembra</t>
  </si>
  <si>
    <t xml:space="preserve">Acuerdo con comunidades y entidades para la siembra y mantenimiento  de los  arboles sembrados </t>
  </si>
  <si>
    <t>Ejecución de actividades de siembra con apoyo de las comunidades y/o entidades</t>
  </si>
  <si>
    <t>1.2.3.2.12 - Contribución del Sector Eléctrico - General</t>
  </si>
  <si>
    <t>divulgacion y socializacion de la actividad</t>
  </si>
  <si>
    <t>Mantenimiento de los nuevos arboles sembrados</t>
  </si>
  <si>
    <t>Licitación Pública</t>
  </si>
  <si>
    <t>Febrero</t>
  </si>
  <si>
    <t>Campaña masiva de siembra voluntaria de árboles</t>
  </si>
  <si>
    <t>Diseño y ubicación para el establecimiento del vivero</t>
  </si>
  <si>
    <t>Centro de atención y
valoración de fauna,
adecuado e implementado</t>
  </si>
  <si>
    <t>0 -Fuente EPA</t>
  </si>
  <si>
    <t>1  Centro de atención y
valoración de fauna,
adecuado e implementado</t>
  </si>
  <si>
    <t>CENTRO DE ATENCION Y VALORACION DE FAUNA SILVESTRE</t>
  </si>
  <si>
    <t>Realizar dotación y adecuación del centro de atención, valoración y rehabilitación de fauna silvestre (CAVR Bocana) del EPA Cartagena cumpliendo con el Plan de Acción 2020 y satisfaciendo la demanda que la entidad ha venido solicitando.</t>
  </si>
  <si>
    <t>Dotar el personal requerido para la Operación y mantenimiento del CAV</t>
  </si>
  <si>
    <t>Contratacion Minima Cuantia</t>
  </si>
  <si>
    <t>Adquisicion de Alimentos, Materiales,insumos y equipos agroveterinarios</t>
  </si>
  <si>
    <t>1.Contratacion Minima            Cuantia                                   2.SELECCION_ABREVIADA</t>
  </si>
  <si>
    <t>1. Enero                                        2. Marzo</t>
  </si>
  <si>
    <t xml:space="preserve"> Ampliacion y mejoramiento de las instalaciones fisicas del CAV</t>
  </si>
  <si>
    <t>1. Contratacion Minima Cuantia           2. Selección Abreviada</t>
  </si>
  <si>
    <t>Abril</t>
  </si>
  <si>
    <t>Implementar el manual de bioseguridad para el funcionamiento del centro de atención animal CAV de la bocana</t>
  </si>
  <si>
    <t>Recepcionar fauna silvestre, incautada o entregada voluntariamente</t>
  </si>
  <si>
    <t>Evaluación de posibles zonas para la liberación de fauna</t>
  </si>
  <si>
    <t>numero de jornadas de limpieza en areas ambientalmente degradadas</t>
  </si>
  <si>
    <t>40 -Fuente EPA</t>
  </si>
  <si>
    <t>RECUPERACION DE AREAS AMBIENTALMENTE DEGRADADAS</t>
  </si>
  <si>
    <t>Aumentar el número de áreas ambientalmente restauradas</t>
  </si>
  <si>
    <t>Estudio de los sitios para la jornada de limpieza</t>
  </si>
  <si>
    <t>programacion y articulacion con otros actores para la intervencion de las areas.</t>
  </si>
  <si>
    <t>divulgacion y socializacion de la actividad con la comunidad</t>
  </si>
  <si>
    <t>limpieza en areas ambientalmente degradadas</t>
  </si>
  <si>
    <t>Intervencion de areas recuperadas</t>
  </si>
  <si>
    <t>Numero de operativos realizados para restitucion de Ecosistemas y Areas ambientalmente estrategicas</t>
  </si>
  <si>
    <t>73 -Fuente EPA</t>
  </si>
  <si>
    <t>150 operativos
realizados para
restitución de
ecosistemas y áreas
ambientalmente
estratégicas</t>
  </si>
  <si>
    <t>establecer los sitios de los operativos</t>
  </si>
  <si>
    <t>programacion, ejecucion y articulacion con otras entidades para el desarrollo de los operativos</t>
  </si>
  <si>
    <t>realizacion de operativos</t>
  </si>
  <si>
    <t>Numero de areas ambientalmente degradadas, intervenidas y en proceso de restauracion</t>
  </si>
  <si>
    <t>3 áreas ambientalmente degradadas, intervenidas y en proceso de restauración (Laguna del Cabrero-Caño Juan Angola, Cerro de la Popa y Bahia de Cartagena)</t>
  </si>
  <si>
    <t xml:space="preserve">Elaboracióndel plan de intervención para cerro de la Popa, bahía de Cartagena y caño Juan Angola. </t>
  </si>
  <si>
    <t>Ejecucion del plan de intervencion para cerro de la Popa, bahía de Cartagena y caño Juan Angola</t>
  </si>
  <si>
    <t>divulgacion y socializacion de las etapas del proceso de intervencion</t>
  </si>
  <si>
    <t>Numero de proyectos para la
restauración de biodiversidad
y servicios ecosistémicos
distritales diseñados e
implementados en área rural
e insular</t>
  </si>
  <si>
    <t>2   proyectos para la
restauración de biodiversidad
y servicios ecosistémicos
distritales diseñados e
implementados en área rural
e insular</t>
  </si>
  <si>
    <t>NA</t>
  </si>
  <si>
    <t>AVANCE DEL PROGRAMA RECUPERAR Y RESTAURAR NUESTRAS ÁREAS NATURALES (BOSQUES, BIODIVERSIDAD Y SERVICIOS ECOSISTEMICOS)</t>
  </si>
  <si>
    <t>AVANCE PROMEDIO DE LOS PROYECTOS DEL PROGRAMA RECUPERAR Y RESTAURAR NUESTRAS ÁREAS NATURALES (BOSQUES, BIODIVERSIDAD Y SERVICIOS ECOSISTEMICOS)</t>
  </si>
  <si>
    <t>ORDENAMIENTO AMBIENTAL Y ADAPTACION AL CAMBIO CLIMATICO PARA LA SOSTENIBILIDAD AMBIENTAL (MITIGACION Y GESTION DEL RIESGO AMBIENTAL)</t>
  </si>
  <si>
    <t>Ajustar y modificar el Plan Cartagena Competitiva y Compatible con el Clima y convertirlo en el Plan Integral de Adaptacion al Cambio Climatico -PIACC- formulado y adoptado (Ley 1931 del 27 de Julio de 2018)</t>
  </si>
  <si>
    <t>1    Plan Integral de Adaptacion al Cambio Climatico -PIACC- formulado y adoptado</t>
  </si>
  <si>
    <t>50%( 10% real)</t>
  </si>
  <si>
    <t>PLAN INTEGRAL DE ADAPTACION AL CAMBIO CLIMATICO</t>
  </si>
  <si>
    <t>Formular y adoptar el plan integral de gestión del cambio climático del Distrito de Cartagena de Indias en el marco de lo dispuesto por la Ley 1931 del 2018.</t>
  </si>
  <si>
    <t xml:space="preserve">Formulacion del Plan Integral de Adaptación al Cambio Climático
</t>
  </si>
  <si>
    <t>Adopción del Plan Integral de Adaptación l Cambio Climático</t>
  </si>
  <si>
    <t>Implementación del Plan Integral de Adaptación al Cambio Climático</t>
  </si>
  <si>
    <t>divulgacion y socializacion del Plan Integral de Adaptación al Cambio Climático</t>
  </si>
  <si>
    <t xml:space="preserve">Diseño e implementacion de Proyecto de Asistencia
Integral para el Sector
Industria (desarrollo e implementacion de acciones, auditorias energeticas y ambientales, capacitacion y selección  de medidas de reduccion de emisiones) </t>
  </si>
  <si>
    <t>1
Proyecto de Asistencia
Integral para el Sector
Industrial, diseñado e
implementado</t>
  </si>
  <si>
    <t xml:space="preserve">
Proyecto de Compostaje de
Residuos Orgánicos a Gran
Escala Local (por fases y en zonas detectadas como criticas)
implementado</t>
  </si>
  <si>
    <t>1
Proyecto de Compostaje de
Residuos Orgánicos a Gran
Escala Local,
implementado</t>
  </si>
  <si>
    <t>50% (20%real)</t>
  </si>
  <si>
    <t>formulacion del proyecto de compostaje de residuos organicos</t>
  </si>
  <si>
    <t>Concurso de Méritos</t>
  </si>
  <si>
    <t>abril</t>
  </si>
  <si>
    <t>adopcion e implementacion del proyecto de compostaje de residuos organicos</t>
  </si>
  <si>
    <t>divulgacion y socializacion del proyecto</t>
  </si>
  <si>
    <t>Febrero - Marzo</t>
  </si>
  <si>
    <t>Sistema Distrital de Buenas
Prácticas Energéticas en la
Administración Pública,
establecido</t>
  </si>
  <si>
    <t>1
Sistema Distrital de Buenas
Prácticas Energéticas en la
Administración Pública,
establecido</t>
  </si>
  <si>
    <t>Diseño del sistema Distrital de Buenas Practicas energeticas</t>
  </si>
  <si>
    <t>Agosto</t>
  </si>
  <si>
    <t>adopcion del sistema Distrital de Buenas Practicas energeticas</t>
  </si>
  <si>
    <t>implementacion del sistema Distrital de Buenas Practicas energeticas</t>
  </si>
  <si>
    <t xml:space="preserve">divulgacion y socializacion del Sistema Distrital de Buenas Practicas energeticas </t>
  </si>
  <si>
    <t>Campañas distritales
masivas de información en
gestión del cambio climático, realizadas</t>
  </si>
  <si>
    <t xml:space="preserve">4 campañas distrital
masivas de información de
gestión para la mitigación
de cambio climático y salud
ambiental </t>
  </si>
  <si>
    <t>diseño de estrategias para la campaña de mitigacion de cambio climatico y salud ambiental</t>
  </si>
  <si>
    <t>programacion de la campaña</t>
  </si>
  <si>
    <t>realizacion de la campaña de mitigacion de cambio climatico y salud ambiental</t>
  </si>
  <si>
    <t>Número de proyectos pilotos para el control de intrusion de mareas, diseñado y construido</t>
  </si>
  <si>
    <t>1  Proyecto Piloto para el Control de Intrusion de mareas,diseñado y construido</t>
  </si>
  <si>
    <t xml:space="preserve">Formulacion del proyecto piloto para el control de intrusion de mareas </t>
  </si>
  <si>
    <t xml:space="preserve">Ejecucion del proyecto piloto para el control de intrusion de mareas </t>
  </si>
  <si>
    <t xml:space="preserve">divulgacion y socializacion del proyecto piloto para el control de intrusion de mareas </t>
  </si>
  <si>
    <t>Numero de Barrios participando en la implementación del
proyecto “Tu Barrio
Sostenible</t>
  </si>
  <si>
    <t>3
Barrios participando en la
implementación de
proyecto “Tu Barrio
Sostenible</t>
  </si>
  <si>
    <t>ORDENAMIENTO PARA EL DESARROLLO AMBIENTAL</t>
  </si>
  <si>
    <t>Promover un ordenamiento para el desarrollo ambiental en el área de jurisdicción de EPA Cartagena.</t>
  </si>
  <si>
    <t xml:space="preserve">Ampliacion de criterios de selección de los 3 barrios a implementar. </t>
  </si>
  <si>
    <t xml:space="preserve">Ejecucion del  proyecto "Tu Barrio sostenible"  </t>
  </si>
  <si>
    <t xml:space="preserve">divulgacion y socializacion del proyecto </t>
  </si>
  <si>
    <t>Numero de 
Corredores ambientales
diseñados e
implementados articulados al sistema de drenajes urbanos sostenibles</t>
  </si>
  <si>
    <t>3
Corredores ambientales
diseñados e
implementados</t>
  </si>
  <si>
    <t>Diagnóstico de las zonas para identificar áreas de posibles conectividades ecológicas (modelo) - Cerro de la Popa - Ciénaga de la Virgen - Caño Juan Angola.</t>
  </si>
  <si>
    <t>Marzo</t>
  </si>
  <si>
    <t>Delimitación de las áreas de corredores ambientales</t>
  </si>
  <si>
    <t>Definición plan de restauración de los corredores ambientales</t>
  </si>
  <si>
    <t>Adopción de acto administrativo correspondiente</t>
  </si>
  <si>
    <t>Implementación del plan de restauración de los corredores ambientales</t>
  </si>
  <si>
    <t>Numero de Areas de Manglares Conservados y Protegidos( Area Urbana y Rural)</t>
  </si>
  <si>
    <t>3 Areas de Manglares Conservados y Protegidos( Area Urbana y Rural)</t>
  </si>
  <si>
    <t>Identificación ambiental y estrategias de áreas de manglar a intervenir</t>
  </si>
  <si>
    <t>Elaboración del programa de proteccion y conservacion</t>
  </si>
  <si>
    <t>Ejecución del programa de protección y conservación (Acto administrativo).</t>
  </si>
  <si>
    <t>Identificación, construcción y adopción de las determinantes ambientales urbanas</t>
  </si>
  <si>
    <t>AVANCE DEL PROGRAMA ORDENAMIENTO AMBIENTAL Y ADAPTACION AL CAMBIO CLIMATICO PARA LA SOSTENIBILIDAD AMBIENTAL (MITIGACION Y GESTION DEL RIESGO AMBIENTAL)</t>
  </si>
  <si>
    <t>AVANCE DE LOS PROYECTOS DEL PROGRAMA ORDENAMIENTO AMBIENTAL Y ADAPTACION AL CAMBIO CLIMATICO PARA LA SOSTENIBILIDAD AMBIENTAL (MITIGACION Y GESTION DEL RIESGO AMBIENTAL)</t>
  </si>
  <si>
    <t>ASEGURAMIENTO, MONITOREO, CONTROL Y VIGILANCIA AMBIENTAL (SISTEMA INTEGRADO DE MONITOREO AMBIENTAL)</t>
  </si>
  <si>
    <t>Numero de Estaciones de medición de calidad del aire, optimizadas
y funcionales.</t>
  </si>
  <si>
    <t>3 -Fuente EPA</t>
  </si>
  <si>
    <t>10
Estaciones de medición de
calidad del aire, optimizadas
y funcionales.</t>
  </si>
  <si>
    <t>SISTEMA INTELIGENTE DE MONITOREO AMBIENTAL</t>
  </si>
  <si>
    <t>Establecer un Sistema Inteligente de Monitoreo Ambiental que permita monitorear en tiempo real los recursos ambientales de Cartagena con el fin de tomar medidas de prevención y políticas ambientales.</t>
  </si>
  <si>
    <t xml:space="preserve">Rediseño del SVCA </t>
  </si>
  <si>
    <t>Mantenimiento preventivo o correctivo de los equipos del Sistema de Vigilancia de la Calidad del Aire</t>
  </si>
  <si>
    <t xml:space="preserve">Adquisicion de nuevos equipos </t>
  </si>
  <si>
    <t>Operación del sistema de vigilancia de la calidad del Aire( SVCA)</t>
  </si>
  <si>
    <t>Numero de 
Proyectos para la creación de
la Mesa Técnica Distrital de
Calidad del Aire y Ruido</t>
  </si>
  <si>
    <t>N.D</t>
  </si>
  <si>
    <t>1
Proyecto para la creación de
la Mesa Técnica Distrital de
Calidad del Aire y Ruido</t>
  </si>
  <si>
    <t>operación de la mesa tecnica</t>
  </si>
  <si>
    <t xml:space="preserve">Reporte técnico ambiental
(consolidado anual -aire,
ruido, agua-)
</t>
  </si>
  <si>
    <t xml:space="preserve">4
Reporte técnico ambiental
(consolidado anual -aire,
ruido, agua-)
</t>
  </si>
  <si>
    <t xml:space="preserve">ejecucion de actividades de seguimiento, control  y monitoreo de los recursos agua, aire y suelo </t>
  </si>
  <si>
    <t>Consolidación mensual de indicadores ambientales y gestión  resultado de las actividades de seguimiento, control  y monitoreo  (proyecto y áreas de STDS)</t>
  </si>
  <si>
    <t xml:space="preserve">Reporte mensual de indicadores ambientales (fauna, flora, calidad de agua, calidad de aire) en el Observatorio Ambiental. </t>
  </si>
  <si>
    <t>Monitoreos de calidad de agua</t>
  </si>
  <si>
    <t>Selección Abreviada</t>
  </si>
  <si>
    <t>Elaboración del Informe Anual sobre el Estado de los Recursos Naturales.</t>
  </si>
  <si>
    <t>Mapas de ruido actualizados.
(1 por localidad)</t>
  </si>
  <si>
    <t>3
Mapas de ruido actualizados.
(1 por localidad)</t>
  </si>
  <si>
    <t xml:space="preserve">Estudio de Diseño. </t>
  </si>
  <si>
    <t>Contratacion</t>
  </si>
  <si>
    <t>Divulgacion y socializacion</t>
  </si>
  <si>
    <t xml:space="preserve">
Sistema de control de calidad
del ruido, implementado</t>
  </si>
  <si>
    <t>1
Sistema de control de calidad
del ruido, implementado</t>
  </si>
  <si>
    <t xml:space="preserve">Diseño del sistema de control de calidad de ruido. </t>
  </si>
  <si>
    <t>Implementación del sistema de control de calidad de ruido.</t>
  </si>
  <si>
    <t>Divulgación y socialización de la actividad</t>
  </si>
  <si>
    <t>AVANCE DEL PROGRAMA ASEGURAMIENTO, MONITOREO, CONTROL Y VIGILANCIA AMBIENTAL (SISTEMA INTEGRADO DE MONITOREO AMBIENTAL)</t>
  </si>
  <si>
    <t>INVESTIGACION, EDUCACION Y CULTURA AMBIENTAL (EDUCACION Y CULTURA AMBIENTAL)</t>
  </si>
  <si>
    <t>Numero de Hogares comunitarios de bienestar
acompañados en la implementación de proyectos ambientales</t>
  </si>
  <si>
    <t>25
Hogares comunitarios
de bienestar
acompañados en la
implementación de
proyectos ambientales</t>
  </si>
  <si>
    <t>EDUCACION Y CULTURA AMBIENTAL</t>
  </si>
  <si>
    <t>Fortalecer los procesos de educación y cultura ambiental en el distrito de Cartagena de indias.</t>
  </si>
  <si>
    <t>Realizar asistencia tecnica y acompañamiento a los hogares comunitarios de bienestar familiar</t>
  </si>
  <si>
    <t>Sub. Educación e Investigación Ambiental</t>
  </si>
  <si>
    <t>Divulgación y socialización de la actividad.Realizar asistencia técnica y acompañamiento de los CDI</t>
  </si>
  <si>
    <t xml:space="preserve">Numero de Centros de desarrollo
infantil acompañados en la implementación de proyectos
ambientales
</t>
  </si>
  <si>
    <t xml:space="preserve">20
Centros de desarrollo
infantil acompañados
en la implementación
de proyectos
ambientales
</t>
  </si>
  <si>
    <t>Realizar asistencia técnica y acompañamiento de los CDI</t>
  </si>
  <si>
    <t>Divulgación y socialización de la actividad.</t>
  </si>
  <si>
    <t xml:space="preserve">Numero de  PRAES
participando de forma concertada en proyectos de acciones coordinadas con las
autoridades ambientales (Área
urbana)
</t>
  </si>
  <si>
    <t>28 -Fuente EPA</t>
  </si>
  <si>
    <t xml:space="preserve">120
Nuevos PRAES
participando de forma
concertada en
proyectos de acciones
coordinadas con las
autoridades
ambientales (Área
urbana y rural)
</t>
  </si>
  <si>
    <t>Brindar acompañamiento a las instituciones educativas en los procesos de formulación e implementación de PRAES</t>
  </si>
  <si>
    <t>Realización de jornadas y eventos de capacitación y educación ambiental a instituciones educativas distritales de Cartagena virtual y/o presencial</t>
  </si>
  <si>
    <t>Realizar el seguimiento  de las actividades realizadas en el marco de los PRAES</t>
  </si>
  <si>
    <t xml:space="preserve">Numero de PRAUS participando de forma concertada en proyectos de acciones coordinadas con las autoridades ambientales (Área urbana y rural)
</t>
  </si>
  <si>
    <t>9 -Fuente EPA</t>
  </si>
  <si>
    <t xml:space="preserve">9     PRAUS participando de forma concertada en proyectos de acciones coordinadas con las autoridades ambientales (Área urbana y rural)
</t>
  </si>
  <si>
    <t>Brindar acompañamiento a las instituciones educativas en los procesos de formulación e implementación de PRAUS</t>
  </si>
  <si>
    <t>Realizar el seguimiento  de las actividades realizadas en el marco de los PRAUS</t>
  </si>
  <si>
    <t>1.3.2.3.05 - Otros Rendimientos Financieros</t>
  </si>
  <si>
    <t xml:space="preserve">Numero de Grandes eventos
académicos para apropiación de
conocimientos sobre temas ambientales, impulsados y
realizados
</t>
  </si>
  <si>
    <t>2  -Fuente EPA</t>
  </si>
  <si>
    <t xml:space="preserve">6    Grandes eventos académicos para apropiación de conocimientos sobre temas ambientales, impulsados y
realizados
</t>
  </si>
  <si>
    <t>Impulsar y realizar eventos académicos para apropiación de conocimiento sobre temas ambientales en la ciudad de Cartagena</t>
  </si>
  <si>
    <t>Divulgación y socialización de las actividades</t>
  </si>
  <si>
    <t>Seguimiento a los compromisos generados en el marco del evento. (1 diagnóstico sobre resultados de las actividades realizadas)</t>
  </si>
  <si>
    <t>Numero de PROCEDAS
participando de forma concertada en proyectos y acciones coordinadas con las
autoridades ambientales (Área
urbana y rural)</t>
  </si>
  <si>
    <t>5  -Fuente EPA</t>
  </si>
  <si>
    <t>20
PROCEDAS
participando de forma concertada en proyectos y acciones coordinadas con las autoridades ambientales (Área urbana y rural)</t>
  </si>
  <si>
    <t>realizar asistencia tecnica para la formulacion, implementacion y seguimiento de los PROCEDAS</t>
  </si>
  <si>
    <t>Numero de Centros de Vida
participando en Actividades y buenas prácticas ambientales para el beneficio de poblacion de tercera edad, en asocio con las autoridades ambientales y el Distrito de Cartagena</t>
  </si>
  <si>
    <t>0  -Fuente EPA</t>
  </si>
  <si>
    <t>5
Centros de Vida
participando en
Actividades y buenas
prácticas ambientales</t>
  </si>
  <si>
    <t>Realizar talleres de formación y acompañamiento sobre buenas prácticas ambientales en los Centros de Vida del Distrito</t>
  </si>
  <si>
    <t>divulgacion y socializacion</t>
  </si>
  <si>
    <t>Numero de Herramientas TICs
implementadas para el fomento de la educación ambiental</t>
  </si>
  <si>
    <t>4
Herramientas TICs implementadas para el fomento de la educación ambiental</t>
  </si>
  <si>
    <t>INVESTIGACION E INNOVACION PARA LA GESTION AMBIENTAL SOSTENIBLE</t>
  </si>
  <si>
    <t>Fortalecer los procesos de investigación e innovación para la gestión ambiental sostenible distrito de Cartagena de indias.</t>
  </si>
  <si>
    <t>implementar la herramienta tics para el fomento de la educacion ambiental</t>
  </si>
  <si>
    <t xml:space="preserve">Numero de Ecosistemas con
investigaciones científicas de las condiciones físicoquímicas, biológicas, socioculturales y
económicas
</t>
  </si>
  <si>
    <t>1  -Fuente EPA</t>
  </si>
  <si>
    <t xml:space="preserve">4
Ecosistemas con
investigaciones
científicas de las
condiciones físicoquímicas, biológicas,
socioculturales y
económicas
</t>
  </si>
  <si>
    <t>Adoptar una herramienta TIC basada en Inteligencia Artificial</t>
  </si>
  <si>
    <t xml:space="preserve">1
</t>
  </si>
  <si>
    <t>Recopilar información fitosanitaria de las especies arbóreas pertenecientes al Distrito de Cartagena</t>
  </si>
  <si>
    <t>Contribuir a la optimización y mejoramiento de una herramienta TIC</t>
  </si>
  <si>
    <t>Determinar la mejor ubicación para la instalación de parcelas permanentes teniendo en cuenta la naturaleza de los ecosistemas, ubicación y criterios de adopción con la comunidad en el medio</t>
  </si>
  <si>
    <t>Medir la captura de carbono de los ecosistemas bosque seco y manglar a través de datos tomados con parcelas permanentes</t>
  </si>
  <si>
    <t>Analizar y comparar los datos provenientes de las dos parcelas permanentes instaladas</t>
  </si>
  <si>
    <t>Numero de Investigaciones y
estudios sobre el ambiente distrital, sus condiciones,
potencialidades e impactos</t>
  </si>
  <si>
    <t>4
Investigaciones y
estudios sobre el
ambiente distrital, sus
condiciones,
potencialidades e impactos</t>
  </si>
  <si>
    <t>Priorizar el cuerpo agua interno del distrito de Cartagena con mayores necesidades de investigación, considerando aspectos Ambientales, Socioeconómicos, Investigativos y Jurídicos.</t>
  </si>
  <si>
    <t>Determinar la calidad del cuerpo de agua interno seleccionado mediante la medición de parámetros fisicoquímicos y estudios de comunidades biológicas (Macroinvertebrados), siguiendo protocolos estandarizado</t>
  </si>
  <si>
    <t>Definir estrategias de reducción de gases de efecto invernadero</t>
  </si>
  <si>
    <t>Establecer propuestas de manejo ambiental en el cuerpo de agua seleccionado para brindar alternativas de conservación, preservación y remediación, teniendo en cuenta las competencias del Establecimiento Público Ambiental, EPA Cartagena</t>
  </si>
  <si>
    <t>Identificar la más conveniente estrategia, guía o metodología para la medición de huella de carbono en entidades u organizaciones, según criterios económicos, de desempeño, aceptación u operación</t>
  </si>
  <si>
    <t>Calcular la huella de carbono, teniendo en cuenta datos de actividades directas e indirectas y factores de emisión en la ciudad de Cartagena</t>
  </si>
  <si>
    <t xml:space="preserve">Cátedra ambiental
permanente, diseñada,
e implementada, en
asocio con otros
actores interesados en
el desarrollo ambiental
distrital
</t>
  </si>
  <si>
    <t xml:space="preserve">1
Cátedra ambiental
permanente, diseñada,
e implementada, en
asocio con otros
actores interesados en
el desarrollo ambiental
distrital
</t>
  </si>
  <si>
    <t>Definición de actores a participar en el diseño de la cátedra</t>
  </si>
  <si>
    <t>Definición de los limeamientos para el diseño de la cátedra ambiental</t>
  </si>
  <si>
    <t>Diseño e implementación de la cátedra ambiental</t>
  </si>
  <si>
    <t>Implementación de la cátedra ambiental</t>
  </si>
  <si>
    <t>AVANCE DEL PROGRAMA INVESTIGACION, EDUCACION Y CULTURA AMBIENTAL (EDUCACION Y CULTURA AMBIENTAL)</t>
  </si>
  <si>
    <t>AVANCE PROMEDIO DE LOS PROYECTOS DEL PROGRAMA INVESTIGACION, EDUCACION Y CULTURA AMBIENTAL (EDUCACION Y CULTURA AMBIENTAL)</t>
  </si>
  <si>
    <t>SALVEMOS JUNTOS NUESTRO RECURSO HIDRICO (GESTION INTEGRAL DEL RECURSO HIDRICO)</t>
  </si>
  <si>
    <t>Numero de cuerpos
de agua para la
optimización de sus
condiciones físicas,
hidráulicas y
ambientales.
(Urbanos y rurales)</t>
  </si>
  <si>
    <t>Intervenir 4 cuerpos
de agua para la
optimización de sus
condiciones físicas,
hidráulicas y
ambientales.
(Urbanos y rurales)</t>
  </si>
  <si>
    <t>GESTION INTEGRAL DEL RECURSO HIDRICO</t>
  </si>
  <si>
    <t>Aumentar la efectividad en la implementación de acciones encaminadas a la mejora en la gestión integral del recurso hídrico en el área de jurisdicción de EPA Cartagena</t>
  </si>
  <si>
    <t>Diagnóstico biofisico actualizado _x000B_(Ciénaga de Chambacú y Ciénaga las Quintas</t>
  </si>
  <si>
    <t>1.2.3.1.02 - Sobretasa Ambiental Áreas Metropolitanas</t>
  </si>
  <si>
    <t>Delimitación del área _x000B_(Ciénaga de Chambacú y Ciénaga las Quintas)</t>
  </si>
  <si>
    <t>Propuestas (Ciénaga de Chambacú y Ciénaga las Quintas)</t>
  </si>
  <si>
    <t>Ejecución de la actividad _x000B_(Juan Angola - Canal Policarpa)</t>
  </si>
  <si>
    <t xml:space="preserve">Divulgación y socialización de la actividad. </t>
  </si>
  <si>
    <t>1.2.3.2.05 - Otras tasas y derechos administrativos</t>
  </si>
  <si>
    <t xml:space="preserve">Numero de Rondas hídricas
asociadas a sistema
de drenajes, delimitadas y
acotadas
</t>
  </si>
  <si>
    <t xml:space="preserve">4
Rondas hídricas asociadas a sistema de drenajes,
delimitadas y acotadas
</t>
  </si>
  <si>
    <t>Caracterización biofísica general del área _x000B_(Calicanto, Icacos I, El Limón, Isla de León)</t>
  </si>
  <si>
    <t xml:space="preserve">Diagnostico biofísico actualizado. </t>
  </si>
  <si>
    <t xml:space="preserve">Delimitación del área. </t>
  </si>
  <si>
    <t>Definición de usos permitidos y categorías (definición estrategias de manejo).</t>
  </si>
  <si>
    <t>Socialización y presentación de la delimitación propuestaAjuste a propuesta y adopción de acto administrativo con la delimitación de las fajas paralelas</t>
  </si>
  <si>
    <t>EPA Cartagena y la Cuidad3</t>
  </si>
  <si>
    <t xml:space="preserve">Numero de Elementos del
Sistema de La Bocana Estabilizadora de Mareas, rehabilitados
</t>
  </si>
  <si>
    <t xml:space="preserve">Rehabilitar 2
Elementos del
Sistema de La
Bocana Estabilizadora
de Mareas
</t>
  </si>
  <si>
    <t>Informe del estado de los elementos del sistema (pantalla direccional, compuertas, sistema de bocana y relimpia)</t>
  </si>
  <si>
    <t>Contratación y ejecución de la actividad</t>
  </si>
  <si>
    <t>LICITACION PUBLICA</t>
  </si>
  <si>
    <t>Socialización y divulgación.</t>
  </si>
  <si>
    <t>AVANCE DEL PROGRAMA SALVEMOS JUNTOS NUESTRO RECURSO HIDRICO (GESTION INTEGRAL DEL RECURSO HIDRICO)</t>
  </si>
  <si>
    <t>AVANCE PROMEDIO DEL PROYECTO DEL PROGRAMA SALVEMOS JUNTOS NUESTRO RECURSO HIDRICO (GESTION INTEGRAL DEL RECURSO HIDRICO)</t>
  </si>
  <si>
    <t>NEGOCIOS VERDES, ECONOMIA CIRCULAR, PRODUCCION Y CONSUMO SOSTENIBLE (NEGOCIOS VERDES INCLUSIVOS)</t>
  </si>
  <si>
    <t>Numero de Nuevos negocios
verdes asesorados y verificados</t>
  </si>
  <si>
    <t>54  -Fuente EPA</t>
  </si>
  <si>
    <t>90
Nuevos negocios
verdes asesorados
y verificados</t>
  </si>
  <si>
    <t>NEGOCIOS VERDES, ECONOMIA CIRCULAR, PRODUCCION Y CONSUMO SOSTENIBLE</t>
  </si>
  <si>
    <t>Adoptar prácticas sostenibles verdes para los negocios nuevos y existentes en el Distrito de Cartagena</t>
  </si>
  <si>
    <t>Conformación de Grupo Técnico al interior del EPA Cartagena</t>
  </si>
  <si>
    <t>Oficina Asesora Planeación</t>
  </si>
  <si>
    <t>RAFAEL ESCUDERO</t>
  </si>
  <si>
    <t>Realizar reuniones de la Mesa y/o Comité Interinstitucional de Negocios Verdes y Economía Circular.</t>
  </si>
  <si>
    <t>Acompañamiento técnico del MADS para el fortalecimiento de la Ventanilla de negocios verdes de EPA Cartagena.</t>
  </si>
  <si>
    <t>Acompañamiento técnico a las ideas y/o proyectos en la categoría de Bienes y servicios sostenibles provenientes de recursos naturales, Ecoproductos Industriales, Mercado de Carbono.</t>
  </si>
  <si>
    <t>Verificación de Criterios de Negocios Verdes Sostenibles e Inclusivo</t>
  </si>
  <si>
    <t xml:space="preserve">Formación Complementaria en Estructuración de Modelos de Negocios Verdes (Alianza SENA). </t>
  </si>
  <si>
    <t>Realización de BootCamp de Emprendimiento Verde.</t>
  </si>
  <si>
    <t>Ventanilla de Negocios Verdes</t>
  </si>
  <si>
    <t>Actualización de la Base de datos de las ideas y/o proyectos registrados a través de la ventanilla de negocios verdes.</t>
  </si>
  <si>
    <t xml:space="preserve">Actualizacion de la pagina web  (http://negociosverdes.epacartagena.gov.co) </t>
  </si>
  <si>
    <t>Actividades de Promoción, Socialización y Divulgación de Producción y Consumo Responsable.</t>
  </si>
  <si>
    <t>Numero de Negocios Verdes
participando en ferias de negocios (Virtuales y
presenciales)</t>
  </si>
  <si>
    <t>30  -Fuente EPA</t>
  </si>
  <si>
    <t>90
Negocios Verdes participando en
ferias de negocios (Virtuales y
presenciales)</t>
  </si>
  <si>
    <t xml:space="preserve">
Negocios Verdes participando en
ferias de negocios (Virtuales y
presenciales)</t>
  </si>
  <si>
    <t>NO</t>
  </si>
  <si>
    <t>Numero de Ferias de
Negocios Verdes
realizadas</t>
  </si>
  <si>
    <t>3
Ferias de
Negocios Verdes
realizadas</t>
  </si>
  <si>
    <t>Alistamiento y formación a empresarios a participar en la feria.</t>
  </si>
  <si>
    <t>Realización de feria de negocios verdes en el distrito de Cartagena. </t>
  </si>
  <si>
    <t>Numero de Negocios Verdes
avalados</t>
  </si>
  <si>
    <t>10  -Fuente EPA</t>
  </si>
  <si>
    <t>41
Negocios Verdes
avalados</t>
  </si>
  <si>
    <t xml:space="preserve">Seguimiento a Planes de Mejora Negocios Verdes Avalados. </t>
  </si>
  <si>
    <t xml:space="preserve">Entrega de aval que cumplan el 51% de los Criterios de Negocios Verdes. </t>
  </si>
  <si>
    <t>AVANCE DEL PROGRAMA NEGOCIOS VERDES, ECONOMIA CIRCULAR, PRODUCCION Y CONSUMO SOSTENIBLE (NEGOCIOS VERDES INCLUSIVOS)</t>
  </si>
  <si>
    <t>AVANCE PROMEDIO DEL PROYECTO DEL PROGRAMA  NEGOCIOS VERDES, ECONOMIA CIRCULAR, PRODUCCION Y CONSUMO SOSTENIBLE (NEGOCIOS VERDES INCLUSIVOS)</t>
  </si>
  <si>
    <t>INSTITUCIONES AMBIENTALES MAS MODERNAS, EFICIENTES Y TRANSPARENTES (FORTALECIMIENTO INSTITUCIONAL)</t>
  </si>
  <si>
    <t>Plan Institucional de Gestión Ambiental implementado implementado</t>
  </si>
  <si>
    <t>1
Plan Institucional de Gestión Ambiental implementado.</t>
  </si>
  <si>
    <t>EPA MODERNA, EFICIENTE Y TRANSPARENTE</t>
  </si>
  <si>
    <t>Fortalecer la eficiencia administrativa de epa como autoridad ambiental en el distrito de Cartagena de indias.</t>
  </si>
  <si>
    <t>Contratar 1 Ingeniero (a) Ambiental para asesorar y apoyar la implementación del PIGA</t>
  </si>
  <si>
    <t>Sub. Administrativa y Financiera</t>
  </si>
  <si>
    <t>SIBILA CARREÑO</t>
  </si>
  <si>
    <t>Crear y/o modificar el Comité Institucional de Gestion y Desempeño</t>
  </si>
  <si>
    <t>Diseño de los  de los programas ambientales</t>
  </si>
  <si>
    <t>Aprobación de los Programas de Gestion Ambiental</t>
  </si>
  <si>
    <t xml:space="preserve">Socialización del Programa </t>
  </si>
  <si>
    <t>Implementación de los Programas</t>
  </si>
  <si>
    <t>Evaluación y Seguimiento de los programas implementados</t>
  </si>
  <si>
    <t>Numero de 
Procesos estandarizados</t>
  </si>
  <si>
    <t>7
Procesos de gestión institucional, estandarizados</t>
  </si>
  <si>
    <t xml:space="preserve">Contratar 2 Asesores para Diseño e Implementación del Sistema de Gestion de Calidad </t>
  </si>
  <si>
    <t>Capacitar a los lideres de  los procesos en Auditores internos de Gestion de Calidad</t>
  </si>
  <si>
    <t>Realizar 1 auditoria interna</t>
  </si>
  <si>
    <t>Realizar la auditoria externa</t>
  </si>
  <si>
    <t>Obtener la Certificación de Calidad ISO 9001 con un ente certificador</t>
  </si>
  <si>
    <t>Ventanilla Única de Atención al Usuario implementada</t>
  </si>
  <si>
    <t>1
Ventanilla Única de Atención al Usuario implementada</t>
  </si>
  <si>
    <t>Realizar proceso de contratación del Ingeniero Senior Desarrollador de Software</t>
  </si>
  <si>
    <t>Realizar proceso de  contratación del Ingeniero o Tecnólogo en Sistemas para Soporte TI</t>
  </si>
  <si>
    <t>Realizar mesas de trabajo y actividades que permitan obtener el insumo necesario para el diseño e implementación de la herramienta tecnológica para Automatizar el proceso atención al Ciudadano</t>
  </si>
  <si>
    <t>Implementar la herramienta tecnológica para automatizar el proceso de atención al ciudadano</t>
  </si>
  <si>
    <t>divulgacion y socializacion de la ventanilla de atencion al ciudadano en la pagina web del EPA</t>
  </si>
  <si>
    <t>Modelo Integrado de Planeación y Gestión implementado al 100%</t>
  </si>
  <si>
    <t>Porcentaje</t>
  </si>
  <si>
    <t>25%  -Fuente EPA</t>
  </si>
  <si>
    <t>100%
Modelo Integrado de Planeación y Gestión implementado</t>
  </si>
  <si>
    <t>Realizar el Proceso de contratación de un Asesor profesional con conocimiento y experiencia en MIPG.</t>
  </si>
  <si>
    <t>Realizar Diagnostico de la situación actual de la entidad</t>
  </si>
  <si>
    <t>Realizar el Plan de Mejora con base con los resultados del Diagnostico</t>
  </si>
  <si>
    <t>Mesas de trabajo para la el diseño y aprobación de los Planes</t>
  </si>
  <si>
    <t>Implementación del plan de Mejora de MIPG</t>
  </si>
  <si>
    <t>AVANCE DEL PROGRAMA INSTITUCIONES AMBIENTALES MAS MODERNAS, EFICIENTES Y TRANSPARENTES (FORTALECIMIENTO INSTITUCIONAL)</t>
  </si>
  <si>
    <t>AVANCE PROMEDIO DEL PROYECTO DEL PROGRAMA INSTITUCIONES AMBIENTALES MAS MODERNAS, EFICIENTES Y TRANSPARENTES (FORTALECIMIENTO INSTITUCIONAL)</t>
  </si>
  <si>
    <t xml:space="preserve">INSTRUMENTO DE ORDENAMIENTO TERRITORIAL </t>
  </si>
  <si>
    <t>Plan de Ordenamiento Territorial</t>
  </si>
  <si>
    <t>Estudios y documentos elaborados                                   Fuente -Secretaria de Planeacion</t>
  </si>
  <si>
    <t>Adoptar el Plan de Ordenamioento Territorial con base en la normativa vigente</t>
  </si>
  <si>
    <t>ORDENACION TERRITORIAL, RECUPERACION SOCIAL, AMBIENTAL Y URBANA DE LA CIENAGA DE LA VIRGEN</t>
  </si>
  <si>
    <t>Sistema de gestión Hídrica de la Ciénaga de la Virgen y Recuperación del Manglar conformado</t>
  </si>
  <si>
    <t xml:space="preserve">Conformación de un sistema de gestión Hídrica de la Ciénaga de la Virgen y Recuperación del Manglar </t>
  </si>
  <si>
    <t>SISTEMA DE GESTIÓN HÍDRICA DE LA CIÉNAGA DE LA VIRGEN Y RECUPERACIÓN DEL MANGLAR</t>
  </si>
  <si>
    <t>Recuperar la calidad del ecosistema de la ciénaga de la virgen.</t>
  </si>
  <si>
    <t xml:space="preserve">Implementación del sistema de gestión hídrica de la Ciénaga de la Virgen </t>
  </si>
  <si>
    <t>caracterización socioeconómica de la población habitante de las AID de las áreas a intervenir</t>
  </si>
  <si>
    <t>Articulación con otros actores para la intervención de las áreas.</t>
  </si>
  <si>
    <t xml:space="preserve">Capacitación y sensibilización a los habitantes de la zona de influencia </t>
  </si>
  <si>
    <t>Identificación de los puntos para la recuperación de manglar</t>
  </si>
  <si>
    <t>SELECCION_ABREVIADA</t>
  </si>
  <si>
    <t>Caracterización del estado de afectación de las características del ecosistema (calidad de agua y manglar) del AID</t>
  </si>
  <si>
    <t>Mejoramiento de ecosistemas estratégicos y rehabilitación ecológica  del manglares</t>
  </si>
  <si>
    <t>Definición del portafolio de stocks de carbono, disminución de emisiones por reforestación</t>
  </si>
  <si>
    <t>Definir Iniciativas de reducción o remoción de GEI con enfoque_x000B_ecosistémico</t>
  </si>
  <si>
    <t>Recuperación ambiental de zonas de bajamar de la Ciénaga de la Virgen</t>
  </si>
  <si>
    <t>Licitacion Publica</t>
  </si>
  <si>
    <t>e</t>
  </si>
  <si>
    <t>AVANCE DEL PROGRAMA ORDENACION TERRITORIAL, RECUPERACION SOCIAL, AMBIENTAL Y URBANA DE LA CIENAGA DE LA VIRGEN</t>
  </si>
  <si>
    <t>AVANCE PROMEDIO DEL PROYECTO DEL PROGRAMA ORDENACION TERRITORIAL, RECUPERACION SOCIAL, AMBIENTAL Y URBANA DE LA CIENAGA DE LA VIRGEN</t>
  </si>
  <si>
    <t>AVANCE PLAN DE DESARROLLO EPA A JUNIO DE 2022</t>
  </si>
  <si>
    <t>AVANCE PLAN DE ACCION EPA A JUNIO 30 DE 2022</t>
  </si>
  <si>
    <t>AVANCE EJECUCION PPTAL AJUNIO 2022</t>
  </si>
  <si>
    <t>Se realiza el  acompañamiento a los 7 hogares programados para ejecutar en el año 2022. Es por esto que para el segundo seguimiento continuan los 7 hogares</t>
  </si>
  <si>
    <t>Se realiza el  acompañamiento a los 6 CDI programados para ejecutar en el año 2022. Es por esto que para el segundo seguimiento continuan los 6 CDI</t>
  </si>
  <si>
    <t xml:space="preserve">para el año 2022 se programo 1 evento academico el cual tiene un 9% de avance en el segundo trimestre, esto dado que se viene adelantando una actividad la cual va en un 28% </t>
  </si>
  <si>
    <t>3
Centros de Vida participando</t>
  </si>
  <si>
    <t>35 PRAES participando, los cuales para este trimestre se añadieron 8 PRAES</t>
  </si>
  <si>
    <t>Se viene trabajando durante lo corrido del año con 1   PRAUS</t>
  </si>
  <si>
    <t xml:space="preserve">5 
PROCEDAS participando </t>
  </si>
  <si>
    <t>la ventanilla unica tiene un avance del 95% en 2020 y 2021. para el año 2022 la programacion es del 5% lo cual lleva un avance del 3%</t>
  </si>
  <si>
    <t xml:space="preserve">MIPG debe funcionar en un 100% el cual para este año va en un  56%, lo interpretamos que todos los años deben ser al 100% </t>
  </si>
  <si>
    <t>1 (dato real es el 20%)</t>
  </si>
  <si>
    <t>1  - (dato real  5%)</t>
  </si>
  <si>
    <t>un sistema de gestión Hídrica de la Ciénaga de la Virgen y Recuperación del Manglar conformada lleva de avance el 61%  del 20% programado para este año</t>
  </si>
  <si>
    <t>Valor Absoluto de la Meta Producto 
2020-2023</t>
  </si>
  <si>
    <t>REPORTE META PRODUCTO
EJECUTADO DE ENERO 1 A MARZO 31 DE 2022</t>
  </si>
  <si>
    <t>Diseño, desarrollo administracion de la plataforma  virtual para registro de Biodiversidad</t>
  </si>
  <si>
    <t>Socialización y promoción de la plataforma</t>
  </si>
  <si>
    <t>REPORTE ACTIVIDAD DE PROYECTO
EJECUTADO 
DE ABRIL 1 A JUNIO 30 DE 2022</t>
  </si>
  <si>
    <t>REPORTE ACTIVIDAD DE PROYECTO
EJECUTADO 
DE ENERO 1 A MARZO 31 DE 2022</t>
  </si>
  <si>
    <t>CODIGO BPIN</t>
  </si>
  <si>
    <t>Implementación y operación del sistema de reproducción de especies nativas</t>
  </si>
  <si>
    <t>Adopcion del sistema Distrital de Buenas Practicas energeticas</t>
  </si>
  <si>
    <t xml:space="preserve">Divulgacion y socializacion del Sistema Distrital de Buenas Practicas energeticas </t>
  </si>
  <si>
    <t>REPORTE META PRODUCTO
EJECUTADO DE JULIO A A SEPTIEMBRE 30 DE 2022</t>
  </si>
  <si>
    <t>REPORTE ACTIVIDAD DE PROYECTO
EJECUTADO 
DE JULIO 1 A SEPTIMEBRE 30 DE 2022</t>
  </si>
  <si>
    <t>% DE AVANCE META PRODUCTO-PROGRAMA </t>
  </si>
  <si>
    <t>% ACUMULADO EN EL CUATRIENIO DEL PROGRAMA </t>
  </si>
  <si>
    <t>EJECUCION PPTAL DEL PROGRAMA RECUPERAR Y RESTAURAR NUESTRAS ÁREAS NATURALES (BOSQUES, BIODIVERSIDAD Y SERVICIOS ECOSISTEMICOS)</t>
  </si>
  <si>
    <t>EJECUCION PPTAL DEL PROGRAMA  ORDENAMIENTO AMBIENTAL Y ADAPTACION AL CAMBIO CLIMATICO PARA LA SOSTENIBILIDAD AMBIENTAL (MITIGACION Y GESTION DEL RIESGO AMBIENTAL)</t>
  </si>
  <si>
    <t>AVANCE PROYECTOS DEL PROGRAMA ASEGURAMIENTO, MONITOREO, CONTROL Y VIGILANCIA AMBIENTAL (SISTEMA INTEGRADO DE MONITOREO AMBIENTAL)</t>
  </si>
  <si>
    <t>EJECUCION PPTAL DEL PROGRAMA INVESTIGACION, EDUCACION Y CULTURA AMBIENTAL (EDUCACION Y CULTURA AMBIENTAL)</t>
  </si>
  <si>
    <t>EJECUCION PPTAL DEL PROGRAMA  SALVEMOS JUNTOS NUESTRO RECURSO HIDRICO (GESTION INTEGRAL DEL RECURSO HIDRICO)</t>
  </si>
  <si>
    <t>EJECUCION PPTAL DEL PROGRAMA   INSTITUCIONES AMBIENTALES MAS MODERNAS, EFICIENTES Y TRANSPARENTES (FORTALECIMIENTO INSTITUCIONAL)</t>
  </si>
  <si>
    <t>EJECUCION PPTAL DEL PROGRAMA  ORDENACION TERRITORIAL, RECUPERACION SOCIAL, AMBIENTAL Y URBANA DE LA CIENAGA DE LA VIRGEN</t>
  </si>
  <si>
    <t>REPORTE META PRODUCTO
EJECUTADO DE OCTUBRE A DICIEMBRE 31 DE 2022</t>
  </si>
  <si>
    <t>REPORTE ACTIVIDAD DE PROYECTO
EJECUTADO 
DE OCTUBRE 1 A DICIEMBRE 31 DE 2022</t>
  </si>
  <si>
    <t>35 PRAES participando, los cuales para este trimestre se añadieron 8 PRAES
La activiadd de Realizacion de Seguimiento a las actividades de PRAUS  debet tener como meta real para 2022:  1 Seguimiento</t>
  </si>
  <si>
    <t>APROPIACION PRESUPUESTAL SEGÚN PLANEACION A DICIEMBRE 31 DE 2022</t>
  </si>
  <si>
    <t>1.3.1.1.02 - Excedentes financieros</t>
  </si>
  <si>
    <t>1.2.3.2.07 - Otras Multas, sanciones e intereses de mora</t>
  </si>
  <si>
    <t>AVANCE PLAN DE DESARROLLO EPA A DICIEMBRE DE 2022</t>
  </si>
  <si>
    <t>AVANCE PLAN DE ACCION EPA A DIC 30 DE 2022</t>
  </si>
  <si>
    <t>AVANCE EJECUCION PPTAL A 30 DE DIC  2022</t>
  </si>
  <si>
    <t xml:space="preserve">% AVANCE DE LA  EJECUCIÓN PRESUPUESTAL SEGÚN PLANEACION 
A DICIEMBRE 2022 </t>
  </si>
  <si>
    <t>REPORTE EJECUCIÓN PRESUPUESTAL GIROS</t>
  </si>
  <si>
    <t>CARTAGENA RESILIENTE</t>
  </si>
  <si>
    <t>ACUMULADO META PRODUCTO EN EL AÑO</t>
  </si>
  <si>
    <t>}</t>
  </si>
  <si>
    <t>AVANCE DEL PROYECTO SISTEMA DE ARBOLADO URBANO</t>
  </si>
  <si>
    <t>ACUMULADO ACTIVIDADES DIC 2022</t>
  </si>
  <si>
    <t>IMPLEMENTACION DE UN SISTEMA DE ARBOLADO URBANO</t>
  </si>
  <si>
    <t xml:space="preserve">Fecha de terminacion </t>
  </si>
  <si>
    <t>AVANCE PRESUPUESTAL DEL PROYECTO SISTEMA DE ARBOLADO URBANO</t>
  </si>
  <si>
    <t>AVANCE DEL PROYECTO CENTRO DE ATENCION Y VALORACION DE FAUNA SILVESTRE</t>
  </si>
  <si>
    <t>AVANCE PRESUPUESTAL DEL PROYECTO  CENTRO DE ATENCION Y VALORACION DE FAUNA SILVESTRE</t>
  </si>
  <si>
    <t>AVANCE DEL PROYECTORECUPERACION DE AREAS AMBIENTALMENTE DEGRADADAS</t>
  </si>
  <si>
    <t>AVANCE PRESUPUESTAL DEL PROYECTO RECUPERACION DE AREAS AMBIENTALMENTE DEGRADADAS</t>
  </si>
  <si>
    <t>AVANCE  DEL PROYECTO PLAN INTEGRAL DE ADAPTACION AL CAMBIO CLIMATICO</t>
  </si>
  <si>
    <t>AVANCE DEL PROYECTO ORDENAMIENTO AMBIENTAL Y ADAPTACION AL CAMBIO CLIMATICO</t>
  </si>
  <si>
    <t>EJECUCION PPTAL DEL PROYECTO ORDENAMIENTO PARA EL DESARROLLO AMBIENTAL</t>
  </si>
  <si>
    <t>EJECUCION PPTAL DEL PROYECTO   PLAN INTEGRAL DE ADAPTACION AL CAMBIO CLIMATICO</t>
  </si>
  <si>
    <t>1.2.3.2.05 - Otras tasas y derechos administrativos
1.3.3.4.02-93-031- R.B. CONTRIBUCION DEL SECTOR ELECTRICO
1.3.3.4.04-93-014 - R.B. TASAS RETRIBUTIVAS</t>
  </si>
  <si>
    <t>EJECUCION PPTAL DEL PROYECTO  DEL PROGRAMA ASEGURAMIENTO, MONITOREO, CONTROL Y VIGILANCIA AMBIENTAL (SISTEMA INTEGRADO DE MONITOREO AMBIENTAL)</t>
  </si>
  <si>
    <t>EJECUCION PPTAL DEL PROYECTO EDUCACION Y CULTURA AMBIENTAL</t>
  </si>
  <si>
    <t>EJECUCION PPTAL DEL PROYECTO FORTALECIMIENTO DE LA INVESTIGACION E INNOVACION PARA LA GESTION AMBIENTAL SOSTENIBLE EN EL DISTRITO DE CARTAGENA DE INDIAS</t>
  </si>
  <si>
    <t>EJECUCION PPTAL PROYECTO DEL PROGRAMA  NEGOCIOS VERDES, ECONOMIA CIRCULAR, PRODUCCION Y CONSUMO SOSTENIBLE (NEGOCIOS VERDES INCLUSIVOS)</t>
  </si>
  <si>
    <t>1.2.3.1.02 - Sobretasa Ambiental Áreas Metropolitanas
1.2.3.2.05-094 - OTRAS TASAS Y DERECHOS ADMINISTRATIVOS SOBRETASA PEAJE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</si>
</sst>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_-&quot;$&quot;\ * #,##0_-;\-&quot;$&quot;\ * #,##0_-;_-&quot;$&quot;\ * &quot;-&quot;_-;_-@_-"/>
    <numFmt numFmtId="165" formatCode="_-&quot;$&quot;\ * #,##0.00_-;\-&quot;$&quot;\ * #,##0.00_-;_-&quot;$&quot;\ * &quot;-&quot;??_-;_-@_-"/>
    <numFmt numFmtId="166" formatCode="_-&quot;$&quot;\ * #,##0_-;\-&quot;$&quot;\ * #,##0_-;_-&quot;$&quot;\ * &quot;-&quot;??_-;_-@_-"/>
    <numFmt numFmtId="167" formatCode="#,##0.000"/>
    <numFmt numFmtId="168" formatCode="0.0%"/>
    <numFmt numFmtId="169" formatCode="#,##0.0000"/>
    <numFmt numFmtId="170" formatCode="dd/mm/yyyy;@"/>
    <numFmt numFmtId="171" formatCode="_-[$$-240A]\ * #,##0.00_-;\-[$$-240A]\ * #,##0.00_-;_-[$$-240A]\ * &quot;-&quot;??_-;_-@_-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Arial"/>
      <family val="2"/>
    </font>
    <font>
      <sz val="11"/>
      <name val="Calibri"/>
      <family val="2"/>
      <scheme val="minor"/>
    </font>
    <font>
      <b/>
      <sz val="12"/>
      <name val="Arial"/>
      <family val="2"/>
    </font>
    <font>
      <sz val="11"/>
      <name val="Arial"/>
      <family val="2"/>
    </font>
    <font>
      <sz val="10"/>
      <color rgb="FF000000"/>
      <name val="Arial"/>
      <family val="2"/>
    </font>
    <font>
      <b/>
      <sz val="12"/>
      <color rgb="FFFF0000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color rgb="FFFF0000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b/>
      <sz val="12"/>
      <color rgb="FFFF0000"/>
      <name val="Calibri"/>
      <family val="2"/>
      <scheme val="minor"/>
    </font>
    <font>
      <sz val="11"/>
      <color rgb="FFFF0000"/>
      <name val="Arial"/>
      <family val="2"/>
    </font>
    <font>
      <sz val="10"/>
      <name val="Arial"/>
      <family val="2"/>
    </font>
    <font>
      <b/>
      <sz val="16"/>
      <color rgb="FFFF0000"/>
      <name val="Calibri"/>
      <family val="2"/>
      <scheme val="minor"/>
    </font>
    <font>
      <b/>
      <sz val="16"/>
      <color rgb="FFFF0000"/>
      <name val="Arial"/>
      <family val="2"/>
    </font>
    <font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sz val="11"/>
      <color theme="1"/>
      <name val="Arial"/>
      <family val="2"/>
    </font>
    <font>
      <b/>
      <sz val="14"/>
      <color rgb="FFFF0000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6"/>
      <name val="Arial"/>
      <family val="2"/>
    </font>
    <font>
      <b/>
      <sz val="14"/>
      <color rgb="FFFF0000"/>
      <name val="Arial"/>
      <family val="2"/>
    </font>
    <font>
      <b/>
      <sz val="18"/>
      <color rgb="FFFF0000"/>
      <name val="Calibri"/>
      <family val="2"/>
      <scheme val="minor"/>
    </font>
    <font>
      <b/>
      <sz val="18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auto="1"/>
      </left>
      <right style="thin">
        <color indexed="64"/>
      </right>
      <top/>
      <bottom/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/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06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1" fontId="4" fillId="2" borderId="6" xfId="0" applyNumberFormat="1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9" fontId="4" fillId="3" borderId="6" xfId="3" applyFont="1" applyFill="1" applyBorder="1" applyAlignment="1">
      <alignment horizontal="center" vertical="center" wrapText="1"/>
    </xf>
    <xf numFmtId="165" fontId="4" fillId="2" borderId="6" xfId="1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164" fontId="4" fillId="2" borderId="6" xfId="0" applyNumberFormat="1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5" fillId="0" borderId="0" xfId="0" applyFont="1"/>
    <xf numFmtId="0" fontId="7" fillId="3" borderId="13" xfId="0" applyFont="1" applyFill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9" fontId="7" fillId="2" borderId="13" xfId="3" applyFont="1" applyFill="1" applyBorder="1" applyAlignment="1">
      <alignment horizontal="center" vertical="center" wrapText="1"/>
    </xf>
    <xf numFmtId="14" fontId="7" fillId="0" borderId="13" xfId="0" applyNumberFormat="1" applyFont="1" applyBorder="1" applyAlignment="1">
      <alignment horizontal="center" vertical="center" wrapText="1"/>
    </xf>
    <xf numFmtId="1" fontId="7" fillId="0" borderId="13" xfId="0" applyNumberFormat="1" applyFont="1" applyBorder="1" applyAlignment="1">
      <alignment horizontal="center" vertical="center" wrapText="1"/>
    </xf>
    <xf numFmtId="9" fontId="7" fillId="3" borderId="15" xfId="0" applyNumberFormat="1" applyFont="1" applyFill="1" applyBorder="1" applyAlignment="1">
      <alignment horizontal="center" vertical="center" wrapText="1"/>
    </xf>
    <xf numFmtId="0" fontId="7" fillId="3" borderId="16" xfId="0" applyFont="1" applyFill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14" fontId="7" fillId="0" borderId="16" xfId="0" applyNumberFormat="1" applyFont="1" applyBorder="1" applyAlignment="1">
      <alignment horizontal="center" vertical="center" wrapText="1"/>
    </xf>
    <xf numFmtId="9" fontId="7" fillId="3" borderId="13" xfId="0" applyNumberFormat="1" applyFont="1" applyFill="1" applyBorder="1" applyAlignment="1">
      <alignment horizontal="center" vertical="center" wrapText="1"/>
    </xf>
    <xf numFmtId="3" fontId="7" fillId="0" borderId="16" xfId="0" applyNumberFormat="1" applyFont="1" applyBorder="1" applyAlignment="1">
      <alignment horizontal="center" vertical="center" wrapText="1"/>
    </xf>
    <xf numFmtId="0" fontId="8" fillId="2" borderId="0" xfId="0" applyFont="1" applyFill="1" applyAlignment="1">
      <alignment horizontal="center"/>
    </xf>
    <xf numFmtId="0" fontId="7" fillId="3" borderId="22" xfId="0" applyFont="1" applyFill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7" fillId="2" borderId="22" xfId="0" applyFont="1" applyFill="1" applyBorder="1" applyAlignment="1">
      <alignment horizontal="center" vertical="center" wrapText="1"/>
    </xf>
    <xf numFmtId="14" fontId="7" fillId="0" borderId="22" xfId="0" applyNumberFormat="1" applyFont="1" applyBorder="1" applyAlignment="1">
      <alignment horizontal="center" vertical="center" wrapText="1"/>
    </xf>
    <xf numFmtId="1" fontId="7" fillId="0" borderId="22" xfId="0" applyNumberFormat="1" applyFont="1" applyBorder="1" applyAlignment="1">
      <alignment horizontal="center" vertical="center" wrapText="1"/>
    </xf>
    <xf numFmtId="9" fontId="7" fillId="3" borderId="19" xfId="0" applyNumberFormat="1" applyFont="1" applyFill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14" fontId="7" fillId="0" borderId="15" xfId="0" applyNumberFormat="1" applyFont="1" applyBorder="1" applyAlignment="1">
      <alignment horizontal="center" vertical="center" wrapText="1"/>
    </xf>
    <xf numFmtId="10" fontId="7" fillId="3" borderId="15" xfId="0" applyNumberFormat="1" applyFont="1" applyFill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10" fontId="7" fillId="3" borderId="13" xfId="0" applyNumberFormat="1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1" fontId="7" fillId="0" borderId="14" xfId="0" applyNumberFormat="1" applyFont="1" applyBorder="1" applyAlignment="1">
      <alignment horizontal="center" vertical="center" wrapText="1"/>
    </xf>
    <xf numFmtId="14" fontId="7" fillId="0" borderId="19" xfId="0" applyNumberFormat="1" applyFont="1" applyBorder="1" applyAlignment="1">
      <alignment horizontal="center" vertical="center" wrapText="1"/>
    </xf>
    <xf numFmtId="10" fontId="7" fillId="3" borderId="9" xfId="0" applyNumberFormat="1" applyFont="1" applyFill="1" applyBorder="1" applyAlignment="1">
      <alignment horizontal="center" vertical="center" wrapText="1"/>
    </xf>
    <xf numFmtId="0" fontId="7" fillId="3" borderId="15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9" fontId="7" fillId="2" borderId="15" xfId="3" applyFont="1" applyFill="1" applyBorder="1" applyAlignment="1">
      <alignment horizontal="center" vertical="center" wrapText="1"/>
    </xf>
    <xf numFmtId="1" fontId="7" fillId="0" borderId="15" xfId="0" applyNumberFormat="1" applyFont="1" applyBorder="1" applyAlignment="1">
      <alignment horizontal="center" vertical="center" wrapText="1"/>
    </xf>
    <xf numFmtId="14" fontId="7" fillId="0" borderId="24" xfId="0" applyNumberFormat="1" applyFont="1" applyBorder="1" applyAlignment="1">
      <alignment horizontal="center" vertical="center" wrapText="1"/>
    </xf>
    <xf numFmtId="1" fontId="7" fillId="0" borderId="16" xfId="0" applyNumberFormat="1" applyFont="1" applyBorder="1" applyAlignment="1">
      <alignment horizontal="center" vertical="center" wrapText="1"/>
    </xf>
    <xf numFmtId="10" fontId="7" fillId="3" borderId="16" xfId="0" applyNumberFormat="1" applyFont="1" applyFill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14" fontId="7" fillId="0" borderId="14" xfId="0" applyNumberFormat="1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9" fontId="11" fillId="3" borderId="4" xfId="0" applyNumberFormat="1" applyFont="1" applyFill="1" applyBorder="1" applyAlignment="1">
      <alignment horizontal="center" vertical="center" wrapText="1"/>
    </xf>
    <xf numFmtId="14" fontId="7" fillId="0" borderId="4" xfId="0" applyNumberFormat="1" applyFont="1" applyBorder="1" applyAlignment="1">
      <alignment horizontal="center" vertical="center" wrapText="1"/>
    </xf>
    <xf numFmtId="1" fontId="7" fillId="0" borderId="4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1" fontId="3" fillId="0" borderId="4" xfId="0" applyNumberFormat="1" applyFont="1" applyBorder="1" applyAlignment="1">
      <alignment horizontal="center" vertical="center" wrapText="1"/>
    </xf>
    <xf numFmtId="166" fontId="3" fillId="0" borderId="25" xfId="1" applyNumberFormat="1" applyFont="1" applyFill="1" applyBorder="1" applyAlignment="1">
      <alignment horizontal="center" vertical="center" wrapText="1"/>
    </xf>
    <xf numFmtId="1" fontId="3" fillId="0" borderId="9" xfId="0" applyNumberFormat="1" applyFont="1" applyBorder="1" applyAlignment="1">
      <alignment horizontal="center" vertical="center" wrapText="1"/>
    </xf>
    <xf numFmtId="1" fontId="3" fillId="0" borderId="11" xfId="0" applyNumberFormat="1" applyFont="1" applyBorder="1" applyAlignment="1">
      <alignment horizontal="center" vertical="center" wrapText="1"/>
    </xf>
    <xf numFmtId="1" fontId="3" fillId="3" borderId="11" xfId="0" applyNumberFormat="1" applyFont="1" applyFill="1" applyBorder="1" applyAlignment="1">
      <alignment horizontal="center" vertical="center" wrapText="1"/>
    </xf>
    <xf numFmtId="165" fontId="3" fillId="0" borderId="11" xfId="1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9" fontId="7" fillId="0" borderId="13" xfId="0" applyNumberFormat="1" applyFont="1" applyBorder="1" applyAlignment="1">
      <alignment horizontal="center" vertical="center" wrapText="1"/>
    </xf>
    <xf numFmtId="9" fontId="7" fillId="2" borderId="13" xfId="0" applyNumberFormat="1" applyFont="1" applyFill="1" applyBorder="1" applyAlignment="1">
      <alignment horizontal="center" vertical="center" wrapText="1"/>
    </xf>
    <xf numFmtId="168" fontId="7" fillId="3" borderId="13" xfId="0" applyNumberFormat="1" applyFont="1" applyFill="1" applyBorder="1" applyAlignment="1">
      <alignment horizontal="center" vertical="center" wrapText="1"/>
    </xf>
    <xf numFmtId="9" fontId="7" fillId="0" borderId="16" xfId="0" applyNumberFormat="1" applyFont="1" applyBorder="1" applyAlignment="1">
      <alignment horizontal="center" vertical="center" wrapText="1"/>
    </xf>
    <xf numFmtId="9" fontId="7" fillId="2" borderId="16" xfId="0" applyNumberFormat="1" applyFont="1" applyFill="1" applyBorder="1" applyAlignment="1">
      <alignment horizontal="center" vertical="center" wrapText="1"/>
    </xf>
    <xf numFmtId="9" fontId="7" fillId="0" borderId="14" xfId="0" applyNumberFormat="1" applyFont="1" applyBorder="1" applyAlignment="1">
      <alignment horizontal="center" vertical="center" wrapText="1"/>
    </xf>
    <xf numFmtId="9" fontId="7" fillId="2" borderId="14" xfId="0" applyNumberFormat="1" applyFont="1" applyFill="1" applyBorder="1" applyAlignment="1">
      <alignment horizontal="center" vertical="center" wrapText="1"/>
    </xf>
    <xf numFmtId="168" fontId="7" fillId="3" borderId="9" xfId="0" applyNumberFormat="1" applyFont="1" applyFill="1" applyBorder="1" applyAlignment="1">
      <alignment horizontal="center" vertical="center" wrapText="1"/>
    </xf>
    <xf numFmtId="0" fontId="7" fillId="3" borderId="31" xfId="0" applyFont="1" applyFill="1" applyBorder="1" applyAlignment="1">
      <alignment horizontal="center" vertical="center" wrapText="1"/>
    </xf>
    <xf numFmtId="9" fontId="7" fillId="0" borderId="15" xfId="3" applyFont="1" applyFill="1" applyBorder="1" applyAlignment="1">
      <alignment horizontal="center" vertical="center" wrapText="1"/>
    </xf>
    <xf numFmtId="9" fontId="7" fillId="0" borderId="32" xfId="3" applyFont="1" applyFill="1" applyBorder="1" applyAlignment="1">
      <alignment horizontal="center" vertical="center" wrapText="1"/>
    </xf>
    <xf numFmtId="9" fontId="7" fillId="2" borderId="32" xfId="3" applyFont="1" applyFill="1" applyBorder="1" applyAlignment="1">
      <alignment horizontal="center" vertical="center" wrapText="1"/>
    </xf>
    <xf numFmtId="14" fontId="7" fillId="0" borderId="32" xfId="0" applyNumberFormat="1" applyFont="1" applyBorder="1" applyAlignment="1">
      <alignment horizontal="center" vertical="center" wrapText="1"/>
    </xf>
    <xf numFmtId="1" fontId="7" fillId="0" borderId="31" xfId="0" applyNumberFormat="1" applyFont="1" applyBorder="1" applyAlignment="1">
      <alignment horizontal="center" vertical="center" wrapText="1"/>
    </xf>
    <xf numFmtId="0" fontId="7" fillId="0" borderId="33" xfId="0" applyFont="1" applyBorder="1" applyAlignment="1">
      <alignment horizontal="center" vertical="center" wrapText="1"/>
    </xf>
    <xf numFmtId="0" fontId="7" fillId="3" borderId="26" xfId="0" applyFont="1" applyFill="1" applyBorder="1" applyAlignment="1">
      <alignment horizontal="center" vertical="center" wrapText="1"/>
    </xf>
    <xf numFmtId="9" fontId="7" fillId="0" borderId="16" xfId="3" applyFont="1" applyFill="1" applyBorder="1" applyAlignment="1">
      <alignment horizontal="center" vertical="center" wrapText="1"/>
    </xf>
    <xf numFmtId="9" fontId="7" fillId="0" borderId="34" xfId="3" applyFont="1" applyFill="1" applyBorder="1" applyAlignment="1">
      <alignment horizontal="center" vertical="center" wrapText="1"/>
    </xf>
    <xf numFmtId="9" fontId="7" fillId="2" borderId="34" xfId="3" applyFont="1" applyFill="1" applyBorder="1" applyAlignment="1">
      <alignment horizontal="center" vertical="center" wrapText="1"/>
    </xf>
    <xf numFmtId="14" fontId="7" fillId="0" borderId="34" xfId="0" applyNumberFormat="1" applyFont="1" applyBorder="1" applyAlignment="1">
      <alignment horizontal="center" vertical="center" wrapText="1"/>
    </xf>
    <xf numFmtId="1" fontId="7" fillId="0" borderId="26" xfId="0" applyNumberFormat="1" applyFont="1" applyBorder="1" applyAlignment="1">
      <alignment horizontal="center" vertical="center" wrapText="1"/>
    </xf>
    <xf numFmtId="0" fontId="7" fillId="0" borderId="35" xfId="0" applyFont="1" applyBorder="1" applyAlignment="1">
      <alignment horizontal="center" vertical="center" wrapText="1"/>
    </xf>
    <xf numFmtId="0" fontId="7" fillId="0" borderId="16" xfId="3" applyNumberFormat="1" applyFont="1" applyFill="1" applyBorder="1" applyAlignment="1">
      <alignment horizontal="center" vertical="center" wrapText="1"/>
    </xf>
    <xf numFmtId="0" fontId="7" fillId="0" borderId="34" xfId="3" applyNumberFormat="1" applyFont="1" applyFill="1" applyBorder="1" applyAlignment="1">
      <alignment horizontal="center" vertical="center" wrapText="1"/>
    </xf>
    <xf numFmtId="0" fontId="7" fillId="2" borderId="34" xfId="3" applyNumberFormat="1" applyFont="1" applyFill="1" applyBorder="1" applyAlignment="1">
      <alignment horizontal="center" vertical="center" wrapText="1"/>
    </xf>
    <xf numFmtId="0" fontId="13" fillId="3" borderId="26" xfId="0" applyFont="1" applyFill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0" fontId="13" fillId="3" borderId="16" xfId="0" applyFont="1" applyFill="1" applyBorder="1" applyAlignment="1">
      <alignment horizontal="center" vertical="center" wrapText="1"/>
    </xf>
    <xf numFmtId="0" fontId="13" fillId="3" borderId="36" xfId="0" applyFont="1" applyFill="1" applyBorder="1" applyAlignment="1">
      <alignment horizontal="center" vertical="center" wrapText="1"/>
    </xf>
    <xf numFmtId="9" fontId="7" fillId="0" borderId="22" xfId="3" applyFont="1" applyFill="1" applyBorder="1" applyAlignment="1">
      <alignment horizontal="center" vertical="center" wrapText="1"/>
    </xf>
    <xf numFmtId="9" fontId="7" fillId="0" borderId="37" xfId="3" applyFont="1" applyFill="1" applyBorder="1" applyAlignment="1">
      <alignment horizontal="center" vertical="center" wrapText="1"/>
    </xf>
    <xf numFmtId="9" fontId="7" fillId="2" borderId="37" xfId="3" applyFont="1" applyFill="1" applyBorder="1" applyAlignment="1">
      <alignment horizontal="center" vertical="center" wrapText="1"/>
    </xf>
    <xf numFmtId="14" fontId="7" fillId="0" borderId="37" xfId="0" applyNumberFormat="1" applyFont="1" applyBorder="1" applyAlignment="1">
      <alignment horizontal="center" vertical="center" wrapText="1"/>
    </xf>
    <xf numFmtId="1" fontId="13" fillId="0" borderId="36" xfId="0" applyNumberFormat="1" applyFont="1" applyBorder="1" applyAlignment="1">
      <alignment horizontal="center" vertical="center" wrapText="1"/>
    </xf>
    <xf numFmtId="0" fontId="7" fillId="0" borderId="38" xfId="0" applyFont="1" applyBorder="1" applyAlignment="1">
      <alignment horizontal="center" vertical="center" wrapText="1"/>
    </xf>
    <xf numFmtId="10" fontId="7" fillId="3" borderId="14" xfId="0" applyNumberFormat="1" applyFont="1" applyFill="1" applyBorder="1" applyAlignment="1">
      <alignment horizontal="center" vertical="center" wrapText="1"/>
    </xf>
    <xf numFmtId="0" fontId="13" fillId="3" borderId="22" xfId="0" applyFont="1" applyFill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wrapText="1"/>
    </xf>
    <xf numFmtId="9" fontId="11" fillId="3" borderId="25" xfId="3" applyFont="1" applyFill="1" applyBorder="1" applyAlignment="1">
      <alignment horizontal="center" vertical="center" wrapText="1"/>
    </xf>
    <xf numFmtId="14" fontId="7" fillId="0" borderId="25" xfId="0" applyNumberFormat="1" applyFont="1" applyBorder="1" applyAlignment="1">
      <alignment horizontal="center" vertical="center" wrapText="1"/>
    </xf>
    <xf numFmtId="1" fontId="13" fillId="0" borderId="11" xfId="0" applyNumberFormat="1" applyFont="1" applyBorder="1" applyAlignment="1">
      <alignment horizontal="center" vertical="center" wrapText="1"/>
    </xf>
    <xf numFmtId="10" fontId="7" fillId="3" borderId="4" xfId="0" applyNumberFormat="1" applyFont="1" applyFill="1" applyBorder="1" applyAlignment="1">
      <alignment horizontal="center" vertical="center" wrapText="1"/>
    </xf>
    <xf numFmtId="1" fontId="3" fillId="0" borderId="25" xfId="0" applyNumberFormat="1" applyFont="1" applyBorder="1" applyAlignment="1">
      <alignment horizontal="center" vertical="center" wrapText="1"/>
    </xf>
    <xf numFmtId="165" fontId="3" fillId="0" borderId="9" xfId="1" applyFont="1" applyFill="1" applyBorder="1" applyAlignment="1">
      <alignment horizontal="center" vertical="center" wrapText="1"/>
    </xf>
    <xf numFmtId="1" fontId="3" fillId="3" borderId="9" xfId="0" applyNumberFormat="1" applyFont="1" applyFill="1" applyBorder="1" applyAlignment="1">
      <alignment horizontal="center" vertical="center" wrapText="1"/>
    </xf>
    <xf numFmtId="0" fontId="13" fillId="3" borderId="9" xfId="0" applyFont="1" applyFill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9" fontId="7" fillId="2" borderId="4" xfId="0" applyNumberFormat="1" applyFont="1" applyFill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10" fontId="7" fillId="3" borderId="41" xfId="0" applyNumberFormat="1" applyFont="1" applyFill="1" applyBorder="1" applyAlignment="1">
      <alignment horizontal="center" vertical="center" wrapText="1"/>
    </xf>
    <xf numFmtId="0" fontId="7" fillId="0" borderId="34" xfId="0" applyFont="1" applyBorder="1" applyAlignment="1">
      <alignment horizontal="center" vertical="center" wrapText="1"/>
    </xf>
    <xf numFmtId="14" fontId="7" fillId="0" borderId="43" xfId="0" applyNumberFormat="1" applyFont="1" applyBorder="1" applyAlignment="1">
      <alignment horizontal="center" vertical="center" wrapText="1"/>
    </xf>
    <xf numFmtId="1" fontId="7" fillId="0" borderId="27" xfId="0" applyNumberFormat="1" applyFont="1" applyBorder="1" applyAlignment="1">
      <alignment horizontal="center" vertical="center" wrapText="1"/>
    </xf>
    <xf numFmtId="0" fontId="7" fillId="0" borderId="43" xfId="0" applyFont="1" applyBorder="1" applyAlignment="1">
      <alignment horizontal="center" vertical="center" wrapText="1"/>
    </xf>
    <xf numFmtId="10" fontId="7" fillId="3" borderId="25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7" fillId="0" borderId="9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65" fontId="3" fillId="0" borderId="10" xfId="1" applyFont="1" applyFill="1" applyBorder="1" applyAlignment="1">
      <alignment horizontal="center" vertical="center" wrapText="1"/>
    </xf>
    <xf numFmtId="9" fontId="7" fillId="2" borderId="16" xfId="3" applyFont="1" applyFill="1" applyBorder="1" applyAlignment="1">
      <alignment horizontal="center" vertical="center" wrapText="1"/>
    </xf>
    <xf numFmtId="10" fontId="7" fillId="2" borderId="16" xfId="3" applyNumberFormat="1" applyFont="1" applyFill="1" applyBorder="1" applyAlignment="1">
      <alignment horizontal="center" vertical="center" wrapText="1"/>
    </xf>
    <xf numFmtId="10" fontId="7" fillId="2" borderId="4" xfId="0" applyNumberFormat="1" applyFont="1" applyFill="1" applyBorder="1" applyAlignment="1">
      <alignment horizontal="center" vertical="center" wrapText="1"/>
    </xf>
    <xf numFmtId="168" fontId="7" fillId="2" borderId="16" xfId="0" applyNumberFormat="1" applyFont="1" applyFill="1" applyBorder="1" applyAlignment="1">
      <alignment horizontal="center" vertical="center" wrapText="1"/>
    </xf>
    <xf numFmtId="165" fontId="3" fillId="0" borderId="19" xfId="1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9" fontId="3" fillId="4" borderId="2" xfId="3" applyFont="1" applyFill="1" applyBorder="1" applyAlignment="1">
      <alignment horizontal="center" vertical="center" wrapText="1"/>
    </xf>
    <xf numFmtId="9" fontId="7" fillId="2" borderId="22" xfId="3" applyFont="1" applyFill="1" applyBorder="1" applyAlignment="1">
      <alignment horizontal="center" vertical="center" wrapText="1"/>
    </xf>
    <xf numFmtId="1" fontId="7" fillId="0" borderId="36" xfId="0" applyNumberFormat="1" applyFont="1" applyBorder="1" applyAlignment="1">
      <alignment horizontal="center" vertical="center" wrapText="1"/>
    </xf>
    <xf numFmtId="168" fontId="7" fillId="2" borderId="4" xfId="0" applyNumberFormat="1" applyFont="1" applyFill="1" applyBorder="1" applyAlignment="1">
      <alignment horizontal="center" vertical="center" wrapText="1"/>
    </xf>
    <xf numFmtId="1" fontId="7" fillId="0" borderId="24" xfId="0" applyNumberFormat="1" applyFont="1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 wrapText="1"/>
    </xf>
    <xf numFmtId="0" fontId="7" fillId="3" borderId="16" xfId="0" applyFont="1" applyFill="1" applyBorder="1" applyAlignment="1">
      <alignment horizontal="center" wrapText="1"/>
    </xf>
    <xf numFmtId="0" fontId="7" fillId="0" borderId="16" xfId="0" applyFont="1" applyBorder="1" applyAlignment="1">
      <alignment horizontal="center" wrapText="1"/>
    </xf>
    <xf numFmtId="9" fontId="7" fillId="2" borderId="16" xfId="3" applyFont="1" applyFill="1" applyBorder="1" applyAlignment="1">
      <alignment horizontal="center" wrapText="1"/>
    </xf>
    <xf numFmtId="9" fontId="11" fillId="3" borderId="9" xfId="0" applyNumberFormat="1" applyFont="1" applyFill="1" applyBorder="1" applyAlignment="1">
      <alignment horizontal="center" vertical="center" wrapText="1"/>
    </xf>
    <xf numFmtId="0" fontId="7" fillId="0" borderId="44" xfId="0" applyFont="1" applyBorder="1" applyAlignment="1">
      <alignment horizontal="center" vertical="center" wrapText="1"/>
    </xf>
    <xf numFmtId="10" fontId="7" fillId="3" borderId="37" xfId="0" applyNumberFormat="1" applyFont="1" applyFill="1" applyBorder="1" applyAlignment="1">
      <alignment horizontal="center" vertical="center" wrapText="1"/>
    </xf>
    <xf numFmtId="1" fontId="3" fillId="0" borderId="37" xfId="0" applyNumberFormat="1" applyFont="1" applyBorder="1" applyAlignment="1">
      <alignment horizontal="center" vertical="center" wrapText="1"/>
    </xf>
    <xf numFmtId="165" fontId="3" fillId="0" borderId="22" xfId="1" applyFont="1" applyFill="1" applyBorder="1" applyAlignment="1">
      <alignment horizontal="center" vertical="center" wrapText="1"/>
    </xf>
    <xf numFmtId="0" fontId="7" fillId="3" borderId="32" xfId="0" applyFont="1" applyFill="1" applyBorder="1" applyAlignment="1">
      <alignment horizontal="center" vertical="center" wrapText="1"/>
    </xf>
    <xf numFmtId="0" fontId="7" fillId="0" borderId="31" xfId="0" applyFont="1" applyBorder="1" applyAlignment="1">
      <alignment horizontal="center" vertical="center" wrapText="1"/>
    </xf>
    <xf numFmtId="0" fontId="7" fillId="2" borderId="31" xfId="0" applyFont="1" applyFill="1" applyBorder="1" applyAlignment="1">
      <alignment horizontal="center" vertical="center" wrapText="1"/>
    </xf>
    <xf numFmtId="9" fontId="7" fillId="2" borderId="4" xfId="3" applyFont="1" applyFill="1" applyBorder="1" applyAlignment="1">
      <alignment horizontal="center" vertical="center" wrapText="1"/>
    </xf>
    <xf numFmtId="0" fontId="7" fillId="3" borderId="34" xfId="0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horizontal="center" vertical="center" wrapText="1"/>
    </xf>
    <xf numFmtId="1" fontId="7" fillId="2" borderId="26" xfId="0" applyNumberFormat="1" applyFont="1" applyFill="1" applyBorder="1" applyAlignment="1">
      <alignment horizontal="center" vertical="center" wrapText="1"/>
    </xf>
    <xf numFmtId="166" fontId="3" fillId="0" borderId="9" xfId="1" applyNumberFormat="1" applyFont="1" applyFill="1" applyBorder="1" applyAlignment="1">
      <alignment horizontal="center" vertical="center" wrapText="1"/>
    </xf>
    <xf numFmtId="0" fontId="7" fillId="3" borderId="43" xfId="0" applyFont="1" applyFill="1" applyBorder="1" applyAlignment="1">
      <alignment horizontal="center" vertical="center" wrapText="1"/>
    </xf>
    <xf numFmtId="9" fontId="11" fillId="3" borderId="22" xfId="0" applyNumberFormat="1" applyFont="1" applyFill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2" borderId="24" xfId="0" applyFont="1" applyFill="1" applyBorder="1" applyAlignment="1">
      <alignment horizontal="center" vertical="center" wrapText="1"/>
    </xf>
    <xf numFmtId="0" fontId="16" fillId="3" borderId="16" xfId="0" applyFont="1" applyFill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6" fillId="2" borderId="26" xfId="0" applyFont="1" applyFill="1" applyBorder="1" applyAlignment="1">
      <alignment horizontal="center" vertical="center" wrapText="1"/>
    </xf>
    <xf numFmtId="1" fontId="16" fillId="0" borderId="26" xfId="0" applyNumberFormat="1" applyFont="1" applyBorder="1" applyAlignment="1">
      <alignment horizontal="center" vertical="center" wrapText="1"/>
    </xf>
    <xf numFmtId="0" fontId="16" fillId="3" borderId="34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3" fillId="0" borderId="5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6" fillId="3" borderId="4" xfId="0" applyFont="1" applyFill="1" applyBorder="1" applyAlignment="1">
      <alignment horizontal="center" vertical="center" wrapText="1"/>
    </xf>
    <xf numFmtId="0" fontId="16" fillId="0" borderId="34" xfId="0" applyFont="1" applyBorder="1" applyAlignment="1">
      <alignment horizontal="center" vertical="center" wrapText="1"/>
    </xf>
    <xf numFmtId="0" fontId="7" fillId="2" borderId="27" xfId="0" applyFont="1" applyFill="1" applyBorder="1" applyAlignment="1">
      <alignment horizontal="center" vertical="center" wrapText="1"/>
    </xf>
    <xf numFmtId="0" fontId="7" fillId="2" borderId="36" xfId="0" applyFont="1" applyFill="1" applyBorder="1" applyAlignment="1">
      <alignment horizontal="center" vertical="center" wrapText="1"/>
    </xf>
    <xf numFmtId="0" fontId="7" fillId="0" borderId="37" xfId="0" applyFont="1" applyBorder="1" applyAlignment="1">
      <alignment horizontal="center" vertical="center" wrapText="1"/>
    </xf>
    <xf numFmtId="10" fontId="10" fillId="0" borderId="9" xfId="0" applyNumberFormat="1" applyFont="1" applyBorder="1" applyAlignment="1">
      <alignment horizontal="center" vertical="center" wrapText="1"/>
    </xf>
    <xf numFmtId="9" fontId="11" fillId="3" borderId="11" xfId="0" applyNumberFormat="1" applyFont="1" applyFill="1" applyBorder="1" applyAlignment="1">
      <alignment horizontal="center" vertical="center" wrapText="1"/>
    </xf>
    <xf numFmtId="1" fontId="7" fillId="0" borderId="0" xfId="0" applyNumberFormat="1" applyFont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0" fontId="7" fillId="3" borderId="25" xfId="0" applyFont="1" applyFill="1" applyBorder="1" applyAlignment="1">
      <alignment horizontal="center" vertical="center" wrapText="1"/>
    </xf>
    <xf numFmtId="9" fontId="7" fillId="0" borderId="26" xfId="0" applyNumberFormat="1" applyFont="1" applyBorder="1" applyAlignment="1">
      <alignment horizontal="center" vertical="center" wrapText="1"/>
    </xf>
    <xf numFmtId="9" fontId="7" fillId="2" borderId="26" xfId="0" applyNumberFormat="1" applyFont="1" applyFill="1" applyBorder="1" applyAlignment="1">
      <alignment horizontal="center" vertical="center" wrapText="1"/>
    </xf>
    <xf numFmtId="9" fontId="7" fillId="2" borderId="17" xfId="0" applyNumberFormat="1" applyFont="1" applyFill="1" applyBorder="1" applyAlignment="1">
      <alignment horizontal="center" vertical="center" wrapText="1"/>
    </xf>
    <xf numFmtId="170" fontId="7" fillId="0" borderId="32" xfId="0" applyNumberFormat="1" applyFont="1" applyBorder="1" applyAlignment="1">
      <alignment horizontal="center" vertical="center" wrapText="1"/>
    </xf>
    <xf numFmtId="1" fontId="7" fillId="0" borderId="33" xfId="0" applyNumberFormat="1" applyFont="1" applyBorder="1" applyAlignment="1">
      <alignment horizontal="center" vertical="center" wrapText="1"/>
    </xf>
    <xf numFmtId="170" fontId="7" fillId="0" borderId="34" xfId="0" applyNumberFormat="1" applyFont="1" applyBorder="1" applyAlignment="1">
      <alignment horizontal="center" vertical="center" wrapText="1"/>
    </xf>
    <xf numFmtId="1" fontId="7" fillId="0" borderId="35" xfId="0" applyNumberFormat="1" applyFont="1" applyBorder="1" applyAlignment="1">
      <alignment horizontal="center" vertical="center" wrapText="1"/>
    </xf>
    <xf numFmtId="9" fontId="7" fillId="3" borderId="16" xfId="0" applyNumberFormat="1" applyFont="1" applyFill="1" applyBorder="1" applyAlignment="1">
      <alignment horizontal="center" vertical="center" wrapText="1"/>
    </xf>
    <xf numFmtId="9" fontId="15" fillId="2" borderId="26" xfId="0" applyNumberFormat="1" applyFont="1" applyFill="1" applyBorder="1" applyAlignment="1">
      <alignment horizontal="center" vertical="center" wrapText="1"/>
    </xf>
    <xf numFmtId="0" fontId="7" fillId="3" borderId="55" xfId="0" applyFont="1" applyFill="1" applyBorder="1" applyAlignment="1">
      <alignment horizontal="center" vertical="center" wrapText="1"/>
    </xf>
    <xf numFmtId="9" fontId="7" fillId="0" borderId="27" xfId="0" applyNumberFormat="1" applyFont="1" applyBorder="1" applyAlignment="1">
      <alignment horizontal="center" vertical="center" wrapText="1"/>
    </xf>
    <xf numFmtId="170" fontId="7" fillId="0" borderId="43" xfId="0" applyNumberFormat="1" applyFont="1" applyBorder="1" applyAlignment="1">
      <alignment horizontal="center" vertical="center" wrapText="1"/>
    </xf>
    <xf numFmtId="1" fontId="7" fillId="0" borderId="38" xfId="0" applyNumberFormat="1" applyFont="1" applyBorder="1" applyAlignment="1">
      <alignment horizontal="center" vertical="center" wrapText="1"/>
    </xf>
    <xf numFmtId="9" fontId="7" fillId="3" borderId="14" xfId="0" applyNumberFormat="1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164" fontId="5" fillId="0" borderId="25" xfId="2" applyFont="1" applyFill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9" fontId="11" fillId="3" borderId="35" xfId="0" applyNumberFormat="1" applyFont="1" applyFill="1" applyBorder="1" applyAlignment="1">
      <alignment horizontal="center" vertical="center" wrapText="1"/>
    </xf>
    <xf numFmtId="170" fontId="7" fillId="0" borderId="16" xfId="0" applyNumberFormat="1" applyFont="1" applyBorder="1" applyAlignment="1">
      <alignment horizontal="center" vertical="center" wrapText="1"/>
    </xf>
    <xf numFmtId="9" fontId="7" fillId="3" borderId="57" xfId="0" applyNumberFormat="1" applyFont="1" applyFill="1" applyBorder="1" applyAlignment="1">
      <alignment horizontal="center" vertical="center" wrapText="1"/>
    </xf>
    <xf numFmtId="10" fontId="7" fillId="3" borderId="19" xfId="0" applyNumberFormat="1" applyFont="1" applyFill="1" applyBorder="1" applyAlignment="1">
      <alignment horizontal="center" vertical="center" wrapText="1"/>
    </xf>
    <xf numFmtId="9" fontId="10" fillId="2" borderId="4" xfId="0" applyNumberFormat="1" applyFont="1" applyFill="1" applyBorder="1" applyAlignment="1">
      <alignment horizontal="center" vertical="center"/>
    </xf>
    <xf numFmtId="1" fontId="5" fillId="0" borderId="0" xfId="0" applyNumberFormat="1" applyFont="1"/>
    <xf numFmtId="0" fontId="5" fillId="3" borderId="0" xfId="0" applyFont="1" applyFill="1"/>
    <xf numFmtId="0" fontId="17" fillId="0" borderId="4" xfId="0" applyFont="1" applyBorder="1" applyAlignment="1">
      <alignment horizontal="center" vertical="center" wrapText="1"/>
    </xf>
    <xf numFmtId="165" fontId="18" fillId="0" borderId="4" xfId="1" applyFont="1" applyFill="1" applyBorder="1"/>
    <xf numFmtId="165" fontId="18" fillId="0" borderId="60" xfId="1" applyFont="1" applyFill="1" applyBorder="1"/>
    <xf numFmtId="165" fontId="9" fillId="0" borderId="0" xfId="1" applyFont="1" applyFill="1" applyBorder="1"/>
    <xf numFmtId="165" fontId="5" fillId="0" borderId="0" xfId="1" applyFont="1" applyFill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9" fontId="11" fillId="3" borderId="4" xfId="0" applyNumberFormat="1" applyFont="1" applyFill="1" applyBorder="1" applyAlignment="1">
      <alignment horizontal="center" vertical="center"/>
    </xf>
    <xf numFmtId="165" fontId="19" fillId="0" borderId="4" xfId="1" applyFont="1" applyFill="1" applyBorder="1"/>
    <xf numFmtId="9" fontId="17" fillId="0" borderId="4" xfId="3" applyFont="1" applyFill="1" applyBorder="1" applyAlignment="1">
      <alignment horizontal="center" vertical="center"/>
    </xf>
    <xf numFmtId="9" fontId="10" fillId="0" borderId="0" xfId="3" applyFont="1" applyFill="1" applyBorder="1" applyAlignment="1">
      <alignment horizontal="center" vertical="center"/>
    </xf>
    <xf numFmtId="165" fontId="5" fillId="0" borderId="0" xfId="1" applyFont="1"/>
    <xf numFmtId="168" fontId="10" fillId="0" borderId="28" xfId="3" applyNumberFormat="1" applyFont="1" applyFill="1" applyBorder="1" applyAlignment="1">
      <alignment horizontal="center" vertical="center" wrapText="1"/>
    </xf>
    <xf numFmtId="168" fontId="10" fillId="0" borderId="4" xfId="3" applyNumberFormat="1" applyFont="1" applyFill="1" applyBorder="1" applyAlignment="1">
      <alignment horizontal="center" vertical="center" wrapText="1"/>
    </xf>
    <xf numFmtId="168" fontId="14" fillId="0" borderId="4" xfId="3" applyNumberFormat="1" applyFont="1" applyFill="1" applyBorder="1" applyAlignment="1">
      <alignment horizontal="center" vertical="center" wrapText="1"/>
    </xf>
    <xf numFmtId="168" fontId="9" fillId="0" borderId="11" xfId="3" applyNumberFormat="1" applyFont="1" applyFill="1" applyBorder="1" applyAlignment="1">
      <alignment horizontal="center" vertical="center" wrapText="1"/>
    </xf>
    <xf numFmtId="168" fontId="10" fillId="0" borderId="9" xfId="0" applyNumberFormat="1" applyFont="1" applyBorder="1" applyAlignment="1">
      <alignment horizontal="center" vertical="center" wrapText="1"/>
    </xf>
    <xf numFmtId="168" fontId="10" fillId="0" borderId="9" xfId="3" applyNumberFormat="1" applyFont="1" applyFill="1" applyBorder="1" applyAlignment="1">
      <alignment horizontal="center" vertical="center" wrapText="1"/>
    </xf>
    <xf numFmtId="168" fontId="11" fillId="0" borderId="4" xfId="0" applyNumberFormat="1" applyFont="1" applyBorder="1" applyAlignment="1">
      <alignment horizontal="center" vertical="center"/>
    </xf>
    <xf numFmtId="168" fontId="9" fillId="0" borderId="4" xfId="0" applyNumberFormat="1" applyFont="1" applyBorder="1" applyAlignment="1">
      <alignment horizontal="center" vertical="center"/>
    </xf>
    <xf numFmtId="9" fontId="3" fillId="0" borderId="2" xfId="3" applyFont="1" applyFill="1" applyBorder="1" applyAlignment="1">
      <alignment horizontal="center" vertical="center" wrapText="1"/>
    </xf>
    <xf numFmtId="10" fontId="3" fillId="0" borderId="2" xfId="0" applyNumberFormat="1" applyFont="1" applyBorder="1" applyAlignment="1">
      <alignment horizontal="center" vertical="center" wrapText="1"/>
    </xf>
    <xf numFmtId="9" fontId="3" fillId="0" borderId="51" xfId="3" applyFont="1" applyFill="1" applyBorder="1" applyAlignment="1">
      <alignment horizontal="center" vertical="center" wrapText="1"/>
    </xf>
    <xf numFmtId="1" fontId="3" fillId="0" borderId="22" xfId="0" applyNumberFormat="1" applyFont="1" applyBorder="1" applyAlignment="1">
      <alignment horizontal="center" vertical="center" wrapText="1"/>
    </xf>
    <xf numFmtId="10" fontId="7" fillId="3" borderId="31" xfId="0" applyNumberFormat="1" applyFont="1" applyFill="1" applyBorder="1" applyAlignment="1">
      <alignment horizontal="center" vertical="center" wrapText="1"/>
    </xf>
    <xf numFmtId="10" fontId="7" fillId="3" borderId="26" xfId="0" applyNumberFormat="1" applyFont="1" applyFill="1" applyBorder="1" applyAlignment="1">
      <alignment horizontal="center" vertical="center" wrapText="1"/>
    </xf>
    <xf numFmtId="10" fontId="7" fillId="3" borderId="36" xfId="0" applyNumberFormat="1" applyFont="1" applyFill="1" applyBorder="1" applyAlignment="1">
      <alignment horizontal="center" vertical="center" wrapText="1"/>
    </xf>
    <xf numFmtId="1" fontId="3" fillId="0" borderId="28" xfId="0" applyNumberFormat="1" applyFont="1" applyBorder="1" applyAlignment="1">
      <alignment horizontal="center" vertical="center" wrapText="1"/>
    </xf>
    <xf numFmtId="1" fontId="3" fillId="0" borderId="2" xfId="0" applyNumberFormat="1" applyFont="1" applyBorder="1" applyAlignment="1">
      <alignment horizontal="center" vertical="center" wrapText="1"/>
    </xf>
    <xf numFmtId="10" fontId="7" fillId="3" borderId="17" xfId="0" applyNumberFormat="1" applyFont="1" applyFill="1" applyBorder="1" applyAlignment="1">
      <alignment horizontal="center" vertical="center" wrapText="1"/>
    </xf>
    <xf numFmtId="165" fontId="20" fillId="0" borderId="0" xfId="1" applyFont="1" applyFill="1"/>
    <xf numFmtId="10" fontId="7" fillId="0" borderId="16" xfId="3" applyNumberFormat="1" applyFont="1" applyFill="1" applyBorder="1" applyAlignment="1">
      <alignment horizontal="center" vertical="center" wrapText="1"/>
    </xf>
    <xf numFmtId="168" fontId="7" fillId="0" borderId="16" xfId="0" applyNumberFormat="1" applyFont="1" applyBorder="1" applyAlignment="1">
      <alignment horizontal="center" vertical="center" wrapText="1"/>
    </xf>
    <xf numFmtId="9" fontId="7" fillId="0" borderId="16" xfId="3" applyFont="1" applyFill="1" applyBorder="1" applyAlignment="1">
      <alignment horizontal="center" wrapText="1"/>
    </xf>
    <xf numFmtId="0" fontId="7" fillId="0" borderId="24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 wrapText="1"/>
    </xf>
    <xf numFmtId="14" fontId="7" fillId="0" borderId="31" xfId="0" applyNumberFormat="1" applyFont="1" applyBorder="1" applyAlignment="1">
      <alignment horizontal="center" vertical="center" wrapText="1"/>
    </xf>
    <xf numFmtId="0" fontId="7" fillId="0" borderId="50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9" fontId="3" fillId="0" borderId="16" xfId="0" applyNumberFormat="1" applyFont="1" applyBorder="1" applyAlignment="1">
      <alignment horizontal="center" vertical="center" wrapText="1"/>
    </xf>
    <xf numFmtId="9" fontId="3" fillId="0" borderId="35" xfId="3" applyFont="1" applyFill="1" applyBorder="1" applyAlignment="1">
      <alignment horizontal="center" vertical="center" wrapText="1"/>
    </xf>
    <xf numFmtId="0" fontId="7" fillId="0" borderId="60" xfId="0" applyFont="1" applyBorder="1" applyAlignment="1">
      <alignment horizontal="center" vertical="center" wrapText="1"/>
    </xf>
    <xf numFmtId="1" fontId="7" fillId="0" borderId="42" xfId="0" applyNumberFormat="1" applyFont="1" applyBorder="1" applyAlignment="1">
      <alignment horizontal="center" vertical="center" wrapText="1"/>
    </xf>
    <xf numFmtId="1" fontId="7" fillId="0" borderId="3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165" fontId="3" fillId="0" borderId="1" xfId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0" fontId="7" fillId="0" borderId="16" xfId="0" applyNumberFormat="1" applyFont="1" applyBorder="1" applyAlignment="1">
      <alignment horizontal="center" vertical="center" wrapText="1"/>
    </xf>
    <xf numFmtId="10" fontId="24" fillId="0" borderId="9" xfId="3" applyNumberFormat="1" applyFont="1" applyFill="1" applyBorder="1" applyAlignment="1">
      <alignment horizontal="center" vertical="center" wrapText="1"/>
    </xf>
    <xf numFmtId="168" fontId="14" fillId="0" borderId="17" xfId="3" applyNumberFormat="1" applyFont="1" applyFill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 wrapText="1"/>
    </xf>
    <xf numFmtId="9" fontId="7" fillId="0" borderId="13" xfId="3" applyFont="1" applyFill="1" applyBorder="1" applyAlignment="1">
      <alignment horizontal="center" vertical="center" wrapText="1"/>
    </xf>
    <xf numFmtId="9" fontId="10" fillId="0" borderId="2" xfId="3" applyFont="1" applyFill="1" applyBorder="1" applyAlignment="1">
      <alignment horizontal="center" vertical="center" wrapText="1"/>
    </xf>
    <xf numFmtId="9" fontId="24" fillId="0" borderId="9" xfId="3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61" xfId="0" applyFont="1" applyBorder="1" applyAlignment="1">
      <alignment horizontal="center" vertical="center" wrapText="1"/>
    </xf>
    <xf numFmtId="1" fontId="4" fillId="0" borderId="6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9" fontId="4" fillId="0" borderId="6" xfId="3" applyFont="1" applyFill="1" applyBorder="1" applyAlignment="1">
      <alignment horizontal="center" vertical="center" wrapText="1"/>
    </xf>
    <xf numFmtId="165" fontId="4" fillId="0" borderId="6" xfId="1" applyFont="1" applyFill="1" applyBorder="1" applyAlignment="1">
      <alignment horizontal="center" vertical="center" wrapText="1"/>
    </xf>
    <xf numFmtId="164" fontId="4" fillId="0" borderId="6" xfId="0" applyNumberFormat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9" fontId="7" fillId="0" borderId="15" xfId="0" applyNumberFormat="1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/>
    </xf>
    <xf numFmtId="9" fontId="7" fillId="0" borderId="19" xfId="0" applyNumberFormat="1" applyFont="1" applyBorder="1" applyAlignment="1">
      <alignment horizontal="center" vertical="center" wrapText="1"/>
    </xf>
    <xf numFmtId="10" fontId="7" fillId="0" borderId="15" xfId="0" applyNumberFormat="1" applyFont="1" applyBorder="1" applyAlignment="1">
      <alignment horizontal="center" vertical="center" wrapText="1"/>
    </xf>
    <xf numFmtId="10" fontId="7" fillId="0" borderId="13" xfId="0" applyNumberFormat="1" applyFont="1" applyBorder="1" applyAlignment="1">
      <alignment horizontal="center" vertical="center" wrapText="1"/>
    </xf>
    <xf numFmtId="10" fontId="7" fillId="0" borderId="9" xfId="0" applyNumberFormat="1" applyFont="1" applyBorder="1" applyAlignment="1">
      <alignment horizontal="center" vertical="center" wrapText="1"/>
    </xf>
    <xf numFmtId="14" fontId="7" fillId="0" borderId="20" xfId="0" applyNumberFormat="1" applyFont="1" applyBorder="1" applyAlignment="1">
      <alignment horizontal="center" vertical="center" wrapText="1"/>
    </xf>
    <xf numFmtId="10" fontId="7" fillId="0" borderId="22" xfId="0" applyNumberFormat="1" applyFont="1" applyBorder="1" applyAlignment="1">
      <alignment horizontal="center" vertical="center" wrapText="1"/>
    </xf>
    <xf numFmtId="10" fontId="11" fillId="0" borderId="4" xfId="0" applyNumberFormat="1" applyFont="1" applyBorder="1" applyAlignment="1">
      <alignment horizontal="center" vertical="center" wrapText="1"/>
    </xf>
    <xf numFmtId="168" fontId="7" fillId="0" borderId="13" xfId="0" applyNumberFormat="1" applyFont="1" applyBorder="1" applyAlignment="1">
      <alignment horizontal="center" vertical="center" wrapText="1"/>
    </xf>
    <xf numFmtId="168" fontId="7" fillId="0" borderId="9" xfId="0" applyNumberFormat="1" applyFont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10" fontId="7" fillId="0" borderId="14" xfId="0" applyNumberFormat="1" applyFont="1" applyBorder="1" applyAlignment="1">
      <alignment horizontal="center" vertical="center" wrapText="1"/>
    </xf>
    <xf numFmtId="10" fontId="7" fillId="0" borderId="4" xfId="0" applyNumberFormat="1" applyFont="1" applyBorder="1" applyAlignment="1">
      <alignment horizontal="center" vertical="center" wrapText="1"/>
    </xf>
    <xf numFmtId="10" fontId="7" fillId="0" borderId="41" xfId="0" applyNumberFormat="1" applyFont="1" applyBorder="1" applyAlignment="1">
      <alignment horizontal="center" vertical="center" wrapText="1"/>
    </xf>
    <xf numFmtId="9" fontId="7" fillId="0" borderId="14" xfId="3" applyFont="1" applyFill="1" applyBorder="1" applyAlignment="1">
      <alignment horizontal="center" vertical="center" wrapText="1"/>
    </xf>
    <xf numFmtId="10" fontId="7" fillId="0" borderId="25" xfId="0" applyNumberFormat="1" applyFont="1" applyBorder="1" applyAlignment="1">
      <alignment horizontal="center" vertical="center" wrapText="1"/>
    </xf>
    <xf numFmtId="10" fontId="7" fillId="0" borderId="31" xfId="0" applyNumberFormat="1" applyFont="1" applyBorder="1" applyAlignment="1">
      <alignment horizontal="center" vertical="center" wrapText="1"/>
    </xf>
    <xf numFmtId="9" fontId="7" fillId="0" borderId="4" xfId="0" applyNumberFormat="1" applyFont="1" applyBorder="1" applyAlignment="1">
      <alignment horizontal="center" vertical="center" wrapText="1"/>
    </xf>
    <xf numFmtId="10" fontId="7" fillId="0" borderId="26" xfId="0" applyNumberFormat="1" applyFont="1" applyBorder="1" applyAlignment="1">
      <alignment horizontal="center" vertical="center" wrapText="1"/>
    </xf>
    <xf numFmtId="168" fontId="7" fillId="0" borderId="4" xfId="0" applyNumberFormat="1" applyFont="1" applyBorder="1" applyAlignment="1">
      <alignment horizontal="center" vertical="center" wrapText="1"/>
    </xf>
    <xf numFmtId="9" fontId="7" fillId="0" borderId="22" xfId="0" applyNumberFormat="1" applyFont="1" applyBorder="1" applyAlignment="1">
      <alignment horizontal="center" vertical="center" wrapText="1"/>
    </xf>
    <xf numFmtId="10" fontId="7" fillId="0" borderId="36" xfId="0" applyNumberFormat="1" applyFont="1" applyBorder="1" applyAlignment="1">
      <alignment horizontal="center" vertical="center" wrapText="1"/>
    </xf>
    <xf numFmtId="168" fontId="7" fillId="0" borderId="60" xfId="0" applyNumberFormat="1" applyFont="1" applyBorder="1" applyAlignment="1">
      <alignment horizontal="center" vertical="center" wrapText="1"/>
    </xf>
    <xf numFmtId="9" fontId="11" fillId="0" borderId="9" xfId="0" applyNumberFormat="1" applyFont="1" applyBorder="1" applyAlignment="1">
      <alignment horizontal="center" vertical="center" wrapText="1"/>
    </xf>
    <xf numFmtId="10" fontId="7" fillId="0" borderId="37" xfId="0" applyNumberFormat="1" applyFont="1" applyBorder="1" applyAlignment="1">
      <alignment horizontal="center" vertical="center" wrapText="1"/>
    </xf>
    <xf numFmtId="9" fontId="7" fillId="0" borderId="4" xfId="3" applyFont="1" applyFill="1" applyBorder="1" applyAlignment="1">
      <alignment horizontal="center" vertical="center" wrapText="1"/>
    </xf>
    <xf numFmtId="2" fontId="7" fillId="0" borderId="4" xfId="0" applyNumberFormat="1" applyFont="1" applyBorder="1" applyAlignment="1">
      <alignment horizontal="center" vertical="center" wrapText="1"/>
    </xf>
    <xf numFmtId="9" fontId="11" fillId="0" borderId="37" xfId="0" applyNumberFormat="1" applyFont="1" applyBorder="1" applyAlignment="1">
      <alignment horizontal="center" vertical="center" wrapText="1"/>
    </xf>
    <xf numFmtId="10" fontId="7" fillId="0" borderId="12" xfId="0" applyNumberFormat="1" applyFont="1" applyBorder="1" applyAlignment="1">
      <alignment horizontal="center" vertical="center" wrapText="1"/>
    </xf>
    <xf numFmtId="166" fontId="3" fillId="0" borderId="2" xfId="1" applyNumberFormat="1" applyFont="1" applyFill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16" fillId="0" borderId="51" xfId="0" applyFont="1" applyBorder="1" applyAlignment="1">
      <alignment horizontal="center" vertical="center" wrapText="1"/>
    </xf>
    <xf numFmtId="9" fontId="11" fillId="0" borderId="35" xfId="0" applyNumberFormat="1" applyFont="1" applyBorder="1" applyAlignment="1">
      <alignment horizontal="center" vertical="center" wrapText="1"/>
    </xf>
    <xf numFmtId="9" fontId="7" fillId="0" borderId="57" xfId="0" applyNumberFormat="1" applyFont="1" applyBorder="1" applyAlignment="1">
      <alignment horizontal="center" vertical="center" wrapText="1"/>
    </xf>
    <xf numFmtId="10" fontId="7" fillId="0" borderId="19" xfId="0" applyNumberFormat="1" applyFont="1" applyBorder="1" applyAlignment="1">
      <alignment horizontal="center" vertical="center" wrapText="1"/>
    </xf>
    <xf numFmtId="9" fontId="10" fillId="0" borderId="4" xfId="0" applyNumberFormat="1" applyFont="1" applyBorder="1" applyAlignment="1">
      <alignment horizontal="center" vertical="center"/>
    </xf>
    <xf numFmtId="9" fontId="11" fillId="0" borderId="4" xfId="0" applyNumberFormat="1" applyFont="1" applyBorder="1" applyAlignment="1">
      <alignment horizontal="center" vertical="center"/>
    </xf>
    <xf numFmtId="165" fontId="26" fillId="0" borderId="62" xfId="1" applyFont="1" applyFill="1" applyBorder="1" applyAlignment="1">
      <alignment horizontal="left" vertical="center"/>
    </xf>
    <xf numFmtId="9" fontId="10" fillId="0" borderId="4" xfId="3" applyFont="1" applyFill="1" applyBorder="1" applyAlignment="1">
      <alignment horizontal="center" vertical="center"/>
    </xf>
    <xf numFmtId="9" fontId="9" fillId="0" borderId="23" xfId="3" applyFont="1" applyFill="1" applyBorder="1" applyAlignment="1">
      <alignment horizontal="center" vertical="center"/>
    </xf>
    <xf numFmtId="0" fontId="3" fillId="0" borderId="29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/>
    </xf>
    <xf numFmtId="9" fontId="7" fillId="0" borderId="41" xfId="3" applyFont="1" applyFill="1" applyBorder="1" applyAlignment="1">
      <alignment horizontal="center" vertical="center" wrapText="1"/>
    </xf>
    <xf numFmtId="9" fontId="7" fillId="0" borderId="43" xfId="3" applyFont="1" applyFill="1" applyBorder="1" applyAlignment="1">
      <alignment horizontal="center" vertical="center" wrapText="1"/>
    </xf>
    <xf numFmtId="9" fontId="7" fillId="0" borderId="35" xfId="3" applyFont="1" applyFill="1" applyBorder="1" applyAlignment="1">
      <alignment horizontal="center" vertical="center" wrapText="1"/>
    </xf>
    <xf numFmtId="10" fontId="7" fillId="0" borderId="35" xfId="3" applyNumberFormat="1" applyFont="1" applyFill="1" applyBorder="1" applyAlignment="1">
      <alignment horizontal="center" vertical="center" wrapText="1"/>
    </xf>
    <xf numFmtId="168" fontId="7" fillId="0" borderId="35" xfId="0" applyNumberFormat="1" applyFont="1" applyBorder="1" applyAlignment="1">
      <alignment horizontal="center" vertical="center" wrapText="1"/>
    </xf>
    <xf numFmtId="0" fontId="7" fillId="0" borderId="42" xfId="0" applyFont="1" applyBorder="1" applyAlignment="1">
      <alignment horizontal="center" vertical="center" wrapText="1"/>
    </xf>
    <xf numFmtId="9" fontId="7" fillId="0" borderId="35" xfId="3" applyFont="1" applyFill="1" applyBorder="1" applyAlignment="1">
      <alignment horizontal="center" wrapText="1"/>
    </xf>
    <xf numFmtId="9" fontId="7" fillId="0" borderId="16" xfId="3" applyFont="1" applyBorder="1" applyAlignment="1">
      <alignment horizontal="center" vertical="center" wrapText="1"/>
    </xf>
    <xf numFmtId="9" fontId="7" fillId="0" borderId="13" xfId="3" applyFont="1" applyBorder="1" applyAlignment="1">
      <alignment horizontal="center" vertical="center" wrapText="1"/>
    </xf>
    <xf numFmtId="9" fontId="7" fillId="0" borderId="24" xfId="3" applyFont="1" applyFill="1" applyBorder="1" applyAlignment="1">
      <alignment horizontal="center" vertical="center" wrapText="1"/>
    </xf>
    <xf numFmtId="9" fontId="7" fillId="0" borderId="36" xfId="3" applyFont="1" applyFill="1" applyBorder="1" applyAlignment="1">
      <alignment horizontal="center" vertical="center" wrapText="1"/>
    </xf>
    <xf numFmtId="9" fontId="7" fillId="0" borderId="26" xfId="3" applyFont="1" applyFill="1" applyBorder="1" applyAlignment="1">
      <alignment horizontal="center" vertical="center" wrapText="1"/>
    </xf>
    <xf numFmtId="10" fontId="7" fillId="0" borderId="26" xfId="3" applyNumberFormat="1" applyFont="1" applyFill="1" applyBorder="1" applyAlignment="1">
      <alignment horizontal="center" vertical="center" wrapText="1"/>
    </xf>
    <xf numFmtId="168" fontId="7" fillId="0" borderId="26" xfId="0" applyNumberFormat="1" applyFont="1" applyBorder="1" applyAlignment="1">
      <alignment horizontal="center" vertical="center" wrapText="1"/>
    </xf>
    <xf numFmtId="9" fontId="7" fillId="0" borderId="26" xfId="3" applyFont="1" applyFill="1" applyBorder="1" applyAlignment="1">
      <alignment horizontal="center" wrapText="1"/>
    </xf>
    <xf numFmtId="0" fontId="7" fillId="0" borderId="26" xfId="3" applyNumberFormat="1" applyFont="1" applyBorder="1" applyAlignment="1">
      <alignment horizontal="center" vertical="center" wrapText="1"/>
    </xf>
    <xf numFmtId="3" fontId="7" fillId="0" borderId="13" xfId="0" applyNumberFormat="1" applyFont="1" applyBorder="1" applyAlignment="1">
      <alignment horizontal="center" vertical="center" wrapText="1"/>
    </xf>
    <xf numFmtId="2" fontId="7" fillId="0" borderId="35" xfId="0" applyNumberFormat="1" applyFont="1" applyBorder="1" applyAlignment="1">
      <alignment horizontal="center" vertical="center" wrapText="1"/>
    </xf>
    <xf numFmtId="168" fontId="10" fillId="0" borderId="60" xfId="3" applyNumberFormat="1" applyFont="1" applyFill="1" applyBorder="1" applyAlignment="1">
      <alignment horizontal="center" vertical="center" wrapText="1"/>
    </xf>
    <xf numFmtId="171" fontId="3" fillId="0" borderId="9" xfId="2" applyNumberFormat="1" applyFont="1" applyFill="1" applyBorder="1" applyAlignment="1">
      <alignment horizontal="center" vertical="center" wrapText="1"/>
    </xf>
    <xf numFmtId="164" fontId="4" fillId="0" borderId="6" xfId="2" applyFont="1" applyFill="1" applyBorder="1" applyAlignment="1">
      <alignment horizontal="center" vertical="center" wrapText="1"/>
    </xf>
    <xf numFmtId="164" fontId="19" fillId="0" borderId="4" xfId="2" applyFont="1" applyFill="1" applyBorder="1" applyAlignment="1">
      <alignment horizontal="center" vertical="center"/>
    </xf>
    <xf numFmtId="164" fontId="5" fillId="0" borderId="0" xfId="2" applyFont="1" applyFill="1"/>
    <xf numFmtId="171" fontId="26" fillId="0" borderId="62" xfId="2" applyNumberFormat="1" applyFont="1" applyFill="1" applyBorder="1" applyAlignment="1">
      <alignment horizontal="left" vertical="center"/>
    </xf>
    <xf numFmtId="171" fontId="3" fillId="0" borderId="2" xfId="2" applyNumberFormat="1" applyFon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horizontal="center" vertical="center" wrapText="1"/>
    </xf>
    <xf numFmtId="0" fontId="3" fillId="4" borderId="26" xfId="0" applyFont="1" applyFill="1" applyBorder="1" applyAlignment="1">
      <alignment horizontal="center" vertical="center" wrapText="1"/>
    </xf>
    <xf numFmtId="9" fontId="3" fillId="0" borderId="9" xfId="3" applyFont="1" applyFill="1" applyBorder="1" applyAlignment="1">
      <alignment horizontal="center" vertical="center" wrapText="1"/>
    </xf>
    <xf numFmtId="4" fontId="3" fillId="0" borderId="9" xfId="0" applyNumberFormat="1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3" fontId="5" fillId="0" borderId="9" xfId="0" applyNumberFormat="1" applyFont="1" applyBorder="1" applyAlignment="1">
      <alignment horizontal="center" vertical="center" wrapText="1"/>
    </xf>
    <xf numFmtId="3" fontId="3" fillId="0" borderId="9" xfId="0" applyNumberFormat="1" applyFont="1" applyBorder="1" applyAlignment="1">
      <alignment horizontal="center" vertical="center" wrapText="1"/>
    </xf>
    <xf numFmtId="9" fontId="10" fillId="0" borderId="9" xfId="3" applyFont="1" applyFill="1" applyBorder="1" applyAlignment="1">
      <alignment horizontal="center" vertical="center" wrapText="1"/>
    </xf>
    <xf numFmtId="3" fontId="3" fillId="0" borderId="11" xfId="0" applyNumberFormat="1" applyFont="1" applyBorder="1" applyAlignment="1">
      <alignment horizontal="center" vertical="center" wrapText="1"/>
    </xf>
    <xf numFmtId="10" fontId="3" fillId="0" borderId="9" xfId="3" applyNumberFormat="1" applyFont="1" applyFill="1" applyBorder="1" applyAlignment="1">
      <alignment horizontal="center" vertical="center" wrapText="1"/>
    </xf>
    <xf numFmtId="9" fontId="7" fillId="0" borderId="9" xfId="0" applyNumberFormat="1" applyFont="1" applyBorder="1" applyAlignment="1">
      <alignment horizontal="center" vertical="center" wrapText="1"/>
    </xf>
    <xf numFmtId="9" fontId="7" fillId="0" borderId="9" xfId="3" applyFont="1" applyFill="1" applyBorder="1" applyAlignment="1">
      <alignment horizontal="center" vertical="center" wrapText="1"/>
    </xf>
    <xf numFmtId="9" fontId="7" fillId="0" borderId="25" xfId="0" applyNumberFormat="1" applyFont="1" applyBorder="1" applyAlignment="1">
      <alignment horizontal="center" vertical="center" wrapText="1"/>
    </xf>
    <xf numFmtId="1" fontId="3" fillId="0" borderId="0" xfId="0" applyNumberFormat="1" applyFont="1" applyAlignment="1">
      <alignment horizontal="center" vertical="center" wrapText="1"/>
    </xf>
    <xf numFmtId="1" fontId="7" fillId="0" borderId="9" xfId="0" applyNumberFormat="1" applyFont="1" applyBorder="1" applyAlignment="1">
      <alignment horizontal="center" vertical="center" wrapText="1"/>
    </xf>
    <xf numFmtId="165" fontId="5" fillId="0" borderId="11" xfId="1" applyFont="1" applyFill="1" applyBorder="1" applyAlignment="1">
      <alignment horizontal="center" vertical="center" wrapText="1"/>
    </xf>
    <xf numFmtId="165" fontId="5" fillId="0" borderId="11" xfId="1" applyFont="1" applyFill="1" applyBorder="1" applyAlignment="1">
      <alignment horizontal="center"/>
    </xf>
    <xf numFmtId="165" fontId="3" fillId="0" borderId="11" xfId="1" applyFont="1" applyFill="1" applyBorder="1" applyAlignment="1">
      <alignment horizontal="center" vertical="center"/>
    </xf>
    <xf numFmtId="10" fontId="3" fillId="0" borderId="11" xfId="3" applyNumberFormat="1" applyFont="1" applyFill="1" applyBorder="1" applyAlignment="1">
      <alignment horizontal="center" vertical="center" wrapText="1"/>
    </xf>
    <xf numFmtId="9" fontId="9" fillId="0" borderId="4" xfId="3" applyFont="1" applyFill="1" applyBorder="1" applyAlignment="1">
      <alignment horizontal="center" vertical="center" wrapText="1"/>
    </xf>
    <xf numFmtId="9" fontId="27" fillId="0" borderId="4" xfId="3" applyFont="1" applyFill="1" applyBorder="1" applyAlignment="1">
      <alignment horizontal="center" vertical="center" wrapText="1"/>
    </xf>
    <xf numFmtId="9" fontId="7" fillId="0" borderId="0" xfId="3" applyFont="1" applyBorder="1" applyAlignment="1">
      <alignment horizontal="center" vertical="center" wrapText="1"/>
    </xf>
    <xf numFmtId="167" fontId="3" fillId="0" borderId="9" xfId="0" applyNumberFormat="1" applyFont="1" applyBorder="1" applyAlignment="1">
      <alignment horizontal="center" vertical="center" wrapText="1"/>
    </xf>
    <xf numFmtId="9" fontId="10" fillId="0" borderId="4" xfId="3" applyFont="1" applyFill="1" applyBorder="1" applyAlignment="1">
      <alignment horizontal="center" vertical="center" wrapText="1"/>
    </xf>
    <xf numFmtId="14" fontId="7" fillId="0" borderId="11" xfId="0" applyNumberFormat="1" applyFont="1" applyBorder="1" applyAlignment="1">
      <alignment horizontal="center" vertical="center" wrapText="1"/>
    </xf>
    <xf numFmtId="9" fontId="11" fillId="0" borderId="13" xfId="3" applyFont="1" applyFill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0" fontId="7" fillId="4" borderId="15" xfId="0" applyFont="1" applyFill="1" applyBorder="1" applyAlignment="1">
      <alignment horizontal="center" vertical="center" wrapText="1"/>
    </xf>
    <xf numFmtId="0" fontId="7" fillId="4" borderId="16" xfId="0" applyFont="1" applyFill="1" applyBorder="1" applyAlignment="1">
      <alignment horizontal="center" vertical="center" wrapText="1"/>
    </xf>
    <xf numFmtId="9" fontId="9" fillId="0" borderId="14" xfId="0" applyNumberFormat="1" applyFont="1" applyBorder="1" applyAlignment="1">
      <alignment horizontal="center" vertical="center" wrapText="1"/>
    </xf>
    <xf numFmtId="9" fontId="11" fillId="0" borderId="61" xfId="3" applyFont="1" applyBorder="1" applyAlignment="1">
      <alignment horizontal="center" vertical="center" wrapText="1"/>
    </xf>
    <xf numFmtId="1" fontId="3" fillId="0" borderId="9" xfId="0" applyNumberFormat="1" applyFont="1" applyBorder="1" applyAlignment="1">
      <alignment vertical="center" wrapText="1"/>
    </xf>
    <xf numFmtId="10" fontId="10" fillId="0" borderId="30" xfId="3" applyNumberFormat="1" applyFont="1" applyFill="1" applyBorder="1" applyAlignment="1">
      <alignment horizontal="center" vertical="center" wrapText="1"/>
    </xf>
    <xf numFmtId="9" fontId="7" fillId="0" borderId="4" xfId="3" applyFont="1" applyBorder="1" applyAlignment="1">
      <alignment horizontal="center" vertical="center" wrapText="1"/>
    </xf>
    <xf numFmtId="10" fontId="29" fillId="0" borderId="4" xfId="0" applyNumberFormat="1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29" xfId="0" applyFont="1" applyBorder="1" applyAlignment="1">
      <alignment horizontal="center" vertical="center" wrapText="1"/>
    </xf>
    <xf numFmtId="9" fontId="3" fillId="0" borderId="0" xfId="3" applyFont="1" applyFill="1" applyBorder="1" applyAlignment="1">
      <alignment horizontal="center" vertical="center" wrapText="1"/>
    </xf>
    <xf numFmtId="0" fontId="13" fillId="0" borderId="27" xfId="0" applyFont="1" applyBorder="1" applyAlignment="1">
      <alignment horizontal="center" vertical="center" wrapText="1"/>
    </xf>
    <xf numFmtId="9" fontId="9" fillId="0" borderId="25" xfId="3" applyFont="1" applyBorder="1" applyAlignment="1">
      <alignment horizontal="center" vertical="center" wrapText="1"/>
    </xf>
    <xf numFmtId="9" fontId="12" fillId="0" borderId="0" xfId="3" applyFont="1" applyFill="1" applyBorder="1" applyAlignment="1">
      <alignment horizontal="center" vertical="center" wrapText="1"/>
    </xf>
    <xf numFmtId="9" fontId="11" fillId="0" borderId="0" xfId="3" applyFont="1" applyFill="1" applyBorder="1" applyAlignment="1">
      <alignment horizontal="center" vertical="center" wrapText="1"/>
    </xf>
    <xf numFmtId="1" fontId="13" fillId="0" borderId="4" xfId="0" applyNumberFormat="1" applyFont="1" applyBorder="1" applyAlignment="1">
      <alignment horizontal="center" vertical="center" wrapText="1"/>
    </xf>
    <xf numFmtId="1" fontId="7" fillId="0" borderId="60" xfId="0" applyNumberFormat="1" applyFont="1" applyBorder="1" applyAlignment="1">
      <alignment horizontal="center" vertical="center" wrapText="1"/>
    </xf>
    <xf numFmtId="165" fontId="3" fillId="0" borderId="25" xfId="1" applyFont="1" applyFill="1" applyBorder="1" applyAlignment="1">
      <alignment horizontal="center" vertical="center" wrapText="1"/>
    </xf>
    <xf numFmtId="165" fontId="10" fillId="0" borderId="4" xfId="1" applyFont="1" applyFill="1" applyBorder="1" applyAlignment="1">
      <alignment horizontal="center" vertical="center" wrapText="1"/>
    </xf>
    <xf numFmtId="165" fontId="10" fillId="0" borderId="9" xfId="1" applyFont="1" applyFill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9" fontId="10" fillId="0" borderId="10" xfId="3" applyFont="1" applyFill="1" applyBorder="1" applyAlignment="1">
      <alignment horizontal="center" vertical="center" wrapText="1"/>
    </xf>
    <xf numFmtId="171" fontId="3" fillId="0" borderId="10" xfId="2" applyNumberFormat="1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14" fontId="7" fillId="0" borderId="0" xfId="0" applyNumberFormat="1" applyFont="1" applyAlignment="1">
      <alignment horizontal="center" vertical="center" wrapText="1"/>
    </xf>
    <xf numFmtId="14" fontId="7" fillId="0" borderId="17" xfId="0" applyNumberFormat="1" applyFont="1" applyBorder="1" applyAlignment="1">
      <alignment horizontal="center" vertical="center" wrapText="1"/>
    </xf>
    <xf numFmtId="14" fontId="7" fillId="0" borderId="26" xfId="0" applyNumberFormat="1" applyFont="1" applyBorder="1" applyAlignment="1">
      <alignment horizontal="center" vertical="center" wrapText="1"/>
    </xf>
    <xf numFmtId="14" fontId="7" fillId="0" borderId="36" xfId="0" applyNumberFormat="1" applyFont="1" applyBorder="1" applyAlignment="1">
      <alignment horizontal="center" vertical="center" wrapText="1"/>
    </xf>
    <xf numFmtId="9" fontId="23" fillId="0" borderId="4" xfId="0" applyNumberFormat="1" applyFont="1" applyBorder="1" applyAlignment="1">
      <alignment horizontal="center" vertical="center" wrapText="1"/>
    </xf>
    <xf numFmtId="1" fontId="7" fillId="0" borderId="41" xfId="0" applyNumberFormat="1" applyFont="1" applyBorder="1" applyAlignment="1">
      <alignment horizontal="center" vertical="center" wrapText="1"/>
    </xf>
    <xf numFmtId="1" fontId="7" fillId="0" borderId="34" xfId="0" applyNumberFormat="1" applyFont="1" applyBorder="1" applyAlignment="1">
      <alignment horizontal="center" vertical="center" wrapText="1"/>
    </xf>
    <xf numFmtId="1" fontId="7" fillId="0" borderId="37" xfId="0" applyNumberFormat="1" applyFont="1" applyBorder="1" applyAlignment="1">
      <alignment horizontal="center" vertical="center" wrapText="1"/>
    </xf>
    <xf numFmtId="14" fontId="7" fillId="0" borderId="10" xfId="0" applyNumberFormat="1" applyFont="1" applyBorder="1" applyAlignment="1">
      <alignment horizontal="center" vertical="center" wrapText="1"/>
    </xf>
    <xf numFmtId="14" fontId="7" fillId="0" borderId="40" xfId="0" applyNumberFormat="1" applyFont="1" applyBorder="1" applyAlignment="1">
      <alignment horizontal="center" vertical="center" wrapText="1"/>
    </xf>
    <xf numFmtId="170" fontId="7" fillId="0" borderId="4" xfId="0" applyNumberFormat="1" applyFont="1" applyBorder="1" applyAlignment="1">
      <alignment horizontal="center" vertical="center" wrapText="1"/>
    </xf>
    <xf numFmtId="168" fontId="11" fillId="0" borderId="11" xfId="0" applyNumberFormat="1" applyFont="1" applyBorder="1" applyAlignment="1">
      <alignment horizontal="center" vertical="center" wrapText="1"/>
    </xf>
    <xf numFmtId="1" fontId="16" fillId="0" borderId="4" xfId="0" applyNumberFormat="1" applyFont="1" applyBorder="1" applyAlignment="1">
      <alignment horizontal="center" vertical="center" wrapText="1"/>
    </xf>
    <xf numFmtId="164" fontId="3" fillId="0" borderId="9" xfId="2" applyFont="1" applyFill="1" applyBorder="1" applyAlignment="1">
      <alignment vertical="center" wrapText="1"/>
    </xf>
    <xf numFmtId="0" fontId="2" fillId="0" borderId="61" xfId="0" applyFont="1" applyBorder="1" applyAlignment="1">
      <alignment horizontal="center" vertical="center" wrapText="1"/>
    </xf>
    <xf numFmtId="165" fontId="14" fillId="0" borderId="3" xfId="1" applyFont="1" applyFill="1" applyBorder="1" applyAlignment="1">
      <alignment vertical="center" wrapText="1"/>
    </xf>
    <xf numFmtId="165" fontId="10" fillId="0" borderId="3" xfId="1" applyFont="1" applyFill="1" applyBorder="1" applyAlignment="1">
      <alignment horizontal="center" vertical="center" wrapText="1"/>
    </xf>
    <xf numFmtId="165" fontId="3" fillId="0" borderId="4" xfId="1" applyFont="1" applyFill="1" applyBorder="1" applyAlignment="1">
      <alignment horizontal="center" vertical="center" wrapText="1"/>
    </xf>
    <xf numFmtId="9" fontId="7" fillId="0" borderId="0" xfId="0" applyNumberFormat="1" applyFont="1" applyAlignment="1">
      <alignment horizontal="center" vertical="center" wrapText="1"/>
    </xf>
    <xf numFmtId="165" fontId="14" fillId="0" borderId="3" xfId="1" applyFont="1" applyBorder="1" applyAlignment="1">
      <alignment vertical="center" wrapText="1"/>
    </xf>
    <xf numFmtId="164" fontId="10" fillId="0" borderId="4" xfId="2" applyFont="1" applyFill="1" applyBorder="1" applyAlignment="1">
      <alignment vertical="center" wrapText="1"/>
    </xf>
    <xf numFmtId="165" fontId="14" fillId="0" borderId="4" xfId="1" applyFont="1" applyBorder="1" applyAlignment="1">
      <alignment vertical="center" wrapText="1"/>
    </xf>
    <xf numFmtId="166" fontId="3" fillId="6" borderId="30" xfId="1" applyNumberFormat="1" applyFont="1" applyFill="1" applyBorder="1" applyAlignment="1">
      <alignment horizontal="center" vertical="center" wrapText="1"/>
    </xf>
    <xf numFmtId="9" fontId="7" fillId="0" borderId="0" xfId="3" applyFont="1" applyFill="1" applyBorder="1" applyAlignment="1">
      <alignment horizontal="center" vertical="center" wrapText="1"/>
    </xf>
    <xf numFmtId="9" fontId="7" fillId="0" borderId="11" xfId="3" applyFont="1" applyFill="1" applyBorder="1" applyAlignment="1">
      <alignment horizontal="center" vertical="center" wrapText="1"/>
    </xf>
    <xf numFmtId="10" fontId="7" fillId="0" borderId="0" xfId="0" applyNumberFormat="1" applyFont="1" applyAlignment="1">
      <alignment horizontal="center" vertical="center" wrapText="1"/>
    </xf>
    <xf numFmtId="1" fontId="3" fillId="0" borderId="29" xfId="3" applyNumberFormat="1" applyFont="1" applyFill="1" applyBorder="1" applyAlignment="1">
      <alignment horizontal="center" vertical="center" wrapText="1"/>
    </xf>
    <xf numFmtId="2" fontId="3" fillId="0" borderId="29" xfId="3" applyNumberFormat="1" applyFont="1" applyFill="1" applyBorder="1" applyAlignment="1">
      <alignment horizontal="center" vertical="center" wrapText="1"/>
    </xf>
    <xf numFmtId="0" fontId="3" fillId="0" borderId="29" xfId="3" applyNumberFormat="1" applyFont="1" applyFill="1" applyBorder="1" applyAlignment="1">
      <alignment horizontal="center" vertical="center" wrapText="1"/>
    </xf>
    <xf numFmtId="9" fontId="11" fillId="0" borderId="3" xfId="0" applyNumberFormat="1" applyFont="1" applyBorder="1" applyAlignment="1">
      <alignment horizontal="center" vertical="center" wrapText="1"/>
    </xf>
    <xf numFmtId="9" fontId="7" fillId="0" borderId="28" xfId="0" applyNumberFormat="1" applyFont="1" applyBorder="1" applyAlignment="1">
      <alignment horizontal="center" vertical="center" wrapText="1"/>
    </xf>
    <xf numFmtId="9" fontId="3" fillId="4" borderId="9" xfId="3" applyFont="1" applyFill="1" applyBorder="1" applyAlignment="1">
      <alignment horizontal="center" vertical="center" wrapText="1"/>
    </xf>
    <xf numFmtId="9" fontId="3" fillId="4" borderId="19" xfId="3" applyFont="1" applyFill="1" applyBorder="1" applyAlignment="1">
      <alignment horizontal="center" vertical="center" wrapText="1"/>
    </xf>
    <xf numFmtId="9" fontId="3" fillId="4" borderId="10" xfId="3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9" fontId="3" fillId="0" borderId="10" xfId="3" applyFont="1" applyFill="1" applyBorder="1" applyAlignment="1">
      <alignment horizontal="center" vertical="center" wrapText="1"/>
    </xf>
    <xf numFmtId="9" fontId="3" fillId="0" borderId="9" xfId="3" applyFont="1" applyFill="1" applyBorder="1" applyAlignment="1">
      <alignment horizontal="center" vertical="center" wrapText="1"/>
    </xf>
    <xf numFmtId="9" fontId="3" fillId="0" borderId="13" xfId="3" applyFont="1" applyFill="1" applyBorder="1" applyAlignment="1">
      <alignment horizontal="center" vertical="center" wrapText="1"/>
    </xf>
    <xf numFmtId="165" fontId="3" fillId="0" borderId="10" xfId="1" applyFont="1" applyFill="1" applyBorder="1" applyAlignment="1">
      <alignment horizontal="center" vertical="center" wrapText="1"/>
    </xf>
    <xf numFmtId="165" fontId="3" fillId="0" borderId="9" xfId="1" applyFont="1" applyFill="1" applyBorder="1" applyAlignment="1">
      <alignment horizontal="center" vertical="center" wrapText="1"/>
    </xf>
    <xf numFmtId="165" fontId="3" fillId="0" borderId="19" xfId="1" applyFont="1" applyFill="1" applyBorder="1" applyAlignment="1">
      <alignment horizontal="center" vertical="center" wrapText="1"/>
    </xf>
    <xf numFmtId="1" fontId="3" fillId="0" borderId="18" xfId="0" applyNumberFormat="1" applyFont="1" applyBorder="1" applyAlignment="1">
      <alignment horizontal="center" vertical="center" wrapText="1"/>
    </xf>
    <xf numFmtId="1" fontId="3" fillId="0" borderId="11" xfId="0" applyNumberFormat="1" applyFont="1" applyBorder="1" applyAlignment="1">
      <alignment horizontal="center" vertical="center" wrapText="1"/>
    </xf>
    <xf numFmtId="1" fontId="3" fillId="0" borderId="20" xfId="0" applyNumberFormat="1" applyFont="1" applyBorder="1" applyAlignment="1">
      <alignment horizontal="center" vertical="center" wrapText="1"/>
    </xf>
    <xf numFmtId="1" fontId="3" fillId="3" borderId="18" xfId="0" applyNumberFormat="1" applyFont="1" applyFill="1" applyBorder="1" applyAlignment="1">
      <alignment horizontal="center" vertical="center" wrapText="1"/>
    </xf>
    <xf numFmtId="1" fontId="3" fillId="3" borderId="11" xfId="0" applyNumberFormat="1" applyFont="1" applyFill="1" applyBorder="1" applyAlignment="1">
      <alignment horizontal="center" vertical="center" wrapText="1"/>
    </xf>
    <xf numFmtId="1" fontId="3" fillId="3" borderId="20" xfId="0" applyNumberFormat="1" applyFont="1" applyFill="1" applyBorder="1" applyAlignment="1">
      <alignment horizontal="center" vertical="center" wrapText="1"/>
    </xf>
    <xf numFmtId="165" fontId="3" fillId="0" borderId="18" xfId="1" applyFont="1" applyFill="1" applyBorder="1" applyAlignment="1">
      <alignment horizontal="center" vertical="center" wrapText="1"/>
    </xf>
    <xf numFmtId="165" fontId="3" fillId="0" borderId="11" xfId="1" applyFont="1" applyFill="1" applyBorder="1" applyAlignment="1">
      <alignment horizontal="center" vertical="center" wrapText="1"/>
    </xf>
    <xf numFmtId="165" fontId="3" fillId="0" borderId="20" xfId="1" applyFont="1" applyFill="1" applyBorder="1" applyAlignment="1">
      <alignment horizontal="center" vertical="center" wrapText="1"/>
    </xf>
    <xf numFmtId="1" fontId="3" fillId="0" borderId="10" xfId="0" applyNumberFormat="1" applyFont="1" applyBorder="1" applyAlignment="1">
      <alignment horizontal="center" vertical="center" wrapText="1"/>
    </xf>
    <xf numFmtId="1" fontId="3" fillId="0" borderId="9" xfId="0" applyNumberFormat="1" applyFont="1" applyBorder="1" applyAlignment="1">
      <alignment horizontal="center" vertical="center" wrapText="1"/>
    </xf>
    <xf numFmtId="1" fontId="3" fillId="0" borderId="19" xfId="0" applyNumberFormat="1" applyFont="1" applyBorder="1" applyAlignment="1">
      <alignment horizontal="center" vertical="center" wrapText="1"/>
    </xf>
    <xf numFmtId="165" fontId="3" fillId="0" borderId="13" xfId="1" applyFont="1" applyFill="1" applyBorder="1" applyAlignment="1">
      <alignment horizontal="center" vertical="center" wrapText="1"/>
    </xf>
    <xf numFmtId="0" fontId="3" fillId="0" borderId="58" xfId="0" applyFont="1" applyBorder="1" applyAlignment="1">
      <alignment horizontal="center" vertical="center" wrapText="1"/>
    </xf>
    <xf numFmtId="0" fontId="3" fillId="0" borderId="54" xfId="0" applyFont="1" applyBorder="1" applyAlignment="1">
      <alignment horizontal="center" vertical="center" wrapText="1"/>
    </xf>
    <xf numFmtId="0" fontId="3" fillId="0" borderId="59" xfId="0" applyFont="1" applyBorder="1" applyAlignment="1">
      <alignment horizontal="center" vertical="center" wrapText="1"/>
    </xf>
    <xf numFmtId="1" fontId="3" fillId="0" borderId="0" xfId="0" applyNumberFormat="1" applyFont="1" applyAlignment="1">
      <alignment horizontal="center" vertical="center" wrapText="1"/>
    </xf>
    <xf numFmtId="9" fontId="3" fillId="0" borderId="10" xfId="3" applyFont="1" applyFill="1" applyBorder="1" applyAlignment="1">
      <alignment horizontal="center" vertical="center"/>
    </xf>
    <xf numFmtId="9" fontId="3" fillId="0" borderId="9" xfId="3" applyFont="1" applyFill="1" applyBorder="1" applyAlignment="1">
      <alignment horizontal="center" vertical="center"/>
    </xf>
    <xf numFmtId="1" fontId="3" fillId="0" borderId="10" xfId="3" applyNumberFormat="1" applyFont="1" applyFill="1" applyBorder="1" applyAlignment="1">
      <alignment horizontal="center" vertical="center"/>
    </xf>
    <xf numFmtId="1" fontId="3" fillId="0" borderId="9" xfId="3" applyNumberFormat="1" applyFont="1" applyFill="1" applyBorder="1" applyAlignment="1">
      <alignment horizontal="center" vertical="center"/>
    </xf>
    <xf numFmtId="2" fontId="3" fillId="0" borderId="10" xfId="3" applyNumberFormat="1" applyFont="1" applyFill="1" applyBorder="1" applyAlignment="1">
      <alignment horizontal="center" vertical="center"/>
    </xf>
    <xf numFmtId="2" fontId="3" fillId="0" borderId="9" xfId="3" applyNumberFormat="1" applyFont="1" applyFill="1" applyBorder="1" applyAlignment="1">
      <alignment horizontal="center" vertical="center"/>
    </xf>
    <xf numFmtId="9" fontId="3" fillId="0" borderId="19" xfId="3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9" fontId="7" fillId="2" borderId="14" xfId="0" applyNumberFormat="1" applyFont="1" applyFill="1" applyBorder="1" applyAlignment="1">
      <alignment horizontal="center" vertical="center" wrapText="1"/>
    </xf>
    <xf numFmtId="9" fontId="7" fillId="2" borderId="9" xfId="0" applyNumberFormat="1" applyFont="1" applyFill="1" applyBorder="1" applyAlignment="1">
      <alignment horizontal="center" vertical="center" wrapText="1"/>
    </xf>
    <xf numFmtId="4" fontId="3" fillId="0" borderId="10" xfId="0" applyNumberFormat="1" applyFont="1" applyBorder="1" applyAlignment="1">
      <alignment horizontal="center" vertical="center" wrapText="1"/>
    </xf>
    <xf numFmtId="4" fontId="3" fillId="0" borderId="9" xfId="0" applyNumberFormat="1" applyFont="1" applyBorder="1" applyAlignment="1">
      <alignment horizontal="center" vertical="center" wrapText="1"/>
    </xf>
    <xf numFmtId="4" fontId="3" fillId="0" borderId="19" xfId="0" applyNumberFormat="1" applyFont="1" applyBorder="1" applyAlignment="1">
      <alignment horizontal="center" vertical="center" wrapText="1"/>
    </xf>
    <xf numFmtId="1" fontId="10" fillId="0" borderId="17" xfId="0" applyNumberFormat="1" applyFont="1" applyBorder="1" applyAlignment="1">
      <alignment horizontal="center" vertical="center" wrapText="1"/>
    </xf>
    <xf numFmtId="1" fontId="10" fillId="0" borderId="35" xfId="0" applyNumberFormat="1" applyFont="1" applyBorder="1" applyAlignment="1">
      <alignment horizontal="center" vertical="center" wrapText="1"/>
    </xf>
    <xf numFmtId="1" fontId="10" fillId="0" borderId="51" xfId="0" applyNumberFormat="1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1" fillId="0" borderId="35" xfId="0" applyFont="1" applyBorder="1" applyAlignment="1">
      <alignment horizontal="center" vertical="center"/>
    </xf>
    <xf numFmtId="0" fontId="11" fillId="0" borderId="5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3" fontId="5" fillId="0" borderId="10" xfId="0" applyNumberFormat="1" applyFont="1" applyBorder="1" applyAlignment="1">
      <alignment horizontal="center" vertical="center" wrapText="1"/>
    </xf>
    <xf numFmtId="3" fontId="5" fillId="0" borderId="9" xfId="0" applyNumberFormat="1" applyFont="1" applyBorder="1" applyAlignment="1">
      <alignment horizontal="center" vertical="center" wrapText="1"/>
    </xf>
    <xf numFmtId="3" fontId="3" fillId="0" borderId="10" xfId="0" applyNumberFormat="1" applyFont="1" applyBorder="1" applyAlignment="1">
      <alignment horizontal="center" vertical="center" wrapText="1"/>
    </xf>
    <xf numFmtId="3" fontId="3" fillId="0" borderId="9" xfId="0" applyNumberFormat="1" applyFont="1" applyBorder="1" applyAlignment="1">
      <alignment horizontal="center" vertical="center" wrapText="1"/>
    </xf>
    <xf numFmtId="9" fontId="3" fillId="0" borderId="4" xfId="3" applyFont="1" applyFill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1" fontId="3" fillId="0" borderId="23" xfId="0" applyNumberFormat="1" applyFont="1" applyBorder="1" applyAlignment="1">
      <alignment horizontal="center" vertical="center" wrapText="1"/>
    </xf>
    <xf numFmtId="3" fontId="3" fillId="0" borderId="19" xfId="0" applyNumberFormat="1" applyFont="1" applyBorder="1" applyAlignment="1">
      <alignment horizontal="center" vertical="center" wrapText="1"/>
    </xf>
    <xf numFmtId="9" fontId="7" fillId="3" borderId="53" xfId="0" applyNumberFormat="1" applyFont="1" applyFill="1" applyBorder="1" applyAlignment="1">
      <alignment horizontal="center" vertical="center" wrapText="1"/>
    </xf>
    <xf numFmtId="9" fontId="7" fillId="3" borderId="54" xfId="0" applyNumberFormat="1" applyFont="1" applyFill="1" applyBorder="1" applyAlignment="1">
      <alignment horizontal="center" vertical="center" wrapText="1"/>
    </xf>
    <xf numFmtId="9" fontId="7" fillId="3" borderId="56" xfId="0" applyNumberFormat="1" applyFont="1" applyFill="1" applyBorder="1" applyAlignment="1">
      <alignment horizontal="center" vertical="center" wrapText="1"/>
    </xf>
    <xf numFmtId="1" fontId="10" fillId="0" borderId="20" xfId="0" applyNumberFormat="1" applyFont="1" applyBorder="1" applyAlignment="1">
      <alignment horizontal="center" vertical="center" wrapText="1"/>
    </xf>
    <xf numFmtId="1" fontId="10" fillId="0" borderId="29" xfId="0" applyNumberFormat="1" applyFont="1" applyBorder="1" applyAlignment="1">
      <alignment horizontal="center" vertical="center" wrapText="1"/>
    </xf>
    <xf numFmtId="1" fontId="10" fillId="0" borderId="0" xfId="0" applyNumberFormat="1" applyFont="1" applyAlignment="1">
      <alignment horizontal="center" vertical="center" wrapText="1"/>
    </xf>
    <xf numFmtId="1" fontId="10" fillId="0" borderId="25" xfId="0" applyNumberFormat="1" applyFont="1" applyBorder="1" applyAlignment="1">
      <alignment horizontal="center" vertical="center" wrapText="1"/>
    </xf>
    <xf numFmtId="1" fontId="3" fillId="0" borderId="31" xfId="0" applyNumberFormat="1" applyFont="1" applyBorder="1" applyAlignment="1">
      <alignment horizontal="center" vertical="center" wrapText="1"/>
    </xf>
    <xf numFmtId="1" fontId="3" fillId="0" borderId="26" xfId="0" applyNumberFormat="1" applyFont="1" applyBorder="1" applyAlignment="1">
      <alignment horizontal="center" vertical="center" wrapText="1"/>
    </xf>
    <xf numFmtId="1" fontId="3" fillId="0" borderId="27" xfId="0" applyNumberFormat="1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0" borderId="29" xfId="0" applyFont="1" applyBorder="1" applyAlignment="1">
      <alignment horizontal="center" vertical="center" wrapText="1"/>
    </xf>
    <xf numFmtId="0" fontId="9" fillId="0" borderId="30" xfId="0" applyFont="1" applyBorder="1" applyAlignment="1">
      <alignment horizontal="center" vertical="center" wrapText="1"/>
    </xf>
    <xf numFmtId="1" fontId="3" fillId="0" borderId="23" xfId="3" applyNumberFormat="1" applyFont="1" applyFill="1" applyBorder="1" applyAlignment="1">
      <alignment horizontal="center" vertical="center" wrapText="1"/>
    </xf>
    <xf numFmtId="1" fontId="3" fillId="0" borderId="25" xfId="3" applyNumberFormat="1" applyFont="1" applyFill="1" applyBorder="1" applyAlignment="1">
      <alignment horizontal="center" vertical="center" wrapText="1"/>
    </xf>
    <xf numFmtId="1" fontId="3" fillId="0" borderId="30" xfId="3" applyNumberFormat="1" applyFont="1" applyFill="1" applyBorder="1" applyAlignment="1">
      <alignment horizontal="center" vertical="center" wrapText="1"/>
    </xf>
    <xf numFmtId="1" fontId="3" fillId="0" borderId="10" xfId="3" applyNumberFormat="1" applyFont="1" applyFill="1" applyBorder="1" applyAlignment="1">
      <alignment horizontal="center" vertical="center" wrapText="1"/>
    </xf>
    <xf numFmtId="1" fontId="3" fillId="0" borderId="9" xfId="3" applyNumberFormat="1" applyFont="1" applyFill="1" applyBorder="1" applyAlignment="1">
      <alignment horizontal="center" vertical="center" wrapText="1"/>
    </xf>
    <xf numFmtId="1" fontId="3" fillId="0" borderId="19" xfId="3" applyNumberFormat="1" applyFont="1" applyFill="1" applyBorder="1" applyAlignment="1">
      <alignment horizontal="center" vertical="center" wrapText="1"/>
    </xf>
    <xf numFmtId="2" fontId="3" fillId="0" borderId="10" xfId="3" applyNumberFormat="1" applyFont="1" applyFill="1" applyBorder="1" applyAlignment="1">
      <alignment horizontal="center" vertical="center" wrapText="1"/>
    </xf>
    <xf numFmtId="2" fontId="3" fillId="0" borderId="9" xfId="3" applyNumberFormat="1" applyFont="1" applyFill="1" applyBorder="1" applyAlignment="1">
      <alignment horizontal="center" vertical="center" wrapText="1"/>
    </xf>
    <xf numFmtId="2" fontId="3" fillId="0" borderId="19" xfId="3" applyNumberFormat="1" applyFont="1" applyFill="1" applyBorder="1" applyAlignment="1">
      <alignment horizontal="center" vertical="center" wrapText="1"/>
    </xf>
    <xf numFmtId="4" fontId="3" fillId="0" borderId="18" xfId="0" applyNumberFormat="1" applyFont="1" applyBorder="1" applyAlignment="1">
      <alignment horizontal="center" vertical="center" wrapText="1"/>
    </xf>
    <xf numFmtId="4" fontId="3" fillId="0" borderId="11" xfId="0" applyNumberFormat="1" applyFont="1" applyBorder="1" applyAlignment="1">
      <alignment horizontal="center" vertical="center" wrapText="1"/>
    </xf>
    <xf numFmtId="9" fontId="15" fillId="3" borderId="23" xfId="0" applyNumberFormat="1" applyFont="1" applyFill="1" applyBorder="1" applyAlignment="1">
      <alignment horizontal="center" vertical="center" wrapText="1"/>
    </xf>
    <xf numFmtId="9" fontId="15" fillId="3" borderId="25" xfId="0" applyNumberFormat="1" applyFont="1" applyFill="1" applyBorder="1" applyAlignment="1">
      <alignment horizontal="center" vertical="center" wrapText="1"/>
    </xf>
    <xf numFmtId="9" fontId="15" fillId="3" borderId="30" xfId="0" applyNumberFormat="1" applyFont="1" applyFill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9" fontId="3" fillId="0" borderId="46" xfId="3" applyFont="1" applyFill="1" applyBorder="1" applyAlignment="1">
      <alignment horizontal="center" vertical="center" wrapText="1"/>
    </xf>
    <xf numFmtId="9" fontId="3" fillId="0" borderId="48" xfId="3" applyFont="1" applyFill="1" applyBorder="1" applyAlignment="1">
      <alignment horizontal="center" vertical="center" wrapText="1"/>
    </xf>
    <xf numFmtId="9" fontId="3" fillId="0" borderId="52" xfId="3" applyFont="1" applyFill="1" applyBorder="1" applyAlignment="1">
      <alignment horizontal="center" vertical="center" wrapText="1"/>
    </xf>
    <xf numFmtId="9" fontId="3" fillId="0" borderId="10" xfId="0" applyNumberFormat="1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50" xfId="0" applyFont="1" applyBorder="1" applyAlignment="1">
      <alignment horizontal="center" vertical="center" wrapText="1"/>
    </xf>
    <xf numFmtId="166" fontId="3" fillId="0" borderId="9" xfId="1" applyNumberFormat="1" applyFont="1" applyFill="1" applyBorder="1" applyAlignment="1">
      <alignment horizontal="center" vertical="center" wrapText="1"/>
    </xf>
    <xf numFmtId="166" fontId="3" fillId="0" borderId="19" xfId="1" applyNumberFormat="1" applyFont="1" applyFill="1" applyBorder="1" applyAlignment="1">
      <alignment horizontal="center" vertical="center" wrapText="1"/>
    </xf>
    <xf numFmtId="9" fontId="7" fillId="3" borderId="23" xfId="0" applyNumberFormat="1" applyFont="1" applyFill="1" applyBorder="1" applyAlignment="1">
      <alignment horizontal="center" vertical="center" wrapText="1"/>
    </xf>
    <xf numFmtId="9" fontId="7" fillId="3" borderId="25" xfId="0" applyNumberFormat="1" applyFont="1" applyFill="1" applyBorder="1" applyAlignment="1">
      <alignment horizontal="center" vertical="center" wrapText="1"/>
    </xf>
    <xf numFmtId="9" fontId="7" fillId="3" borderId="41" xfId="0" applyNumberFormat="1" applyFont="1" applyFill="1" applyBorder="1" applyAlignment="1">
      <alignment horizontal="center" vertical="center" wrapText="1"/>
    </xf>
    <xf numFmtId="1" fontId="3" fillId="3" borderId="10" xfId="0" applyNumberFormat="1" applyFont="1" applyFill="1" applyBorder="1" applyAlignment="1">
      <alignment horizontal="center" vertical="center" wrapText="1"/>
    </xf>
    <xf numFmtId="1" fontId="3" fillId="3" borderId="9" xfId="0" applyNumberFormat="1" applyFont="1" applyFill="1" applyBorder="1" applyAlignment="1">
      <alignment horizontal="center" vertical="center" wrapText="1"/>
    </xf>
    <xf numFmtId="1" fontId="3" fillId="3" borderId="19" xfId="0" applyNumberFormat="1" applyFont="1" applyFill="1" applyBorder="1" applyAlignment="1">
      <alignment horizontal="center" vertical="center" wrapText="1"/>
    </xf>
    <xf numFmtId="166" fontId="3" fillId="0" borderId="10" xfId="1" applyNumberFormat="1" applyFont="1" applyFill="1" applyBorder="1" applyAlignment="1">
      <alignment horizontal="center" vertical="center" wrapText="1"/>
    </xf>
    <xf numFmtId="9" fontId="10" fillId="0" borderId="10" xfId="3" applyFont="1" applyFill="1" applyBorder="1" applyAlignment="1">
      <alignment horizontal="center" vertical="center" wrapText="1"/>
    </xf>
    <xf numFmtId="9" fontId="10" fillId="0" borderId="9" xfId="3" applyFont="1" applyFill="1" applyBorder="1" applyAlignment="1">
      <alignment horizontal="center" vertical="center" wrapText="1"/>
    </xf>
    <xf numFmtId="9" fontId="10" fillId="0" borderId="19" xfId="3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50" xfId="0" applyFont="1" applyBorder="1" applyAlignment="1">
      <alignment horizontal="center" vertical="center" wrapText="1"/>
    </xf>
    <xf numFmtId="1" fontId="11" fillId="0" borderId="36" xfId="0" applyNumberFormat="1" applyFont="1" applyBorder="1" applyAlignment="1">
      <alignment horizontal="center" vertical="center" wrapText="1"/>
    </xf>
    <xf numFmtId="1" fontId="11" fillId="0" borderId="44" xfId="0" applyNumberFormat="1" applyFont="1" applyBorder="1" applyAlignment="1">
      <alignment horizontal="center" vertical="center" wrapText="1"/>
    </xf>
    <xf numFmtId="1" fontId="11" fillId="0" borderId="43" xfId="0" applyNumberFormat="1" applyFont="1" applyBorder="1" applyAlignment="1">
      <alignment horizontal="center" vertical="center" wrapText="1"/>
    </xf>
    <xf numFmtId="1" fontId="3" fillId="0" borderId="45" xfId="0" applyNumberFormat="1" applyFont="1" applyBorder="1" applyAlignment="1">
      <alignment horizontal="center" vertical="center" wrapText="1"/>
    </xf>
    <xf numFmtId="1" fontId="3" fillId="0" borderId="47" xfId="0" applyNumberFormat="1" applyFont="1" applyBorder="1" applyAlignment="1">
      <alignment horizontal="center" vertical="center" wrapText="1"/>
    </xf>
    <xf numFmtId="1" fontId="3" fillId="0" borderId="12" xfId="0" applyNumberFormat="1" applyFont="1" applyBorder="1" applyAlignment="1">
      <alignment horizontal="center" vertical="center" wrapText="1"/>
    </xf>
    <xf numFmtId="1" fontId="3" fillId="0" borderId="46" xfId="0" applyNumberFormat="1" applyFont="1" applyBorder="1" applyAlignment="1">
      <alignment horizontal="center" vertical="center" wrapText="1"/>
    </xf>
    <xf numFmtId="1" fontId="3" fillId="0" borderId="48" xfId="0" applyNumberFormat="1" applyFont="1" applyBorder="1" applyAlignment="1">
      <alignment horizontal="center" vertical="center" wrapText="1"/>
    </xf>
    <xf numFmtId="1" fontId="3" fillId="0" borderId="49" xfId="0" applyNumberFormat="1" applyFont="1" applyBorder="1" applyAlignment="1">
      <alignment horizontal="center" vertical="center" wrapText="1"/>
    </xf>
    <xf numFmtId="0" fontId="3" fillId="0" borderId="43" xfId="0" applyFont="1" applyBorder="1" applyAlignment="1">
      <alignment horizontal="center" vertical="center" wrapText="1"/>
    </xf>
    <xf numFmtId="9" fontId="7" fillId="3" borderId="10" xfId="0" applyNumberFormat="1" applyFont="1" applyFill="1" applyBorder="1" applyAlignment="1">
      <alignment horizontal="center" vertical="center" wrapText="1"/>
    </xf>
    <xf numFmtId="9" fontId="7" fillId="3" borderId="9" xfId="0" applyNumberFormat="1" applyFont="1" applyFill="1" applyBorder="1" applyAlignment="1">
      <alignment horizontal="center" vertical="center" wrapText="1"/>
    </xf>
    <xf numFmtId="9" fontId="7" fillId="3" borderId="19" xfId="0" applyNumberFormat="1" applyFont="1" applyFill="1" applyBorder="1" applyAlignment="1">
      <alignment horizontal="center" vertical="center" wrapText="1"/>
    </xf>
    <xf numFmtId="1" fontId="3" fillId="0" borderId="13" xfId="0" applyNumberFormat="1" applyFont="1" applyBorder="1" applyAlignment="1">
      <alignment horizontal="center" vertical="center" wrapText="1"/>
    </xf>
    <xf numFmtId="1" fontId="11" fillId="0" borderId="11" xfId="0" applyNumberFormat="1" applyFont="1" applyBorder="1" applyAlignment="1">
      <alignment horizontal="center" vertical="center" wrapText="1"/>
    </xf>
    <xf numFmtId="1" fontId="11" fillId="0" borderId="0" xfId="0" applyNumberFormat="1" applyFont="1" applyAlignment="1">
      <alignment horizontal="center" vertical="center" wrapText="1"/>
    </xf>
    <xf numFmtId="1" fontId="11" fillId="0" borderId="29" xfId="0" applyNumberFormat="1" applyFont="1" applyBorder="1" applyAlignment="1">
      <alignment horizontal="center" vertical="center" wrapText="1"/>
    </xf>
    <xf numFmtId="1" fontId="11" fillId="0" borderId="25" xfId="0" applyNumberFormat="1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9" fontId="7" fillId="3" borderId="10" xfId="3" applyFont="1" applyFill="1" applyBorder="1" applyAlignment="1">
      <alignment horizontal="center" vertical="center" wrapText="1"/>
    </xf>
    <xf numFmtId="9" fontId="7" fillId="3" borderId="9" xfId="3" applyFont="1" applyFill="1" applyBorder="1" applyAlignment="1">
      <alignment horizontal="center" vertical="center" wrapText="1"/>
    </xf>
    <xf numFmtId="9" fontId="7" fillId="3" borderId="19" xfId="3" applyFont="1" applyFill="1" applyBorder="1" applyAlignment="1">
      <alignment horizontal="center" vertical="center" wrapText="1"/>
    </xf>
    <xf numFmtId="1" fontId="3" fillId="0" borderId="60" xfId="0" applyNumberFormat="1" applyFont="1" applyBorder="1" applyAlignment="1">
      <alignment horizontal="center" vertical="center" wrapText="1"/>
    </xf>
    <xf numFmtId="1" fontId="3" fillId="0" borderId="4" xfId="0" applyNumberFormat="1" applyFont="1" applyBorder="1" applyAlignment="1">
      <alignment horizontal="center" vertical="center" wrapText="1"/>
    </xf>
    <xf numFmtId="1" fontId="3" fillId="0" borderId="25" xfId="0" applyNumberFormat="1" applyFont="1" applyBorder="1" applyAlignment="1">
      <alignment horizontal="center" vertical="center" wrapText="1"/>
    </xf>
    <xf numFmtId="1" fontId="3" fillId="0" borderId="30" xfId="0" applyNumberFormat="1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center" vertical="center" wrapText="1"/>
    </xf>
    <xf numFmtId="1" fontId="3" fillId="0" borderId="15" xfId="0" applyNumberFormat="1" applyFont="1" applyBorder="1" applyAlignment="1">
      <alignment horizontal="center" vertical="center" wrapText="1"/>
    </xf>
    <xf numFmtId="1" fontId="3" fillId="0" borderId="16" xfId="0" applyNumberFormat="1" applyFont="1" applyBorder="1" applyAlignment="1">
      <alignment horizontal="center" vertical="center" wrapText="1"/>
    </xf>
    <xf numFmtId="1" fontId="3" fillId="0" borderId="22" xfId="0" applyNumberFormat="1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3" fontId="3" fillId="0" borderId="4" xfId="0" applyNumberFormat="1" applyFont="1" applyBorder="1" applyAlignment="1">
      <alignment horizontal="center" vertical="center" wrapText="1"/>
    </xf>
    <xf numFmtId="3" fontId="3" fillId="0" borderId="28" xfId="0" applyNumberFormat="1" applyFont="1" applyBorder="1" applyAlignment="1">
      <alignment horizontal="center" vertical="center" wrapText="1"/>
    </xf>
    <xf numFmtId="9" fontId="3" fillId="0" borderId="23" xfId="3" applyFont="1" applyFill="1" applyBorder="1" applyAlignment="1">
      <alignment horizontal="center" vertical="center" wrapText="1"/>
    </xf>
    <xf numFmtId="9" fontId="3" fillId="0" borderId="25" xfId="3" applyFont="1" applyFill="1" applyBorder="1" applyAlignment="1">
      <alignment horizontal="center" vertical="center" wrapText="1"/>
    </xf>
    <xf numFmtId="1" fontId="3" fillId="0" borderId="36" xfId="0" applyNumberFormat="1" applyFont="1" applyBorder="1" applyAlignment="1">
      <alignment horizontal="center" vertical="center" wrapText="1"/>
    </xf>
    <xf numFmtId="9" fontId="7" fillId="3" borderId="38" xfId="0" applyNumberFormat="1" applyFont="1" applyFill="1" applyBorder="1" applyAlignment="1">
      <alignment horizontal="center" vertical="center" wrapText="1"/>
    </xf>
    <xf numFmtId="9" fontId="7" fillId="3" borderId="0" xfId="0" applyNumberFormat="1" applyFont="1" applyFill="1" applyAlignment="1">
      <alignment horizontal="center" vertical="center" wrapText="1"/>
    </xf>
    <xf numFmtId="9" fontId="7" fillId="3" borderId="42" xfId="0" applyNumberFormat="1" applyFont="1" applyFill="1" applyBorder="1" applyAlignment="1">
      <alignment horizontal="center" vertical="center" wrapText="1"/>
    </xf>
    <xf numFmtId="0" fontId="3" fillId="0" borderId="10" xfId="3" applyNumberFormat="1" applyFont="1" applyFill="1" applyBorder="1" applyAlignment="1">
      <alignment horizontal="center" vertical="center" wrapText="1"/>
    </xf>
    <xf numFmtId="0" fontId="3" fillId="0" borderId="9" xfId="3" applyNumberFormat="1" applyFont="1" applyFill="1" applyBorder="1" applyAlignment="1">
      <alignment horizontal="center" vertical="center" wrapText="1"/>
    </xf>
    <xf numFmtId="0" fontId="3" fillId="0" borderId="19" xfId="3" applyNumberFormat="1" applyFont="1" applyFill="1" applyBorder="1" applyAlignment="1">
      <alignment horizontal="center" vertical="center" wrapText="1"/>
    </xf>
    <xf numFmtId="169" fontId="3" fillId="0" borderId="10" xfId="0" applyNumberFormat="1" applyFont="1" applyBorder="1" applyAlignment="1">
      <alignment horizontal="center" vertical="center" wrapText="1"/>
    </xf>
    <xf numFmtId="169" fontId="3" fillId="0" borderId="19" xfId="0" applyNumberFormat="1" applyFont="1" applyBorder="1" applyAlignment="1">
      <alignment horizontal="center" vertical="center" wrapText="1"/>
    </xf>
    <xf numFmtId="1" fontId="3" fillId="3" borderId="15" xfId="0" applyNumberFormat="1" applyFont="1" applyFill="1" applyBorder="1" applyAlignment="1">
      <alignment horizontal="center" vertical="center" wrapText="1"/>
    </xf>
    <xf numFmtId="1" fontId="3" fillId="3" borderId="16" xfId="0" applyNumberFormat="1" applyFont="1" applyFill="1" applyBorder="1" applyAlignment="1">
      <alignment horizontal="center" vertical="center" wrapText="1"/>
    </xf>
    <xf numFmtId="1" fontId="3" fillId="3" borderId="22" xfId="0" applyNumberFormat="1" applyFont="1" applyFill="1" applyBorder="1" applyAlignment="1">
      <alignment horizontal="center" vertical="center" wrapText="1"/>
    </xf>
    <xf numFmtId="4" fontId="3" fillId="0" borderId="4" xfId="0" applyNumberFormat="1" applyFont="1" applyBorder="1" applyAlignment="1">
      <alignment horizontal="center" vertical="center" wrapText="1"/>
    </xf>
    <xf numFmtId="9" fontId="12" fillId="3" borderId="10" xfId="3" applyFont="1" applyFill="1" applyBorder="1" applyAlignment="1">
      <alignment horizontal="center" vertical="center" wrapText="1"/>
    </xf>
    <xf numFmtId="9" fontId="12" fillId="3" borderId="9" xfId="3" applyFont="1" applyFill="1" applyBorder="1" applyAlignment="1">
      <alignment horizontal="center" vertical="center" wrapText="1"/>
    </xf>
    <xf numFmtId="9" fontId="12" fillId="3" borderId="19" xfId="3" applyFont="1" applyFill="1" applyBorder="1" applyAlignment="1">
      <alignment horizontal="center" vertical="center" wrapText="1"/>
    </xf>
    <xf numFmtId="2" fontId="3" fillId="0" borderId="10" xfId="0" applyNumberFormat="1" applyFont="1" applyBorder="1" applyAlignment="1">
      <alignment horizontal="center" vertical="center" wrapText="1"/>
    </xf>
    <xf numFmtId="2" fontId="3" fillId="0" borderId="9" xfId="0" applyNumberFormat="1" applyFont="1" applyBorder="1" applyAlignment="1">
      <alignment horizontal="center" vertical="center" wrapText="1"/>
    </xf>
    <xf numFmtId="2" fontId="3" fillId="0" borderId="19" xfId="0" applyNumberFormat="1" applyFont="1" applyBorder="1" applyAlignment="1">
      <alignment horizontal="center" vertical="center" wrapText="1"/>
    </xf>
    <xf numFmtId="9" fontId="3" fillId="0" borderId="18" xfId="3" applyFont="1" applyFill="1" applyBorder="1" applyAlignment="1">
      <alignment horizontal="center" vertical="center" wrapText="1"/>
    </xf>
    <xf numFmtId="9" fontId="3" fillId="0" borderId="11" xfId="3" applyFont="1" applyFill="1" applyBorder="1" applyAlignment="1">
      <alignment horizontal="center" vertical="center" wrapText="1"/>
    </xf>
    <xf numFmtId="1" fontId="9" fillId="0" borderId="39" xfId="0" applyNumberFormat="1" applyFont="1" applyBorder="1" applyAlignment="1">
      <alignment horizontal="center" vertical="center" wrapText="1"/>
    </xf>
    <xf numFmtId="1" fontId="9" fillId="0" borderId="40" xfId="0" applyNumberFormat="1" applyFont="1" applyBorder="1" applyAlignment="1">
      <alignment horizontal="center" vertical="center" wrapText="1"/>
    </xf>
    <xf numFmtId="1" fontId="9" fillId="0" borderId="23" xfId="0" applyNumberFormat="1" applyFont="1" applyBorder="1" applyAlignment="1">
      <alignment horizontal="center" vertical="center" wrapText="1"/>
    </xf>
    <xf numFmtId="9" fontId="3" fillId="0" borderId="20" xfId="3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9" fontId="3" fillId="0" borderId="9" xfId="0" applyNumberFormat="1" applyFont="1" applyBorder="1" applyAlignment="1">
      <alignment horizontal="center" vertical="center" wrapText="1"/>
    </xf>
    <xf numFmtId="9" fontId="3" fillId="0" borderId="19" xfId="0" applyNumberFormat="1" applyFont="1" applyBorder="1" applyAlignment="1">
      <alignment horizontal="center" vertical="center" wrapText="1"/>
    </xf>
    <xf numFmtId="0" fontId="7" fillId="0" borderId="30" xfId="0" applyFont="1" applyBorder="1" applyAlignment="1">
      <alignment horizontal="center" vertical="center" wrapText="1"/>
    </xf>
    <xf numFmtId="9" fontId="7" fillId="3" borderId="14" xfId="0" applyNumberFormat="1" applyFont="1" applyFill="1" applyBorder="1" applyAlignment="1">
      <alignment horizontal="center" vertical="center" wrapText="1"/>
    </xf>
    <xf numFmtId="1" fontId="11" fillId="0" borderId="4" xfId="0" applyNumberFormat="1" applyFont="1" applyBorder="1" applyAlignment="1">
      <alignment horizontal="center" vertical="center" wrapText="1"/>
    </xf>
    <xf numFmtId="9" fontId="3" fillId="0" borderId="18" xfId="0" applyNumberFormat="1" applyFont="1" applyBorder="1" applyAlignment="1">
      <alignment horizontal="center" vertical="center" wrapText="1"/>
    </xf>
    <xf numFmtId="9" fontId="3" fillId="0" borderId="11" xfId="0" applyNumberFormat="1" applyFont="1" applyBorder="1" applyAlignment="1">
      <alignment horizontal="center" vertical="center" wrapText="1"/>
    </xf>
    <xf numFmtId="9" fontId="3" fillId="0" borderId="4" xfId="0" applyNumberFormat="1" applyFont="1" applyBorder="1" applyAlignment="1">
      <alignment horizontal="center" vertical="center" wrapText="1"/>
    </xf>
    <xf numFmtId="4" fontId="3" fillId="2" borderId="10" xfId="0" applyNumberFormat="1" applyFont="1" applyFill="1" applyBorder="1" applyAlignment="1">
      <alignment horizontal="center" vertical="center" wrapText="1"/>
    </xf>
    <xf numFmtId="4" fontId="3" fillId="2" borderId="9" xfId="0" applyNumberFormat="1" applyFont="1" applyFill="1" applyBorder="1" applyAlignment="1">
      <alignment horizontal="center" vertical="center" wrapText="1"/>
    </xf>
    <xf numFmtId="3" fontId="3" fillId="0" borderId="15" xfId="0" applyNumberFormat="1" applyFont="1" applyBorder="1" applyAlignment="1">
      <alignment horizontal="center" vertical="center" wrapText="1"/>
    </xf>
    <xf numFmtId="3" fontId="3" fillId="0" borderId="16" xfId="0" applyNumberFormat="1" applyFont="1" applyBorder="1" applyAlignment="1">
      <alignment horizontal="center" vertical="center" wrapText="1"/>
    </xf>
    <xf numFmtId="3" fontId="3" fillId="0" borderId="22" xfId="0" applyNumberFormat="1" applyFont="1" applyBorder="1" applyAlignment="1">
      <alignment horizontal="center" vertical="center" wrapText="1"/>
    </xf>
    <xf numFmtId="3" fontId="3" fillId="2" borderId="15" xfId="0" applyNumberFormat="1" applyFont="1" applyFill="1" applyBorder="1" applyAlignment="1">
      <alignment horizontal="center" vertical="center" wrapText="1"/>
    </xf>
    <xf numFmtId="3" fontId="3" fillId="2" borderId="16" xfId="0" applyNumberFormat="1" applyFont="1" applyFill="1" applyBorder="1" applyAlignment="1">
      <alignment horizontal="center" vertical="center" wrapText="1"/>
    </xf>
    <xf numFmtId="3" fontId="3" fillId="2" borderId="22" xfId="0" applyNumberFormat="1" applyFont="1" applyFill="1" applyBorder="1" applyAlignment="1">
      <alignment horizontal="center" vertical="center" wrapText="1"/>
    </xf>
    <xf numFmtId="9" fontId="3" fillId="0" borderId="15" xfId="3" applyFont="1" applyFill="1" applyBorder="1" applyAlignment="1">
      <alignment horizontal="center" vertical="center" wrapText="1"/>
    </xf>
    <xf numFmtId="9" fontId="3" fillId="0" borderId="16" xfId="3" applyFont="1" applyFill="1" applyBorder="1" applyAlignment="1">
      <alignment horizontal="center" vertical="center" wrapText="1"/>
    </xf>
    <xf numFmtId="9" fontId="3" fillId="0" borderId="22" xfId="3" applyFont="1" applyFill="1" applyBorder="1" applyAlignment="1">
      <alignment horizontal="center" vertical="center" wrapText="1"/>
    </xf>
    <xf numFmtId="4" fontId="3" fillId="2" borderId="18" xfId="0" applyNumberFormat="1" applyFont="1" applyFill="1" applyBorder="1" applyAlignment="1">
      <alignment horizontal="center" vertical="center" wrapText="1"/>
    </xf>
    <xf numFmtId="4" fontId="3" fillId="2" borderId="11" xfId="0" applyNumberFormat="1" applyFont="1" applyFill="1" applyBorder="1" applyAlignment="1">
      <alignment horizontal="center" vertical="center" wrapText="1"/>
    </xf>
    <xf numFmtId="3" fontId="3" fillId="2" borderId="9" xfId="0" applyNumberFormat="1" applyFont="1" applyFill="1" applyBorder="1" applyAlignment="1">
      <alignment horizontal="center" vertical="center" wrapText="1"/>
    </xf>
    <xf numFmtId="3" fontId="3" fillId="2" borderId="19" xfId="0" applyNumberFormat="1" applyFont="1" applyFill="1" applyBorder="1" applyAlignment="1">
      <alignment horizontal="center" vertical="center" wrapText="1"/>
    </xf>
    <xf numFmtId="9" fontId="7" fillId="3" borderId="13" xfId="0" applyNumberFormat="1" applyFont="1" applyFill="1" applyBorder="1" applyAlignment="1">
      <alignment horizontal="center" vertical="center" wrapText="1"/>
    </xf>
    <xf numFmtId="167" fontId="3" fillId="2" borderId="10" xfId="0" applyNumberFormat="1" applyFont="1" applyFill="1" applyBorder="1" applyAlignment="1">
      <alignment horizontal="center" vertical="center" wrapText="1"/>
    </xf>
    <xf numFmtId="167" fontId="3" fillId="2" borderId="9" xfId="0" applyNumberFormat="1" applyFont="1" applyFill="1" applyBorder="1" applyAlignment="1">
      <alignment horizontal="center" vertical="center" wrapText="1"/>
    </xf>
    <xf numFmtId="3" fontId="3" fillId="0" borderId="18" xfId="0" applyNumberFormat="1" applyFont="1" applyBorder="1" applyAlignment="1">
      <alignment horizontal="center" vertical="center" wrapText="1"/>
    </xf>
    <xf numFmtId="3" fontId="3" fillId="0" borderId="11" xfId="0" applyNumberFormat="1" applyFont="1" applyBorder="1" applyAlignment="1">
      <alignment horizontal="center" vertical="center" wrapText="1"/>
    </xf>
    <xf numFmtId="1" fontId="3" fillId="0" borderId="17" xfId="0" applyNumberFormat="1" applyFont="1" applyBorder="1" applyAlignment="1">
      <alignment horizontal="center" vertical="center" wrapText="1"/>
    </xf>
    <xf numFmtId="1" fontId="3" fillId="0" borderId="21" xfId="0" applyNumberFormat="1" applyFont="1" applyBorder="1" applyAlignment="1">
      <alignment horizontal="center" vertical="center" wrapText="1"/>
    </xf>
    <xf numFmtId="10" fontId="3" fillId="0" borderId="9" xfId="3" applyNumberFormat="1" applyFont="1" applyFill="1" applyBorder="1" applyAlignment="1">
      <alignment horizontal="center" vertical="center" wrapText="1"/>
    </xf>
    <xf numFmtId="10" fontId="3" fillId="0" borderId="19" xfId="3" applyNumberFormat="1" applyFont="1" applyFill="1" applyBorder="1" applyAlignment="1">
      <alignment horizontal="center" vertical="center" wrapText="1"/>
    </xf>
    <xf numFmtId="164" fontId="5" fillId="0" borderId="9" xfId="2" applyFont="1" applyFill="1" applyBorder="1" applyAlignment="1">
      <alignment horizontal="center" vertical="center" wrapText="1"/>
    </xf>
    <xf numFmtId="164" fontId="5" fillId="0" borderId="19" xfId="2" applyFont="1" applyFill="1" applyBorder="1" applyAlignment="1">
      <alignment horizontal="center" vertical="center" wrapText="1"/>
    </xf>
    <xf numFmtId="3" fontId="5" fillId="0" borderId="19" xfId="0" applyNumberFormat="1" applyFont="1" applyBorder="1" applyAlignment="1">
      <alignment horizontal="center" vertical="center" wrapText="1"/>
    </xf>
    <xf numFmtId="165" fontId="3" fillId="3" borderId="9" xfId="1" applyFont="1" applyFill="1" applyBorder="1" applyAlignment="1">
      <alignment horizontal="center" vertical="center" wrapText="1"/>
    </xf>
    <xf numFmtId="165" fontId="5" fillId="0" borderId="10" xfId="1" applyFont="1" applyFill="1" applyBorder="1" applyAlignment="1">
      <alignment horizontal="center" vertical="center" wrapText="1"/>
    </xf>
    <xf numFmtId="165" fontId="5" fillId="0" borderId="9" xfId="1" applyFont="1" applyFill="1" applyBorder="1" applyAlignment="1">
      <alignment horizontal="center" vertical="center" wrapText="1"/>
    </xf>
    <xf numFmtId="165" fontId="5" fillId="0" borderId="19" xfId="1" applyFont="1" applyFill="1" applyBorder="1" applyAlignment="1">
      <alignment horizontal="center" vertical="center" wrapText="1"/>
    </xf>
    <xf numFmtId="165" fontId="5" fillId="3" borderId="10" xfId="1" applyFont="1" applyFill="1" applyBorder="1" applyAlignment="1">
      <alignment horizontal="center"/>
    </xf>
    <xf numFmtId="165" fontId="5" fillId="3" borderId="9" xfId="1" applyFont="1" applyFill="1" applyBorder="1" applyAlignment="1">
      <alignment horizontal="center"/>
    </xf>
    <xf numFmtId="165" fontId="5" fillId="3" borderId="19" xfId="1" applyFont="1" applyFill="1" applyBorder="1" applyAlignment="1">
      <alignment horizontal="center"/>
    </xf>
    <xf numFmtId="165" fontId="3" fillId="0" borderId="10" xfId="1" applyFont="1" applyFill="1" applyBorder="1" applyAlignment="1">
      <alignment horizontal="center" vertical="center"/>
    </xf>
    <xf numFmtId="165" fontId="3" fillId="0" borderId="9" xfId="1" applyFont="1" applyFill="1" applyBorder="1" applyAlignment="1">
      <alignment horizontal="center" vertical="center"/>
    </xf>
    <xf numFmtId="165" fontId="3" fillId="0" borderId="19" xfId="1" applyFont="1" applyFill="1" applyBorder="1" applyAlignment="1">
      <alignment horizontal="center" vertical="center"/>
    </xf>
    <xf numFmtId="165" fontId="3" fillId="0" borderId="31" xfId="1" applyFont="1" applyFill="1" applyBorder="1" applyAlignment="1">
      <alignment horizontal="center" vertical="center" wrapText="1"/>
    </xf>
    <xf numFmtId="165" fontId="3" fillId="0" borderId="26" xfId="1" applyFont="1" applyFill="1" applyBorder="1" applyAlignment="1">
      <alignment horizontal="center" vertical="center" wrapText="1"/>
    </xf>
    <xf numFmtId="165" fontId="3" fillId="0" borderId="36" xfId="1" applyFont="1" applyFill="1" applyBorder="1" applyAlignment="1">
      <alignment horizontal="center" vertical="center" wrapText="1"/>
    </xf>
    <xf numFmtId="1" fontId="3" fillId="3" borderId="31" xfId="0" applyNumberFormat="1" applyFont="1" applyFill="1" applyBorder="1" applyAlignment="1">
      <alignment horizontal="center" vertical="center" wrapText="1"/>
    </xf>
    <xf numFmtId="1" fontId="3" fillId="3" borderId="26" xfId="0" applyNumberFormat="1" applyFont="1" applyFill="1" applyBorder="1" applyAlignment="1">
      <alignment horizontal="center" vertical="center" wrapText="1"/>
    </xf>
    <xf numFmtId="1" fontId="3" fillId="3" borderId="36" xfId="0" applyNumberFormat="1" applyFont="1" applyFill="1" applyBorder="1" applyAlignment="1">
      <alignment horizontal="center" vertical="center" wrapText="1"/>
    </xf>
    <xf numFmtId="1" fontId="10" fillId="0" borderId="31" xfId="0" applyNumberFormat="1" applyFont="1" applyBorder="1" applyAlignment="1">
      <alignment horizontal="center" vertical="center" wrapText="1"/>
    </xf>
    <xf numFmtId="1" fontId="10" fillId="0" borderId="65" xfId="0" applyNumberFormat="1" applyFont="1" applyBorder="1" applyAlignment="1">
      <alignment horizontal="center" vertical="center" wrapText="1"/>
    </xf>
    <xf numFmtId="0" fontId="17" fillId="0" borderId="17" xfId="0" applyFont="1" applyBorder="1" applyAlignment="1">
      <alignment horizontal="center" vertical="center" wrapText="1"/>
    </xf>
    <xf numFmtId="0" fontId="17" fillId="0" borderId="51" xfId="0" applyFont="1" applyBorder="1" applyAlignment="1">
      <alignment horizontal="center" vertical="center" wrapText="1"/>
    </xf>
    <xf numFmtId="1" fontId="10" fillId="0" borderId="47" xfId="0" applyNumberFormat="1" applyFont="1" applyBorder="1" applyAlignment="1">
      <alignment horizontal="center" vertical="center" wrapText="1"/>
    </xf>
    <xf numFmtId="1" fontId="3" fillId="0" borderId="62" xfId="0" applyNumberFormat="1" applyFont="1" applyBorder="1" applyAlignment="1">
      <alignment horizontal="center" vertical="center" wrapText="1"/>
    </xf>
    <xf numFmtId="1" fontId="3" fillId="0" borderId="63" xfId="0" applyNumberFormat="1" applyFont="1" applyBorder="1" applyAlignment="1">
      <alignment horizontal="center" vertical="center" wrapText="1"/>
    </xf>
    <xf numFmtId="1" fontId="10" fillId="0" borderId="36" xfId="0" applyNumberFormat="1" applyFont="1" applyBorder="1" applyAlignment="1">
      <alignment horizontal="center" vertical="center" wrapText="1"/>
    </xf>
    <xf numFmtId="1" fontId="10" fillId="0" borderId="43" xfId="0" applyNumberFormat="1" applyFont="1" applyBorder="1" applyAlignment="1">
      <alignment horizontal="center" vertical="center" wrapText="1"/>
    </xf>
    <xf numFmtId="1" fontId="10" fillId="0" borderId="18" xfId="0" applyNumberFormat="1" applyFont="1" applyBorder="1" applyAlignment="1">
      <alignment horizontal="center" vertical="center" wrapText="1"/>
    </xf>
    <xf numFmtId="1" fontId="10" fillId="0" borderId="4" xfId="0" applyNumberFormat="1" applyFont="1" applyBorder="1" applyAlignment="1">
      <alignment horizontal="center" vertical="center" wrapText="1"/>
    </xf>
    <xf numFmtId="1" fontId="10" fillId="0" borderId="30" xfId="0" applyNumberFormat="1" applyFont="1" applyBorder="1" applyAlignment="1">
      <alignment horizontal="center" vertical="center" wrapText="1"/>
    </xf>
    <xf numFmtId="1" fontId="10" fillId="0" borderId="1" xfId="0" applyNumberFormat="1" applyFont="1" applyBorder="1" applyAlignment="1">
      <alignment horizontal="center" vertical="center" wrapText="1"/>
    </xf>
    <xf numFmtId="1" fontId="10" fillId="0" borderId="50" xfId="0" applyNumberFormat="1" applyFont="1" applyBorder="1" applyAlignment="1">
      <alignment horizontal="center" vertical="center" wrapText="1"/>
    </xf>
    <xf numFmtId="1" fontId="10" fillId="0" borderId="23" xfId="0" applyNumberFormat="1" applyFont="1" applyBorder="1" applyAlignment="1">
      <alignment horizontal="center" vertical="center" wrapText="1"/>
    </xf>
    <xf numFmtId="1" fontId="10" fillId="0" borderId="37" xfId="0" applyNumberFormat="1" applyFont="1" applyBorder="1" applyAlignment="1">
      <alignment horizontal="center" vertical="center" wrapText="1"/>
    </xf>
    <xf numFmtId="1" fontId="14" fillId="0" borderId="1" xfId="0" applyNumberFormat="1" applyFont="1" applyBorder="1" applyAlignment="1">
      <alignment horizontal="center" vertical="center" wrapText="1"/>
    </xf>
    <xf numFmtId="1" fontId="14" fillId="0" borderId="3" xfId="0" applyNumberFormat="1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35" xfId="0" applyFont="1" applyBorder="1" applyAlignment="1">
      <alignment horizontal="center" vertical="center" wrapText="1"/>
    </xf>
    <xf numFmtId="0" fontId="9" fillId="0" borderId="34" xfId="0" applyFont="1" applyBorder="1" applyAlignment="1">
      <alignment horizontal="center" vertical="center" wrapText="1"/>
    </xf>
    <xf numFmtId="1" fontId="9" fillId="0" borderId="21" xfId="0" applyNumberFormat="1" applyFont="1" applyBorder="1" applyAlignment="1">
      <alignment horizontal="center" vertical="center" wrapText="1"/>
    </xf>
    <xf numFmtId="1" fontId="9" fillId="0" borderId="44" xfId="0" applyNumberFormat="1" applyFont="1" applyBorder="1" applyAlignment="1">
      <alignment horizontal="center" vertical="center" wrapText="1"/>
    </xf>
    <xf numFmtId="1" fontId="9" fillId="0" borderId="64" xfId="0" applyNumberFormat="1" applyFont="1" applyBorder="1" applyAlignment="1">
      <alignment horizontal="center" vertical="center" wrapText="1"/>
    </xf>
    <xf numFmtId="164" fontId="3" fillId="0" borderId="9" xfId="2" applyFont="1" applyFill="1" applyBorder="1" applyAlignment="1">
      <alignment horizontal="center" vertical="center" wrapText="1"/>
    </xf>
    <xf numFmtId="1" fontId="14" fillId="0" borderId="4" xfId="0" applyNumberFormat="1" applyFont="1" applyBorder="1" applyAlignment="1">
      <alignment horizontal="center" vertical="center" wrapText="1"/>
    </xf>
    <xf numFmtId="1" fontId="10" fillId="0" borderId="44" xfId="0" applyNumberFormat="1" applyFont="1" applyBorder="1" applyAlignment="1">
      <alignment horizontal="center" vertical="center" wrapText="1"/>
    </xf>
    <xf numFmtId="171" fontId="3" fillId="0" borderId="4" xfId="2" applyNumberFormat="1" applyFont="1" applyFill="1" applyBorder="1" applyAlignment="1">
      <alignment horizontal="center" vertical="center" wrapText="1"/>
    </xf>
    <xf numFmtId="165" fontId="3" fillId="0" borderId="4" xfId="1" applyFont="1" applyFill="1" applyBorder="1" applyAlignment="1">
      <alignment horizontal="center" vertical="center" wrapText="1"/>
    </xf>
    <xf numFmtId="165" fontId="3" fillId="0" borderId="23" xfId="1" applyFont="1" applyFill="1" applyBorder="1" applyAlignment="1">
      <alignment horizontal="center" vertical="center" wrapText="1"/>
    </xf>
    <xf numFmtId="165" fontId="3" fillId="0" borderId="25" xfId="1" applyFont="1" applyFill="1" applyBorder="1" applyAlignment="1">
      <alignment horizontal="center" vertical="center" wrapText="1"/>
    </xf>
    <xf numFmtId="165" fontId="3" fillId="0" borderId="30" xfId="1" applyFont="1" applyFill="1" applyBorder="1" applyAlignment="1">
      <alignment horizontal="center" vertical="center" wrapText="1"/>
    </xf>
    <xf numFmtId="165" fontId="3" fillId="0" borderId="40" xfId="1" applyFont="1" applyFill="1" applyBorder="1" applyAlignment="1">
      <alignment horizontal="center" vertical="center" wrapText="1"/>
    </xf>
    <xf numFmtId="165" fontId="3" fillId="0" borderId="0" xfId="1" applyFont="1" applyFill="1" applyBorder="1" applyAlignment="1">
      <alignment horizontal="center" vertical="center" wrapText="1"/>
    </xf>
    <xf numFmtId="167" fontId="3" fillId="0" borderId="10" xfId="0" applyNumberFormat="1" applyFont="1" applyBorder="1" applyAlignment="1">
      <alignment horizontal="center" vertical="center" wrapText="1"/>
    </xf>
    <xf numFmtId="167" fontId="3" fillId="0" borderId="9" xfId="0" applyNumberFormat="1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165" fontId="3" fillId="0" borderId="28" xfId="1" applyFont="1" applyFill="1" applyBorder="1" applyAlignment="1">
      <alignment horizontal="center" vertical="center" wrapText="1"/>
    </xf>
    <xf numFmtId="165" fontId="3" fillId="0" borderId="60" xfId="1" applyFont="1" applyFill="1" applyBorder="1" applyAlignment="1">
      <alignment horizontal="center" vertical="center" wrapText="1"/>
    </xf>
    <xf numFmtId="171" fontId="3" fillId="0" borderId="23" xfId="2" applyNumberFormat="1" applyFont="1" applyFill="1" applyBorder="1" applyAlignment="1">
      <alignment horizontal="center" vertical="center" wrapText="1"/>
    </xf>
    <xf numFmtId="171" fontId="3" fillId="0" borderId="25" xfId="2" applyNumberFormat="1" applyFont="1" applyFill="1" applyBorder="1" applyAlignment="1">
      <alignment horizontal="center" vertical="center" wrapText="1"/>
    </xf>
    <xf numFmtId="171" fontId="3" fillId="0" borderId="9" xfId="2" applyNumberFormat="1" applyFont="1" applyFill="1" applyBorder="1" applyAlignment="1">
      <alignment horizontal="center" vertical="center" wrapText="1"/>
    </xf>
    <xf numFmtId="171" fontId="3" fillId="0" borderId="19" xfId="2" applyNumberFormat="1" applyFont="1" applyFill="1" applyBorder="1" applyAlignment="1">
      <alignment horizontal="center" vertical="center" wrapText="1"/>
    </xf>
    <xf numFmtId="1" fontId="28" fillId="0" borderId="51" xfId="0" applyNumberFormat="1" applyFont="1" applyBorder="1" applyAlignment="1">
      <alignment horizontal="center" vertical="center" wrapText="1"/>
    </xf>
    <xf numFmtId="1" fontId="28" fillId="0" borderId="4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63" xfId="0" applyFont="1" applyBorder="1" applyAlignment="1">
      <alignment horizontal="center" vertical="center" wrapText="1"/>
    </xf>
    <xf numFmtId="0" fontId="3" fillId="0" borderId="60" xfId="0" applyFont="1" applyBorder="1" applyAlignment="1">
      <alignment horizontal="center" vertical="center" wrapText="1"/>
    </xf>
    <xf numFmtId="1" fontId="10" fillId="0" borderId="3" xfId="0" applyNumberFormat="1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5" fillId="0" borderId="3" xfId="0" applyFont="1" applyBorder="1" applyAlignment="1">
      <alignment horizontal="center" vertical="center" wrapText="1"/>
    </xf>
    <xf numFmtId="0" fontId="25" fillId="0" borderId="5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171" fontId="3" fillId="0" borderId="10" xfId="2" applyNumberFormat="1" applyFont="1" applyFill="1" applyBorder="1" applyAlignment="1">
      <alignment horizontal="center" vertical="center" wrapText="1"/>
    </xf>
    <xf numFmtId="165" fontId="5" fillId="0" borderId="10" xfId="1" applyFont="1" applyFill="1" applyBorder="1" applyAlignment="1">
      <alignment horizontal="center"/>
    </xf>
    <xf numFmtId="165" fontId="5" fillId="0" borderId="9" xfId="1" applyFont="1" applyFill="1" applyBorder="1" applyAlignment="1">
      <alignment horizontal="center"/>
    </xf>
    <xf numFmtId="165" fontId="5" fillId="0" borderId="19" xfId="1" applyFont="1" applyFill="1" applyBorder="1" applyAlignment="1">
      <alignment horizontal="center"/>
    </xf>
    <xf numFmtId="1" fontId="3" fillId="0" borderId="42" xfId="0" applyNumberFormat="1" applyFont="1" applyBorder="1" applyAlignment="1">
      <alignment horizontal="center" vertical="center" wrapText="1"/>
    </xf>
    <xf numFmtId="1" fontId="3" fillId="0" borderId="35" xfId="0" applyNumberFormat="1" applyFont="1" applyBorder="1" applyAlignment="1">
      <alignment horizontal="center" vertical="center" wrapText="1"/>
    </xf>
    <xf numFmtId="1" fontId="3" fillId="0" borderId="38" xfId="0" applyNumberFormat="1" applyFont="1" applyBorder="1" applyAlignment="1">
      <alignment horizontal="center" vertical="center" wrapText="1"/>
    </xf>
    <xf numFmtId="9" fontId="7" fillId="0" borderId="10" xfId="3" applyFont="1" applyBorder="1" applyAlignment="1">
      <alignment horizontal="center" vertical="center" wrapText="1"/>
    </xf>
    <xf numFmtId="9" fontId="7" fillId="0" borderId="9" xfId="3" applyFont="1" applyBorder="1" applyAlignment="1">
      <alignment horizontal="center" vertical="center" wrapText="1"/>
    </xf>
    <xf numFmtId="9" fontId="7" fillId="0" borderId="19" xfId="3" applyFont="1" applyBorder="1" applyAlignment="1">
      <alignment horizontal="center" vertical="center" wrapText="1"/>
    </xf>
    <xf numFmtId="10" fontId="3" fillId="0" borderId="11" xfId="3" applyNumberFormat="1" applyFont="1" applyFill="1" applyBorder="1" applyAlignment="1">
      <alignment horizontal="center" vertical="center" wrapText="1"/>
    </xf>
    <xf numFmtId="10" fontId="3" fillId="0" borderId="20" xfId="3" applyNumberFormat="1" applyFont="1" applyFill="1" applyBorder="1" applyAlignment="1">
      <alignment horizontal="center" vertical="center" wrapText="1"/>
    </xf>
    <xf numFmtId="9" fontId="7" fillId="0" borderId="9" xfId="0" applyNumberFormat="1" applyFont="1" applyBorder="1" applyAlignment="1">
      <alignment horizontal="center" vertical="center" wrapText="1"/>
    </xf>
    <xf numFmtId="9" fontId="7" fillId="0" borderId="19" xfId="0" applyNumberFormat="1" applyFont="1" applyBorder="1" applyAlignment="1">
      <alignment horizontal="center" vertical="center" wrapText="1"/>
    </xf>
    <xf numFmtId="9" fontId="7" fillId="0" borderId="10" xfId="0" applyNumberFormat="1" applyFont="1" applyBorder="1" applyAlignment="1">
      <alignment horizontal="center" vertical="center" wrapText="1"/>
    </xf>
    <xf numFmtId="4" fontId="3" fillId="0" borderId="13" xfId="0" applyNumberFormat="1" applyFont="1" applyBorder="1" applyAlignment="1">
      <alignment horizontal="center" vertical="center" wrapText="1"/>
    </xf>
    <xf numFmtId="10" fontId="3" fillId="0" borderId="4" xfId="0" applyNumberFormat="1" applyFont="1" applyBorder="1" applyAlignment="1">
      <alignment horizontal="center" vertical="center" wrapText="1"/>
    </xf>
    <xf numFmtId="9" fontId="3" fillId="0" borderId="17" xfId="0" applyNumberFormat="1" applyFont="1" applyBorder="1" applyAlignment="1">
      <alignment horizontal="center" vertical="center" wrapText="1"/>
    </xf>
    <xf numFmtId="0" fontId="9" fillId="0" borderId="51" xfId="0" applyFont="1" applyBorder="1" applyAlignment="1">
      <alignment horizontal="center" vertical="center" wrapText="1"/>
    </xf>
    <xf numFmtId="9" fontId="7" fillId="0" borderId="14" xfId="0" applyNumberFormat="1" applyFont="1" applyBorder="1" applyAlignment="1">
      <alignment horizontal="center" vertical="center" wrapText="1"/>
    </xf>
    <xf numFmtId="10" fontId="3" fillId="0" borderId="18" xfId="3" applyNumberFormat="1" applyFont="1" applyFill="1" applyBorder="1" applyAlignment="1">
      <alignment horizontal="center" vertical="center" wrapText="1"/>
    </xf>
    <xf numFmtId="10" fontId="3" fillId="0" borderId="10" xfId="3" applyNumberFormat="1" applyFont="1" applyFill="1" applyBorder="1" applyAlignment="1">
      <alignment horizontal="center" vertical="center" wrapText="1"/>
    </xf>
    <xf numFmtId="9" fontId="3" fillId="0" borderId="20" xfId="0" applyNumberFormat="1" applyFont="1" applyBorder="1" applyAlignment="1">
      <alignment horizontal="center" vertical="center" wrapText="1"/>
    </xf>
    <xf numFmtId="9" fontId="12" fillId="0" borderId="18" xfId="3" applyFont="1" applyFill="1" applyBorder="1" applyAlignment="1">
      <alignment horizontal="center" vertical="center" wrapText="1"/>
    </xf>
    <xf numFmtId="9" fontId="12" fillId="0" borderId="9" xfId="3" applyFont="1" applyFill="1" applyBorder="1" applyAlignment="1">
      <alignment horizontal="center" vertical="center" wrapText="1"/>
    </xf>
    <xf numFmtId="9" fontId="12" fillId="0" borderId="19" xfId="3" applyFont="1" applyFill="1" applyBorder="1" applyAlignment="1">
      <alignment horizontal="center" vertical="center" wrapText="1"/>
    </xf>
    <xf numFmtId="168" fontId="3" fillId="0" borderId="10" xfId="0" applyNumberFormat="1" applyFont="1" applyBorder="1" applyAlignment="1">
      <alignment horizontal="center" vertical="center" wrapText="1"/>
    </xf>
    <xf numFmtId="168" fontId="3" fillId="0" borderId="9" xfId="0" applyNumberFormat="1" applyFont="1" applyBorder="1" applyAlignment="1">
      <alignment horizontal="center" vertical="center" wrapText="1"/>
    </xf>
    <xf numFmtId="168" fontId="3" fillId="0" borderId="19" xfId="0" applyNumberFormat="1" applyFont="1" applyBorder="1" applyAlignment="1">
      <alignment horizontal="center" vertical="center" wrapText="1"/>
    </xf>
    <xf numFmtId="1" fontId="3" fillId="0" borderId="28" xfId="0" applyNumberFormat="1" applyFont="1" applyBorder="1" applyAlignment="1">
      <alignment horizontal="center" vertical="center" wrapText="1"/>
    </xf>
    <xf numFmtId="165" fontId="3" fillId="0" borderId="51" xfId="1" applyFont="1" applyFill="1" applyBorder="1" applyAlignment="1">
      <alignment horizontal="center" vertical="center" wrapText="1"/>
    </xf>
    <xf numFmtId="165" fontId="3" fillId="0" borderId="53" xfId="1" applyFont="1" applyFill="1" applyBorder="1" applyAlignment="1">
      <alignment horizontal="center" vertical="center" wrapText="1"/>
    </xf>
    <xf numFmtId="171" fontId="3" fillId="0" borderId="30" xfId="2" applyNumberFormat="1" applyFont="1" applyFill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3" fontId="5" fillId="0" borderId="15" xfId="0" applyNumberFormat="1" applyFont="1" applyBorder="1" applyAlignment="1">
      <alignment horizontal="center" vertical="center" wrapText="1"/>
    </xf>
    <xf numFmtId="3" fontId="5" fillId="0" borderId="16" xfId="0" applyNumberFormat="1" applyFont="1" applyBorder="1" applyAlignment="1">
      <alignment horizontal="center" vertical="center" wrapText="1"/>
    </xf>
    <xf numFmtId="4" fontId="3" fillId="0" borderId="16" xfId="0" applyNumberFormat="1" applyFont="1" applyBorder="1" applyAlignment="1">
      <alignment horizontal="center" vertical="center" wrapText="1"/>
    </xf>
    <xf numFmtId="9" fontId="3" fillId="0" borderId="34" xfId="3" applyFont="1" applyFill="1" applyBorder="1" applyAlignment="1">
      <alignment horizontal="center" vertical="center" wrapText="1"/>
    </xf>
    <xf numFmtId="4" fontId="3" fillId="0" borderId="26" xfId="0" applyNumberFormat="1" applyFont="1" applyBorder="1" applyAlignment="1">
      <alignment horizontal="center" vertical="center" wrapText="1"/>
    </xf>
    <xf numFmtId="169" fontId="3" fillId="0" borderId="16" xfId="0" applyNumberFormat="1" applyFont="1" applyBorder="1" applyAlignment="1">
      <alignment horizontal="center" vertical="center" wrapText="1"/>
    </xf>
    <xf numFmtId="169" fontId="3" fillId="5" borderId="16" xfId="0" applyNumberFormat="1" applyFont="1" applyFill="1" applyBorder="1" applyAlignment="1">
      <alignment horizontal="center" vertical="center" wrapText="1"/>
    </xf>
    <xf numFmtId="4" fontId="3" fillId="0" borderId="15" xfId="0" applyNumberFormat="1" applyFont="1" applyBorder="1" applyAlignment="1">
      <alignment horizontal="center" vertical="center" wrapText="1"/>
    </xf>
    <xf numFmtId="2" fontId="3" fillId="0" borderId="16" xfId="3" applyNumberFormat="1" applyFont="1" applyFill="1" applyBorder="1" applyAlignment="1">
      <alignment horizontal="center" vertical="center" wrapText="1"/>
    </xf>
    <xf numFmtId="168" fontId="7" fillId="0" borderId="38" xfId="0" applyNumberFormat="1" applyFont="1" applyBorder="1" applyAlignment="1">
      <alignment horizontal="center" vertical="center" wrapText="1"/>
    </xf>
    <xf numFmtId="168" fontId="7" fillId="0" borderId="0" xfId="0" applyNumberFormat="1" applyFont="1" applyAlignment="1">
      <alignment horizontal="center" vertical="center" wrapText="1"/>
    </xf>
    <xf numFmtId="168" fontId="7" fillId="0" borderId="42" xfId="0" applyNumberFormat="1" applyFont="1" applyBorder="1" applyAlignment="1">
      <alignment horizontal="center" vertical="center" wrapText="1"/>
    </xf>
    <xf numFmtId="0" fontId="3" fillId="0" borderId="15" xfId="3" applyNumberFormat="1" applyFont="1" applyFill="1" applyBorder="1" applyAlignment="1">
      <alignment horizontal="center" vertical="center" wrapText="1"/>
    </xf>
    <xf numFmtId="0" fontId="3" fillId="0" borderId="16" xfId="3" applyNumberFormat="1" applyFont="1" applyFill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 wrapText="1"/>
    </xf>
    <xf numFmtId="1" fontId="3" fillId="0" borderId="14" xfId="0" applyNumberFormat="1" applyFont="1" applyBorder="1" applyAlignment="1">
      <alignment horizontal="center" vertical="center" wrapText="1"/>
    </xf>
    <xf numFmtId="2" fontId="3" fillId="0" borderId="26" xfId="3" applyNumberFormat="1" applyFont="1" applyFill="1" applyBorder="1" applyAlignment="1">
      <alignment horizontal="center" vertical="center" wrapText="1"/>
    </xf>
    <xf numFmtId="9" fontId="7" fillId="0" borderId="10" xfId="3" applyFont="1" applyFill="1" applyBorder="1" applyAlignment="1">
      <alignment horizontal="center" vertical="center" wrapText="1"/>
    </xf>
    <xf numFmtId="9" fontId="7" fillId="0" borderId="9" xfId="3" applyFont="1" applyFill="1" applyBorder="1" applyAlignment="1">
      <alignment horizontal="center" vertical="center" wrapText="1"/>
    </xf>
    <xf numFmtId="9" fontId="7" fillId="0" borderId="19" xfId="3" applyFont="1" applyFill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9" fontId="2" fillId="0" borderId="10" xfId="3" applyFont="1" applyFill="1" applyBorder="1" applyAlignment="1">
      <alignment horizontal="center" vertical="center" wrapText="1"/>
    </xf>
    <xf numFmtId="9" fontId="2" fillId="0" borderId="9" xfId="3" applyFont="1" applyFill="1" applyBorder="1" applyAlignment="1">
      <alignment horizontal="center" vertical="center" wrapText="1"/>
    </xf>
    <xf numFmtId="9" fontId="2" fillId="0" borderId="19" xfId="3" applyFont="1" applyFill="1" applyBorder="1" applyAlignment="1">
      <alignment horizontal="center" vertical="center" wrapText="1"/>
    </xf>
    <xf numFmtId="9" fontId="7" fillId="0" borderId="23" xfId="0" applyNumberFormat="1" applyFont="1" applyBorder="1" applyAlignment="1">
      <alignment horizontal="center" vertical="center" wrapText="1"/>
    </xf>
    <xf numFmtId="9" fontId="7" fillId="0" borderId="25" xfId="0" applyNumberFormat="1" applyFont="1" applyBorder="1" applyAlignment="1">
      <alignment horizontal="center" vertical="center" wrapText="1"/>
    </xf>
    <xf numFmtId="9" fontId="7" fillId="0" borderId="41" xfId="0" applyNumberFormat="1" applyFont="1" applyBorder="1" applyAlignment="1">
      <alignment horizontal="center" vertical="center" wrapText="1"/>
    </xf>
    <xf numFmtId="1" fontId="3" fillId="0" borderId="24" xfId="0" applyNumberFormat="1" applyFont="1" applyBorder="1" applyAlignment="1">
      <alignment horizontal="center" vertical="center" wrapText="1"/>
    </xf>
    <xf numFmtId="9" fontId="3" fillId="0" borderId="14" xfId="3" applyFont="1" applyFill="1" applyBorder="1" applyAlignment="1">
      <alignment horizontal="center" vertical="center" wrapText="1"/>
    </xf>
    <xf numFmtId="9" fontId="3" fillId="0" borderId="27" xfId="3" applyFont="1" applyFill="1" applyBorder="1" applyAlignment="1">
      <alignment horizontal="center" vertical="center" wrapText="1"/>
    </xf>
    <xf numFmtId="9" fontId="3" fillId="0" borderId="24" xfId="3" applyFont="1" applyFill="1" applyBorder="1" applyAlignment="1">
      <alignment horizontal="center" vertical="center" wrapText="1"/>
    </xf>
    <xf numFmtId="165" fontId="3" fillId="0" borderId="27" xfId="1" applyFont="1" applyFill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9" fontId="15" fillId="0" borderId="40" xfId="0" applyNumberFormat="1" applyFont="1" applyBorder="1" applyAlignment="1">
      <alignment horizontal="center" vertical="center" wrapText="1"/>
    </xf>
    <xf numFmtId="9" fontId="15" fillId="0" borderId="0" xfId="0" applyNumberFormat="1" applyFont="1" applyAlignment="1">
      <alignment horizontal="center" vertical="center" wrapText="1"/>
    </xf>
    <xf numFmtId="9" fontId="15" fillId="0" borderId="25" xfId="0" applyNumberFormat="1" applyFont="1" applyBorder="1" applyAlignment="1">
      <alignment horizontal="center" vertical="center" wrapText="1"/>
    </xf>
    <xf numFmtId="171" fontId="3" fillId="0" borderId="60" xfId="2" applyNumberFormat="1" applyFont="1" applyFill="1" applyBorder="1" applyAlignment="1">
      <alignment horizontal="center" vertical="center" wrapText="1"/>
    </xf>
    <xf numFmtId="9" fontId="7" fillId="0" borderId="0" xfId="0" applyNumberFormat="1" applyFont="1" applyAlignment="1">
      <alignment horizontal="center" vertical="center" wrapText="1"/>
    </xf>
    <xf numFmtId="9" fontId="7" fillId="0" borderId="42" xfId="0" applyNumberFormat="1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/>
    </xf>
    <xf numFmtId="0" fontId="9" fillId="0" borderId="35" xfId="0" applyFont="1" applyBorder="1" applyAlignment="1">
      <alignment horizontal="center" vertical="center"/>
    </xf>
    <xf numFmtId="0" fontId="9" fillId="0" borderId="51" xfId="0" applyFont="1" applyBorder="1" applyAlignment="1">
      <alignment horizontal="center" vertical="center"/>
    </xf>
    <xf numFmtId="9" fontId="7" fillId="0" borderId="38" xfId="0" applyNumberFormat="1" applyFont="1" applyBorder="1" applyAlignment="1">
      <alignment horizontal="center" vertical="center" wrapText="1"/>
    </xf>
    <xf numFmtId="2" fontId="3" fillId="0" borderId="13" xfId="3" applyNumberFormat="1" applyFont="1" applyFill="1" applyBorder="1" applyAlignment="1">
      <alignment horizontal="center" vertical="center"/>
    </xf>
  </cellXfs>
  <cellStyles count="4">
    <cellStyle name="Moneda" xfId="1" builtinId="4"/>
    <cellStyle name="Moneda [0]" xfId="2" builtinId="7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ustomXml" Target="../ink/ink6.xml"/><Relationship Id="rId13" Type="http://schemas.openxmlformats.org/officeDocument/2006/relationships/customXml" Target="../ink/ink9.xml"/><Relationship Id="rId18" Type="http://schemas.openxmlformats.org/officeDocument/2006/relationships/customXml" Target="../ink/ink13.xml"/><Relationship Id="rId3" Type="http://schemas.openxmlformats.org/officeDocument/2006/relationships/customXml" Target="../ink/ink2.xml"/><Relationship Id="rId7" Type="http://schemas.openxmlformats.org/officeDocument/2006/relationships/customXml" Target="../ink/ink5.xml"/><Relationship Id="rId12" Type="http://schemas.openxmlformats.org/officeDocument/2006/relationships/image" Target="../media/image5.png"/><Relationship Id="rId17" Type="http://schemas.openxmlformats.org/officeDocument/2006/relationships/customXml" Target="../ink/ink12.xml"/><Relationship Id="rId2" Type="http://schemas.openxmlformats.org/officeDocument/2006/relationships/image" Target="../media/image1.png"/><Relationship Id="rId16" Type="http://schemas.openxmlformats.org/officeDocument/2006/relationships/image" Target="../media/image6.png"/><Relationship Id="rId20" Type="http://schemas.openxmlformats.org/officeDocument/2006/relationships/customXml" Target="../ink/ink14.xml"/><Relationship Id="rId29" Type="http://schemas.openxmlformats.org/officeDocument/2006/relationships/customXml" Target="../ink/ink15.xml"/><Relationship Id="rId1" Type="http://schemas.openxmlformats.org/officeDocument/2006/relationships/customXml" Target="../ink/ink1.xml"/><Relationship Id="rId6" Type="http://schemas.openxmlformats.org/officeDocument/2006/relationships/customXml" Target="../ink/ink4.xml"/><Relationship Id="rId11" Type="http://schemas.openxmlformats.org/officeDocument/2006/relationships/customXml" Target="../ink/ink8.xml"/><Relationship Id="rId5" Type="http://schemas.openxmlformats.org/officeDocument/2006/relationships/customXml" Target="../ink/ink3.xml"/><Relationship Id="rId15" Type="http://schemas.openxmlformats.org/officeDocument/2006/relationships/customXml" Target="../ink/ink11.xml"/><Relationship Id="rId28" Type="http://schemas.openxmlformats.org/officeDocument/2006/relationships/image" Target="../media/image9.png"/><Relationship Id="rId10" Type="http://schemas.openxmlformats.org/officeDocument/2006/relationships/image" Target="../media/image4.png"/><Relationship Id="rId19" Type="http://schemas.openxmlformats.org/officeDocument/2006/relationships/image" Target="../media/image7.png"/><Relationship Id="rId4" Type="http://schemas.openxmlformats.org/officeDocument/2006/relationships/image" Target="../media/image3.png"/><Relationship Id="rId9" Type="http://schemas.openxmlformats.org/officeDocument/2006/relationships/customXml" Target="../ink/ink7.xml"/><Relationship Id="rId14" Type="http://schemas.openxmlformats.org/officeDocument/2006/relationships/customXml" Target="../ink/ink10.xml"/><Relationship Id="rId30" Type="http://schemas.openxmlformats.org/officeDocument/2006/relationships/image" Target="../media/image10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ustomXml" Target="../ink/ink21.xml"/><Relationship Id="rId13" Type="http://schemas.openxmlformats.org/officeDocument/2006/relationships/customXml" Target="../ink/ink24.xml"/><Relationship Id="rId3" Type="http://schemas.openxmlformats.org/officeDocument/2006/relationships/customXml" Target="../ink/ink17.xml"/><Relationship Id="rId7" Type="http://schemas.openxmlformats.org/officeDocument/2006/relationships/customXml" Target="../ink/ink20.xml"/><Relationship Id="rId12" Type="http://schemas.openxmlformats.org/officeDocument/2006/relationships/image" Target="../media/image5.png"/><Relationship Id="rId2" Type="http://schemas.openxmlformats.org/officeDocument/2006/relationships/image" Target="../media/image1.png"/><Relationship Id="rId16" Type="http://schemas.openxmlformats.org/officeDocument/2006/relationships/customXml" Target="../ink/ink27.xml"/><Relationship Id="rId1" Type="http://schemas.openxmlformats.org/officeDocument/2006/relationships/customXml" Target="../ink/ink16.xml"/><Relationship Id="rId6" Type="http://schemas.openxmlformats.org/officeDocument/2006/relationships/customXml" Target="../ink/ink19.xml"/><Relationship Id="rId11" Type="http://schemas.openxmlformats.org/officeDocument/2006/relationships/customXml" Target="../ink/ink23.xml"/><Relationship Id="rId5" Type="http://schemas.openxmlformats.org/officeDocument/2006/relationships/customXml" Target="../ink/ink18.xml"/><Relationship Id="rId15" Type="http://schemas.openxmlformats.org/officeDocument/2006/relationships/customXml" Target="../ink/ink26.xml"/><Relationship Id="rId10" Type="http://schemas.openxmlformats.org/officeDocument/2006/relationships/image" Target="../media/image4.png"/><Relationship Id="rId4" Type="http://schemas.openxmlformats.org/officeDocument/2006/relationships/image" Target="../media/image3.png"/><Relationship Id="rId9" Type="http://schemas.openxmlformats.org/officeDocument/2006/relationships/customXml" Target="../ink/ink22.xml"/><Relationship Id="rId14" Type="http://schemas.openxmlformats.org/officeDocument/2006/relationships/customXml" Target="../ink/ink2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0</xdr:colOff>
      <xdr:row>20</xdr:row>
      <xdr:rowOff>421373</xdr:rowOff>
    </xdr:from>
    <xdr:to>
      <xdr:col>19</xdr:col>
      <xdr:colOff>0</xdr:colOff>
      <xdr:row>20</xdr:row>
      <xdr:rowOff>437608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Entrada de lápiz 1">
              <a:extLst>
                <a:ext uri="{FF2B5EF4-FFF2-40B4-BE49-F238E27FC236}">
                  <a16:creationId xmlns:a16="http://schemas.microsoft.com/office/drawing/2014/main" xmlns="" id="{F5D26B48-BB7C-9A8C-517E-3240C4203782}"/>
                </a:ext>
              </a:extLst>
            </xdr14:cNvPr>
            <xdr14:cNvContentPartPr/>
          </xdr14:nvContentPartPr>
          <xdr14:nvPr macro=""/>
          <xdr14:xfrm>
            <a:off x="44723427" y="13923478"/>
            <a:ext cx="360" cy="360"/>
          </xdr14:xfrm>
        </xdr:contentPart>
      </mc:Choice>
      <mc:Fallback xmlns="">
        <xdr:pic>
          <xdr:nvPicPr>
            <xdr:cNvPr id="2" name="Entrada de lápiz 1">
              <a:extLst>
                <a:ext uri="{FF2B5EF4-FFF2-40B4-BE49-F238E27FC236}">
                  <a16:creationId xmlns:a16="http://schemas.microsoft.com/office/drawing/2014/main" id="{F5D26B48-BB7C-9A8C-517E-3240C4203782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44714427" y="13914838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19</xdr:col>
      <xdr:colOff>1756005</xdr:colOff>
      <xdr:row>21</xdr:row>
      <xdr:rowOff>57636</xdr:rowOff>
    </xdr:from>
    <xdr:to>
      <xdr:col>32</xdr:col>
      <xdr:colOff>482990</xdr:colOff>
      <xdr:row>21</xdr:row>
      <xdr:rowOff>150516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3" name="Entrada de lápiz 2">
              <a:extLst>
                <a:ext uri="{FF2B5EF4-FFF2-40B4-BE49-F238E27FC236}">
                  <a16:creationId xmlns:a16="http://schemas.microsoft.com/office/drawing/2014/main" xmlns="" id="{BA9B27E6-AE19-D30E-2EA4-34D22F1CEBF5}"/>
                </a:ext>
              </a:extLst>
            </xdr14:cNvPr>
            <xdr14:cNvContentPartPr/>
          </xdr14:nvContentPartPr>
          <xdr14:nvPr macro=""/>
          <xdr14:xfrm>
            <a:off x="39933987" y="14094478"/>
            <a:ext cx="476640" cy="92880"/>
          </xdr14:xfrm>
        </xdr:contentPart>
      </mc:Choice>
      <mc:Fallback xmlns="">
        <xdr:pic>
          <xdr:nvPicPr>
            <xdr:cNvPr id="3" name="Entrada de lápiz 2">
              <a:extLst>
                <a:ext uri="{FF2B5EF4-FFF2-40B4-BE49-F238E27FC236}">
                  <a16:creationId xmlns:a16="http://schemas.microsoft.com/office/drawing/2014/main" id="{BA9B27E6-AE19-D30E-2EA4-34D22F1CEBF5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39925347" y="14085478"/>
              <a:ext cx="494280" cy="11052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20</xdr:col>
      <xdr:colOff>3460707</xdr:colOff>
      <xdr:row>20</xdr:row>
      <xdr:rowOff>22493</xdr:rowOff>
    </xdr:from>
    <xdr:to>
      <xdr:col>32</xdr:col>
      <xdr:colOff>122848</xdr:colOff>
      <xdr:row>20</xdr:row>
      <xdr:rowOff>22853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">
          <xdr14:nvContentPartPr>
            <xdr14:cNvPr id="4" name="Entrada de lápiz 3">
              <a:extLst>
                <a:ext uri="{FF2B5EF4-FFF2-40B4-BE49-F238E27FC236}">
                  <a16:creationId xmlns:a16="http://schemas.microsoft.com/office/drawing/2014/main" xmlns="" id="{C3AAC36C-A64E-7E9E-EDF0-CCBB144F4D85}"/>
                </a:ext>
              </a:extLst>
            </xdr14:cNvPr>
            <xdr14:cNvContentPartPr/>
          </xdr14:nvContentPartPr>
          <xdr14:nvPr macro=""/>
          <xdr14:xfrm>
            <a:off x="45370707" y="13524598"/>
            <a:ext cx="360" cy="360"/>
          </xdr14:xfrm>
        </xdr:contentPart>
      </mc:Choice>
      <mc:Fallback xmlns="">
        <xdr:pic>
          <xdr:nvPicPr>
            <xdr:cNvPr id="4" name="Entrada de lápiz 3">
              <a:extLst>
                <a:ext uri="{FF2B5EF4-FFF2-40B4-BE49-F238E27FC236}">
                  <a16:creationId xmlns:a16="http://schemas.microsoft.com/office/drawing/2014/main" id="{C3AAC36C-A64E-7E9E-EDF0-CCBB144F4D85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45361707" y="13515598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19</xdr:col>
      <xdr:colOff>0</xdr:colOff>
      <xdr:row>20</xdr:row>
      <xdr:rowOff>110333</xdr:rowOff>
    </xdr:from>
    <xdr:to>
      <xdr:col>19</xdr:col>
      <xdr:colOff>0</xdr:colOff>
      <xdr:row>20</xdr:row>
      <xdr:rowOff>110693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6">
          <xdr14:nvContentPartPr>
            <xdr14:cNvPr id="5" name="Entrada de lápiz 4">
              <a:extLst>
                <a:ext uri="{FF2B5EF4-FFF2-40B4-BE49-F238E27FC236}">
                  <a16:creationId xmlns:a16="http://schemas.microsoft.com/office/drawing/2014/main" xmlns="" id="{C401E7A2-ADDA-708C-B93A-9ADB07BE41E7}"/>
                </a:ext>
              </a:extLst>
            </xdr14:cNvPr>
            <xdr14:cNvContentPartPr/>
          </xdr14:nvContentPartPr>
          <xdr14:nvPr macro=""/>
          <xdr14:xfrm>
            <a:off x="44479707" y="13612438"/>
            <a:ext cx="360" cy="360"/>
          </xdr14:xfrm>
        </xdr:contentPart>
      </mc:Choice>
      <mc:Fallback xmlns="">
        <xdr:pic>
          <xdr:nvPicPr>
            <xdr:cNvPr id="5" name="Entrada de lápiz 4">
              <a:extLst>
                <a:ext uri="{FF2B5EF4-FFF2-40B4-BE49-F238E27FC236}">
                  <a16:creationId xmlns:a16="http://schemas.microsoft.com/office/drawing/2014/main" id="{C401E7A2-ADDA-708C-B93A-9ADB07BE41E7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44471067" y="13603438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19</xdr:col>
      <xdr:colOff>0</xdr:colOff>
      <xdr:row>18</xdr:row>
      <xdr:rowOff>485726</xdr:rowOff>
    </xdr:from>
    <xdr:to>
      <xdr:col>19</xdr:col>
      <xdr:colOff>0</xdr:colOff>
      <xdr:row>18</xdr:row>
      <xdr:rowOff>559111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7">
          <xdr14:nvContentPartPr>
            <xdr14:cNvPr id="6" name="Entrada de lápiz 5">
              <a:extLst>
                <a:ext uri="{FF2B5EF4-FFF2-40B4-BE49-F238E27FC236}">
                  <a16:creationId xmlns:a16="http://schemas.microsoft.com/office/drawing/2014/main" xmlns="" id="{001CE357-74F7-B62F-6088-277111ABB223}"/>
                </a:ext>
              </a:extLst>
            </xdr14:cNvPr>
            <xdr14:cNvContentPartPr/>
          </xdr14:nvContentPartPr>
          <xdr14:nvPr macro=""/>
          <xdr14:xfrm>
            <a:off x="55462663" y="12918358"/>
            <a:ext cx="360" cy="360"/>
          </xdr14:xfrm>
        </xdr:contentPart>
      </mc:Choice>
      <mc:Fallback xmlns="">
        <xdr:pic>
          <xdr:nvPicPr>
            <xdr:cNvPr id="6" name="Entrada de lápiz 5">
              <a:extLst>
                <a:ext uri="{FF2B5EF4-FFF2-40B4-BE49-F238E27FC236}">
                  <a16:creationId xmlns:a16="http://schemas.microsoft.com/office/drawing/2014/main" id="{001CE357-74F7-B62F-6088-277111ABB223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55454023" y="12909358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19</xdr:col>
      <xdr:colOff>0</xdr:colOff>
      <xdr:row>22</xdr:row>
      <xdr:rowOff>356349</xdr:rowOff>
    </xdr:from>
    <xdr:to>
      <xdr:col>19</xdr:col>
      <xdr:colOff>0</xdr:colOff>
      <xdr:row>22</xdr:row>
      <xdr:rowOff>356709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8">
          <xdr14:nvContentPartPr>
            <xdr14:cNvPr id="7" name="Entrada de lápiz 6">
              <a:extLst>
                <a:ext uri="{FF2B5EF4-FFF2-40B4-BE49-F238E27FC236}">
                  <a16:creationId xmlns:a16="http://schemas.microsoft.com/office/drawing/2014/main" xmlns="" id="{96560080-0EC9-B9E5-BB7C-38CB414A40E6}"/>
                </a:ext>
              </a:extLst>
            </xdr14:cNvPr>
            <xdr14:cNvContentPartPr/>
          </xdr14:nvContentPartPr>
          <xdr14:nvPr macro=""/>
          <xdr14:xfrm>
            <a:off x="50787600" y="14927928"/>
            <a:ext cx="360" cy="360"/>
          </xdr14:xfrm>
        </xdr:contentPart>
      </mc:Choice>
      <mc:Fallback xmlns="">
        <xdr:pic>
          <xdr:nvPicPr>
            <xdr:cNvPr id="7" name="Entrada de lápiz 6">
              <a:extLst>
                <a:ext uri="{FF2B5EF4-FFF2-40B4-BE49-F238E27FC236}">
                  <a16:creationId xmlns:a16="http://schemas.microsoft.com/office/drawing/2014/main" id="{96560080-0EC9-B9E5-BB7C-38CB414A40E6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50778960" y="14918928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19</xdr:col>
      <xdr:colOff>0</xdr:colOff>
      <xdr:row>23</xdr:row>
      <xdr:rowOff>364132</xdr:rowOff>
    </xdr:from>
    <xdr:to>
      <xdr:col>19</xdr:col>
      <xdr:colOff>0</xdr:colOff>
      <xdr:row>24</xdr:row>
      <xdr:rowOff>9807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9">
          <xdr14:nvContentPartPr>
            <xdr14:cNvPr id="8" name="Entrada de lápiz 7">
              <a:extLst>
                <a:ext uri="{FF2B5EF4-FFF2-40B4-BE49-F238E27FC236}">
                  <a16:creationId xmlns:a16="http://schemas.microsoft.com/office/drawing/2014/main" xmlns="" id="{A1F92FCD-61FD-DD0B-0AC8-8C757DE0CEE3}"/>
                </a:ext>
              </a:extLst>
            </xdr14:cNvPr>
            <xdr14:cNvContentPartPr/>
          </xdr14:nvContentPartPr>
          <xdr14:nvPr macro=""/>
          <xdr14:xfrm>
            <a:off x="43605960" y="15470448"/>
            <a:ext cx="2520" cy="10800"/>
          </xdr14:xfrm>
        </xdr:contentPart>
      </mc:Choice>
      <mc:Fallback xmlns="">
        <xdr:pic>
          <xdr:nvPicPr>
            <xdr:cNvPr id="8" name="Entrada de lápiz 7">
              <a:extLst>
                <a:ext uri="{FF2B5EF4-FFF2-40B4-BE49-F238E27FC236}">
                  <a16:creationId xmlns:a16="http://schemas.microsoft.com/office/drawing/2014/main" id="{A1F92FCD-61FD-DD0B-0AC8-8C757DE0CEE3}"/>
                </a:ext>
              </a:extLst>
            </xdr:cNvPr>
            <xdr:cNvPicPr/>
          </xdr:nvPicPr>
          <xdr:blipFill>
            <a:blip xmlns:r="http://schemas.openxmlformats.org/officeDocument/2006/relationships" r:embed="rId10"/>
            <a:stretch>
              <a:fillRect/>
            </a:stretch>
          </xdr:blipFill>
          <xdr:spPr>
            <a:xfrm>
              <a:off x="43597320" y="15461448"/>
              <a:ext cx="20160" cy="2844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20</xdr:col>
      <xdr:colOff>1464120</xdr:colOff>
      <xdr:row>20</xdr:row>
      <xdr:rowOff>101383</xdr:rowOff>
    </xdr:from>
    <xdr:to>
      <xdr:col>32</xdr:col>
      <xdr:colOff>269640</xdr:colOff>
      <xdr:row>22</xdr:row>
      <xdr:rowOff>143969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1">
          <xdr14:nvContentPartPr>
            <xdr14:cNvPr id="9" name="Entrada de lápiz 8">
              <a:extLst>
                <a:ext uri="{FF2B5EF4-FFF2-40B4-BE49-F238E27FC236}">
                  <a16:creationId xmlns:a16="http://schemas.microsoft.com/office/drawing/2014/main" xmlns="" id="{25F89BCF-A375-C252-A092-B784BD246BA8}"/>
                </a:ext>
              </a:extLst>
            </xdr14:cNvPr>
            <xdr14:cNvContentPartPr/>
          </xdr14:nvContentPartPr>
          <xdr14:nvPr macro=""/>
          <xdr14:xfrm>
            <a:off x="43374120" y="13603488"/>
            <a:ext cx="269640" cy="1429560"/>
          </xdr14:xfrm>
        </xdr:contentPart>
      </mc:Choice>
      <mc:Fallback xmlns="">
        <xdr:pic>
          <xdr:nvPicPr>
            <xdr:cNvPr id="9" name="Entrada de lápiz 8">
              <a:extLst>
                <a:ext uri="{FF2B5EF4-FFF2-40B4-BE49-F238E27FC236}">
                  <a16:creationId xmlns:a16="http://schemas.microsoft.com/office/drawing/2014/main" id="{25F89BCF-A375-C252-A092-B784BD246BA8}"/>
                </a:ext>
              </a:extLst>
            </xdr:cNvPr>
            <xdr:cNvPicPr/>
          </xdr:nvPicPr>
          <xdr:blipFill>
            <a:blip xmlns:r="http://schemas.openxmlformats.org/officeDocument/2006/relationships" r:embed="rId12"/>
            <a:stretch>
              <a:fillRect/>
            </a:stretch>
          </xdr:blipFill>
          <xdr:spPr>
            <a:xfrm>
              <a:off x="43365480" y="13594848"/>
              <a:ext cx="287280" cy="14472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19</xdr:col>
      <xdr:colOff>0</xdr:colOff>
      <xdr:row>19</xdr:row>
      <xdr:rowOff>246960</xdr:rowOff>
    </xdr:from>
    <xdr:to>
      <xdr:col>19</xdr:col>
      <xdr:colOff>0</xdr:colOff>
      <xdr:row>19</xdr:row>
      <xdr:rowOff>247320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3">
          <xdr14:nvContentPartPr>
            <xdr14:cNvPr id="10" name="Entrada de lápiz 9">
              <a:extLst>
                <a:ext uri="{FF2B5EF4-FFF2-40B4-BE49-F238E27FC236}">
                  <a16:creationId xmlns:a16="http://schemas.microsoft.com/office/drawing/2014/main" xmlns="" id="{4886B272-4E22-439C-A5EB-2C72DB141D4C}"/>
                </a:ext>
              </a:extLst>
            </xdr14:cNvPr>
            <xdr14:cNvContentPartPr/>
          </xdr14:nvContentPartPr>
          <xdr14:nvPr macro=""/>
          <xdr14:xfrm>
            <a:off x="43296720" y="13214328"/>
            <a:ext cx="360" cy="360"/>
          </xdr14:xfrm>
        </xdr:contentPart>
      </mc:Choice>
      <mc:Fallback xmlns="">
        <xdr:pic>
          <xdr:nvPicPr>
            <xdr:cNvPr id="10" name="Entrada de lápiz 9">
              <a:extLst>
                <a:ext uri="{FF2B5EF4-FFF2-40B4-BE49-F238E27FC236}">
                  <a16:creationId xmlns:a16="http://schemas.microsoft.com/office/drawing/2014/main" id="{4886B272-4E22-439C-A5EB-2C72DB141D4C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43288080" y="13205328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19</xdr:col>
      <xdr:colOff>0</xdr:colOff>
      <xdr:row>19</xdr:row>
      <xdr:rowOff>30910</xdr:rowOff>
    </xdr:from>
    <xdr:to>
      <xdr:col>19</xdr:col>
      <xdr:colOff>0</xdr:colOff>
      <xdr:row>19</xdr:row>
      <xdr:rowOff>31270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4">
          <xdr14:nvContentPartPr>
            <xdr14:cNvPr id="11" name="Entrada de lápiz 10">
              <a:extLst>
                <a:ext uri="{FF2B5EF4-FFF2-40B4-BE49-F238E27FC236}">
                  <a16:creationId xmlns:a16="http://schemas.microsoft.com/office/drawing/2014/main" xmlns="" id="{BB834520-749E-DFB2-63A5-E831AE3CB04F}"/>
                </a:ext>
              </a:extLst>
            </xdr14:cNvPr>
            <xdr14:cNvContentPartPr/>
          </xdr14:nvContentPartPr>
          <xdr14:nvPr macro=""/>
          <xdr14:xfrm>
            <a:off x="44202840" y="12998278"/>
            <a:ext cx="360" cy="360"/>
          </xdr14:xfrm>
        </xdr:contentPart>
      </mc:Choice>
      <mc:Fallback xmlns="">
        <xdr:pic>
          <xdr:nvPicPr>
            <xdr:cNvPr id="11" name="Entrada de lápiz 10">
              <a:extLst>
                <a:ext uri="{FF2B5EF4-FFF2-40B4-BE49-F238E27FC236}">
                  <a16:creationId xmlns:a16="http://schemas.microsoft.com/office/drawing/2014/main" id="{BB834520-749E-DFB2-63A5-E831AE3CB04F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44193840" y="12989638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21</xdr:col>
      <xdr:colOff>1383648</xdr:colOff>
      <xdr:row>55</xdr:row>
      <xdr:rowOff>14350</xdr:rowOff>
    </xdr:from>
    <xdr:to>
      <xdr:col>32</xdr:col>
      <xdr:colOff>946145</xdr:colOff>
      <xdr:row>55</xdr:row>
      <xdr:rowOff>14710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5">
          <xdr14:nvContentPartPr>
            <xdr14:cNvPr id="12" name="Entrada de lápiz 11">
              <a:extLst>
                <a:ext uri="{FF2B5EF4-FFF2-40B4-BE49-F238E27FC236}">
                  <a16:creationId xmlns:a16="http://schemas.microsoft.com/office/drawing/2014/main" xmlns="" id="{11C68D55-DE5A-8A3D-3FF0-30FC7DFFB50A}"/>
                </a:ext>
              </a:extLst>
            </xdr14:cNvPr>
            <xdr14:cNvContentPartPr/>
          </xdr14:nvContentPartPr>
          <xdr14:nvPr macro=""/>
          <xdr14:xfrm>
            <a:off x="46858560" y="35228999"/>
            <a:ext cx="949320" cy="360"/>
          </xdr14:xfrm>
        </xdr:contentPart>
      </mc:Choice>
      <mc:Fallback xmlns="">
        <xdr:pic>
          <xdr:nvPicPr>
            <xdr:cNvPr id="12" name="Entrada de lápiz 11">
              <a:extLst>
                <a:ext uri="{FF2B5EF4-FFF2-40B4-BE49-F238E27FC236}">
                  <a16:creationId xmlns:a16="http://schemas.microsoft.com/office/drawing/2014/main" id="{11C68D55-DE5A-8A3D-3FF0-30FC7DFFB50A}"/>
                </a:ext>
              </a:extLst>
            </xdr:cNvPr>
            <xdr:cNvPicPr/>
          </xdr:nvPicPr>
          <xdr:blipFill>
            <a:blip xmlns:r="http://schemas.openxmlformats.org/officeDocument/2006/relationships" r:embed="rId16"/>
            <a:stretch>
              <a:fillRect/>
            </a:stretch>
          </xdr:blipFill>
          <xdr:spPr>
            <a:xfrm>
              <a:off x="46849920" y="35220359"/>
              <a:ext cx="96696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9</xdr:col>
      <xdr:colOff>1104840</xdr:colOff>
      <xdr:row>24</xdr:row>
      <xdr:rowOff>54035</xdr:rowOff>
    </xdr:from>
    <xdr:to>
      <xdr:col>9</xdr:col>
      <xdr:colOff>1104840</xdr:colOff>
      <xdr:row>24</xdr:row>
      <xdr:rowOff>54395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7">
          <xdr14:nvContentPartPr>
            <xdr14:cNvPr id="13" name="Entrada de lápiz 12">
              <a:extLst>
                <a:ext uri="{FF2B5EF4-FFF2-40B4-BE49-F238E27FC236}">
                  <a16:creationId xmlns:a16="http://schemas.microsoft.com/office/drawing/2014/main" xmlns="" id="{8252BBE3-8DAB-01F9-478B-1E62686EC29D}"/>
                </a:ext>
              </a:extLst>
            </xdr14:cNvPr>
            <xdr14:cNvContentPartPr/>
          </xdr14:nvContentPartPr>
          <xdr14:nvPr macro=""/>
          <xdr14:xfrm>
            <a:off x="16233436" y="15695088"/>
            <a:ext cx="360" cy="360"/>
          </xdr14:xfrm>
        </xdr:contentPart>
      </mc:Choice>
      <mc:Fallback xmlns="">
        <xdr:pic>
          <xdr:nvPicPr>
            <xdr:cNvPr id="13" name="Entrada de lápiz 12">
              <a:extLst>
                <a:ext uri="{FF2B5EF4-FFF2-40B4-BE49-F238E27FC236}">
                  <a16:creationId xmlns:a16="http://schemas.microsoft.com/office/drawing/2014/main" id="{8252BBE3-8DAB-01F9-478B-1E62686EC29D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16224796" y="15686088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9</xdr:col>
      <xdr:colOff>1126440</xdr:colOff>
      <xdr:row>27</xdr:row>
      <xdr:rowOff>215006</xdr:rowOff>
    </xdr:from>
    <xdr:to>
      <xdr:col>9</xdr:col>
      <xdr:colOff>1126440</xdr:colOff>
      <xdr:row>29</xdr:row>
      <xdr:rowOff>255412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8">
          <xdr14:nvContentPartPr>
            <xdr14:cNvPr id="14" name="Entrada de lápiz 13">
              <a:extLst>
                <a:ext uri="{FF2B5EF4-FFF2-40B4-BE49-F238E27FC236}">
                  <a16:creationId xmlns:a16="http://schemas.microsoft.com/office/drawing/2014/main" xmlns="" id="{676DB00D-EE3B-4BEB-51C5-0A129912E1EF}"/>
                </a:ext>
              </a:extLst>
            </xdr14:cNvPr>
            <xdr14:cNvContentPartPr/>
          </xdr14:nvContentPartPr>
          <xdr14:nvPr macro=""/>
          <xdr14:xfrm>
            <a:off x="16255036" y="17460269"/>
            <a:ext cx="2520" cy="1109880"/>
          </xdr14:xfrm>
        </xdr:contentPart>
      </mc:Choice>
      <mc:Fallback xmlns="">
        <xdr:pic>
          <xdr:nvPicPr>
            <xdr:cNvPr id="14" name="Entrada de lápiz 13">
              <a:extLst>
                <a:ext uri="{FF2B5EF4-FFF2-40B4-BE49-F238E27FC236}">
                  <a16:creationId xmlns:a16="http://schemas.microsoft.com/office/drawing/2014/main" id="{676DB00D-EE3B-4BEB-51C5-0A129912E1EF}"/>
                </a:ext>
              </a:extLst>
            </xdr:cNvPr>
            <xdr:cNvPicPr/>
          </xdr:nvPicPr>
          <xdr:blipFill>
            <a:blip xmlns:r="http://schemas.openxmlformats.org/officeDocument/2006/relationships" r:embed="rId19"/>
            <a:stretch>
              <a:fillRect/>
            </a:stretch>
          </xdr:blipFill>
          <xdr:spPr>
            <a:xfrm>
              <a:off x="16246396" y="17451269"/>
              <a:ext cx="20160" cy="112752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17</xdr:col>
      <xdr:colOff>341064</xdr:colOff>
      <xdr:row>2</xdr:row>
      <xdr:rowOff>3791</xdr:rowOff>
    </xdr:from>
    <xdr:to>
      <xdr:col>17</xdr:col>
      <xdr:colOff>384984</xdr:colOff>
      <xdr:row>2</xdr:row>
      <xdr:rowOff>76871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0">
          <xdr14:nvContentPartPr>
            <xdr14:cNvPr id="15" name="Entrada de lápiz 14">
              <a:extLst>
                <a:ext uri="{FF2B5EF4-FFF2-40B4-BE49-F238E27FC236}">
                  <a16:creationId xmlns:a16="http://schemas.microsoft.com/office/drawing/2014/main" xmlns="" id="{2F512C46-C77E-46A9-C7F2-DC38C557BB42}"/>
                </a:ext>
              </a:extLst>
            </xdr14:cNvPr>
            <xdr14:cNvContentPartPr/>
          </xdr14:nvContentPartPr>
          <xdr14:nvPr macro=""/>
          <xdr14:xfrm>
            <a:off x="33851239" y="2599493"/>
            <a:ext cx="43920" cy="73080"/>
          </xdr14:xfrm>
        </xdr:contentPart>
      </mc:Choice>
      <mc:Fallback xmlns="">
        <xdr:pic>
          <xdr:nvPicPr>
            <xdr:cNvPr id="21" name="Entrada de lápiz 20">
              <a:extLst>
                <a:ext uri="{FF2B5EF4-FFF2-40B4-BE49-F238E27FC236}">
                  <a16:creationId xmlns:a16="http://schemas.microsoft.com/office/drawing/2014/main" id="{2F512C46-C77E-46A9-C7F2-DC38C557BB42}"/>
                </a:ext>
              </a:extLst>
            </xdr:cNvPr>
            <xdr:cNvPicPr/>
          </xdr:nvPicPr>
          <xdr:blipFill>
            <a:blip xmlns:r="http://schemas.openxmlformats.org/officeDocument/2006/relationships" r:embed="rId28"/>
            <a:stretch>
              <a:fillRect/>
            </a:stretch>
          </xdr:blipFill>
          <xdr:spPr>
            <a:xfrm>
              <a:off x="33842239" y="2590853"/>
              <a:ext cx="61560" cy="9072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18</xdr:col>
      <xdr:colOff>1432612</xdr:colOff>
      <xdr:row>0</xdr:row>
      <xdr:rowOff>1328040</xdr:rowOff>
    </xdr:from>
    <xdr:to>
      <xdr:col>18</xdr:col>
      <xdr:colOff>1432612</xdr:colOff>
      <xdr:row>1</xdr:row>
      <xdr:rowOff>27105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29">
          <xdr14:nvContentPartPr>
            <xdr14:cNvPr id="16" name="Entrada de lápiz 15">
              <a:extLst>
                <a:ext uri="{FF2B5EF4-FFF2-40B4-BE49-F238E27FC236}">
                  <a16:creationId xmlns:a16="http://schemas.microsoft.com/office/drawing/2014/main" xmlns="" id="{C4FF0F37-783B-7C13-544C-E6DAD2EBE1E3}"/>
                </a:ext>
              </a:extLst>
            </xdr14:cNvPr>
            <xdr14:cNvContentPartPr/>
          </xdr14:nvContentPartPr>
          <xdr14:nvPr macro=""/>
          <xdr14:xfrm>
            <a:off x="37204279" y="1328040"/>
            <a:ext cx="4680" cy="23040"/>
          </xdr14:xfrm>
        </xdr:contentPart>
      </mc:Choice>
      <mc:Fallback xmlns="">
        <xdr:pic>
          <xdr:nvPicPr>
            <xdr:cNvPr id="22" name="Entrada de lápiz 21">
              <a:extLst>
                <a:ext uri="{FF2B5EF4-FFF2-40B4-BE49-F238E27FC236}">
                  <a16:creationId xmlns:a16="http://schemas.microsoft.com/office/drawing/2014/main" id="{C4FF0F37-783B-7C13-544C-E6DAD2EBE1E3}"/>
                </a:ext>
              </a:extLst>
            </xdr:cNvPr>
            <xdr:cNvPicPr/>
          </xdr:nvPicPr>
          <xdr:blipFill>
            <a:blip xmlns:r="http://schemas.openxmlformats.org/officeDocument/2006/relationships" r:embed="rId30"/>
            <a:stretch>
              <a:fillRect/>
            </a:stretch>
          </xdr:blipFill>
          <xdr:spPr>
            <a:xfrm>
              <a:off x="37195279" y="1319400"/>
              <a:ext cx="22320" cy="4068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0</xdr:colOff>
      <xdr:row>22</xdr:row>
      <xdr:rowOff>421373</xdr:rowOff>
    </xdr:from>
    <xdr:to>
      <xdr:col>22</xdr:col>
      <xdr:colOff>0</xdr:colOff>
      <xdr:row>22</xdr:row>
      <xdr:rowOff>437608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Entrada de lápiz 1">
              <a:extLst>
                <a:ext uri="{FF2B5EF4-FFF2-40B4-BE49-F238E27FC236}">
                  <a16:creationId xmlns:a16="http://schemas.microsoft.com/office/drawing/2014/main" xmlns="" id="{93B7B9FD-61FF-FE43-88F2-952924109869}"/>
                </a:ext>
              </a:extLst>
            </xdr14:cNvPr>
            <xdr14:cNvContentPartPr/>
          </xdr14:nvContentPartPr>
          <xdr14:nvPr macro=""/>
          <xdr14:xfrm>
            <a:off x="44723427" y="13923478"/>
            <a:ext cx="360" cy="360"/>
          </xdr14:xfrm>
        </xdr:contentPart>
      </mc:Choice>
      <mc:Fallback xmlns="">
        <xdr:pic>
          <xdr:nvPicPr>
            <xdr:cNvPr id="2" name="Entrada de lápiz 1">
              <a:extLst>
                <a:ext uri="{FF2B5EF4-FFF2-40B4-BE49-F238E27FC236}">
                  <a16:creationId xmlns:a16="http://schemas.microsoft.com/office/drawing/2014/main" id="{F5D26B48-BB7C-9A8C-517E-3240C4203782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44714427" y="13914838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22</xdr:col>
      <xdr:colOff>1756005</xdr:colOff>
      <xdr:row>23</xdr:row>
      <xdr:rowOff>57636</xdr:rowOff>
    </xdr:from>
    <xdr:to>
      <xdr:col>22</xdr:col>
      <xdr:colOff>1963385</xdr:colOff>
      <xdr:row>23</xdr:row>
      <xdr:rowOff>150516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3" name="Entrada de lápiz 2">
              <a:extLst>
                <a:ext uri="{FF2B5EF4-FFF2-40B4-BE49-F238E27FC236}">
                  <a16:creationId xmlns:a16="http://schemas.microsoft.com/office/drawing/2014/main" xmlns="" id="{E7F3BFBA-3B71-314D-BED5-E5A4032E94F1}"/>
                </a:ext>
              </a:extLst>
            </xdr14:cNvPr>
            <xdr14:cNvContentPartPr/>
          </xdr14:nvContentPartPr>
          <xdr14:nvPr macro=""/>
          <xdr14:xfrm>
            <a:off x="39933987" y="14094478"/>
            <a:ext cx="476640" cy="92880"/>
          </xdr14:xfrm>
        </xdr:contentPart>
      </mc:Choice>
      <mc:Fallback xmlns="">
        <xdr:pic>
          <xdr:nvPicPr>
            <xdr:cNvPr id="3" name="Entrada de lápiz 2">
              <a:extLst>
                <a:ext uri="{FF2B5EF4-FFF2-40B4-BE49-F238E27FC236}">
                  <a16:creationId xmlns:a16="http://schemas.microsoft.com/office/drawing/2014/main" id="{BA9B27E6-AE19-D30E-2EA4-34D22F1CEBF5}"/>
                </a:ext>
              </a:extLst>
            </xdr:cNvPr>
            <xdr:cNvPicPr/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39925347" y="14085478"/>
              <a:ext cx="494280" cy="11052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23</xdr:col>
      <xdr:colOff>3460707</xdr:colOff>
      <xdr:row>22</xdr:row>
      <xdr:rowOff>22493</xdr:rowOff>
    </xdr:from>
    <xdr:to>
      <xdr:col>24</xdr:col>
      <xdr:colOff>129155</xdr:colOff>
      <xdr:row>22</xdr:row>
      <xdr:rowOff>22493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">
          <xdr14:nvContentPartPr>
            <xdr14:cNvPr id="4" name="Entrada de lápiz 3">
              <a:extLst>
                <a:ext uri="{FF2B5EF4-FFF2-40B4-BE49-F238E27FC236}">
                  <a16:creationId xmlns:a16="http://schemas.microsoft.com/office/drawing/2014/main" xmlns="" id="{141AE12B-986E-4E4C-A071-7C19F1911154}"/>
                </a:ext>
              </a:extLst>
            </xdr14:cNvPr>
            <xdr14:cNvContentPartPr/>
          </xdr14:nvContentPartPr>
          <xdr14:nvPr macro=""/>
          <xdr14:xfrm>
            <a:off x="45370707" y="13524598"/>
            <a:ext cx="360" cy="360"/>
          </xdr14:xfrm>
        </xdr:contentPart>
      </mc:Choice>
      <mc:Fallback xmlns="">
        <xdr:pic>
          <xdr:nvPicPr>
            <xdr:cNvPr id="4" name="Entrada de lápiz 3">
              <a:extLst>
                <a:ext uri="{FF2B5EF4-FFF2-40B4-BE49-F238E27FC236}">
                  <a16:creationId xmlns:a16="http://schemas.microsoft.com/office/drawing/2014/main" id="{C3AAC36C-A64E-7E9E-EDF0-CCBB144F4D85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45361707" y="13515598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22</xdr:col>
      <xdr:colOff>0</xdr:colOff>
      <xdr:row>22</xdr:row>
      <xdr:rowOff>110333</xdr:rowOff>
    </xdr:from>
    <xdr:to>
      <xdr:col>22</xdr:col>
      <xdr:colOff>0</xdr:colOff>
      <xdr:row>22</xdr:row>
      <xdr:rowOff>110333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6">
          <xdr14:nvContentPartPr>
            <xdr14:cNvPr id="5" name="Entrada de lápiz 4">
              <a:extLst>
                <a:ext uri="{FF2B5EF4-FFF2-40B4-BE49-F238E27FC236}">
                  <a16:creationId xmlns:a16="http://schemas.microsoft.com/office/drawing/2014/main" xmlns="" id="{A70786F1-BA44-B44F-9F2C-1BD06A5F406C}"/>
                </a:ext>
              </a:extLst>
            </xdr14:cNvPr>
            <xdr14:cNvContentPartPr/>
          </xdr14:nvContentPartPr>
          <xdr14:nvPr macro=""/>
          <xdr14:xfrm>
            <a:off x="44479707" y="13612438"/>
            <a:ext cx="360" cy="360"/>
          </xdr14:xfrm>
        </xdr:contentPart>
      </mc:Choice>
      <mc:Fallback xmlns="">
        <xdr:pic>
          <xdr:nvPicPr>
            <xdr:cNvPr id="5" name="Entrada de lápiz 4">
              <a:extLst>
                <a:ext uri="{FF2B5EF4-FFF2-40B4-BE49-F238E27FC236}">
                  <a16:creationId xmlns:a16="http://schemas.microsoft.com/office/drawing/2014/main" id="{C401E7A2-ADDA-708C-B93A-9ADB07BE41E7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44471067" y="13603438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22</xdr:col>
      <xdr:colOff>0</xdr:colOff>
      <xdr:row>20</xdr:row>
      <xdr:rowOff>485726</xdr:rowOff>
    </xdr:from>
    <xdr:to>
      <xdr:col>22</xdr:col>
      <xdr:colOff>0</xdr:colOff>
      <xdr:row>20</xdr:row>
      <xdr:rowOff>559111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7">
          <xdr14:nvContentPartPr>
            <xdr14:cNvPr id="6" name="Entrada de lápiz 5">
              <a:extLst>
                <a:ext uri="{FF2B5EF4-FFF2-40B4-BE49-F238E27FC236}">
                  <a16:creationId xmlns:a16="http://schemas.microsoft.com/office/drawing/2014/main" xmlns="" id="{B74FD894-B3AC-5542-8DE9-80A50B9F903A}"/>
                </a:ext>
              </a:extLst>
            </xdr14:cNvPr>
            <xdr14:cNvContentPartPr/>
          </xdr14:nvContentPartPr>
          <xdr14:nvPr macro=""/>
          <xdr14:xfrm>
            <a:off x="55462663" y="12918358"/>
            <a:ext cx="360" cy="360"/>
          </xdr14:xfrm>
        </xdr:contentPart>
      </mc:Choice>
      <mc:Fallback xmlns="">
        <xdr:pic>
          <xdr:nvPicPr>
            <xdr:cNvPr id="6" name="Entrada de lápiz 5">
              <a:extLst>
                <a:ext uri="{FF2B5EF4-FFF2-40B4-BE49-F238E27FC236}">
                  <a16:creationId xmlns:a16="http://schemas.microsoft.com/office/drawing/2014/main" id="{001CE357-74F7-B62F-6088-277111ABB223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55454023" y="12909358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22</xdr:col>
      <xdr:colOff>0</xdr:colOff>
      <xdr:row>24</xdr:row>
      <xdr:rowOff>356349</xdr:rowOff>
    </xdr:from>
    <xdr:to>
      <xdr:col>22</xdr:col>
      <xdr:colOff>0</xdr:colOff>
      <xdr:row>24</xdr:row>
      <xdr:rowOff>356349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8">
          <xdr14:nvContentPartPr>
            <xdr14:cNvPr id="7" name="Entrada de lápiz 6">
              <a:extLst>
                <a:ext uri="{FF2B5EF4-FFF2-40B4-BE49-F238E27FC236}">
                  <a16:creationId xmlns:a16="http://schemas.microsoft.com/office/drawing/2014/main" xmlns="" id="{F8CDFC36-41D4-F845-A88B-C41A29017C20}"/>
                </a:ext>
              </a:extLst>
            </xdr14:cNvPr>
            <xdr14:cNvContentPartPr/>
          </xdr14:nvContentPartPr>
          <xdr14:nvPr macro=""/>
          <xdr14:xfrm>
            <a:off x="50787600" y="14927928"/>
            <a:ext cx="360" cy="360"/>
          </xdr14:xfrm>
        </xdr:contentPart>
      </mc:Choice>
      <mc:Fallback xmlns="">
        <xdr:pic>
          <xdr:nvPicPr>
            <xdr:cNvPr id="7" name="Entrada de lápiz 6">
              <a:extLst>
                <a:ext uri="{FF2B5EF4-FFF2-40B4-BE49-F238E27FC236}">
                  <a16:creationId xmlns:a16="http://schemas.microsoft.com/office/drawing/2014/main" id="{96560080-0EC9-B9E5-BB7C-38CB414A40E6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50778960" y="14918928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22</xdr:col>
      <xdr:colOff>0</xdr:colOff>
      <xdr:row>25</xdr:row>
      <xdr:rowOff>364132</xdr:rowOff>
    </xdr:from>
    <xdr:to>
      <xdr:col>22</xdr:col>
      <xdr:colOff>0</xdr:colOff>
      <xdr:row>25</xdr:row>
      <xdr:rowOff>757773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9">
          <xdr14:nvContentPartPr>
            <xdr14:cNvPr id="8" name="Entrada de lápiz 7">
              <a:extLst>
                <a:ext uri="{FF2B5EF4-FFF2-40B4-BE49-F238E27FC236}">
                  <a16:creationId xmlns:a16="http://schemas.microsoft.com/office/drawing/2014/main" xmlns="" id="{1C7608CA-44DD-A048-9582-4F434255CDC3}"/>
                </a:ext>
              </a:extLst>
            </xdr14:cNvPr>
            <xdr14:cNvContentPartPr/>
          </xdr14:nvContentPartPr>
          <xdr14:nvPr macro=""/>
          <xdr14:xfrm>
            <a:off x="43605960" y="15470448"/>
            <a:ext cx="2520" cy="10800"/>
          </xdr14:xfrm>
        </xdr:contentPart>
      </mc:Choice>
      <mc:Fallback xmlns="">
        <xdr:pic>
          <xdr:nvPicPr>
            <xdr:cNvPr id="8" name="Entrada de lápiz 7">
              <a:extLst>
                <a:ext uri="{FF2B5EF4-FFF2-40B4-BE49-F238E27FC236}">
                  <a16:creationId xmlns:a16="http://schemas.microsoft.com/office/drawing/2014/main" id="{A1F92FCD-61FD-DD0B-0AC8-8C757DE0CEE3}"/>
                </a:ext>
              </a:extLst>
            </xdr:cNvPr>
            <xdr:cNvPicPr/>
          </xdr:nvPicPr>
          <xdr:blipFill>
            <a:blip xmlns:r="http://schemas.openxmlformats.org/officeDocument/2006/relationships" r:embed="rId10"/>
            <a:stretch>
              <a:fillRect/>
            </a:stretch>
          </xdr:blipFill>
          <xdr:spPr>
            <a:xfrm>
              <a:off x="43597320" y="15461448"/>
              <a:ext cx="20160" cy="2844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23</xdr:col>
      <xdr:colOff>1464120</xdr:colOff>
      <xdr:row>22</xdr:row>
      <xdr:rowOff>101383</xdr:rowOff>
    </xdr:from>
    <xdr:to>
      <xdr:col>23</xdr:col>
      <xdr:colOff>1733760</xdr:colOff>
      <xdr:row>24</xdr:row>
      <xdr:rowOff>143969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1">
          <xdr14:nvContentPartPr>
            <xdr14:cNvPr id="9" name="Entrada de lápiz 8">
              <a:extLst>
                <a:ext uri="{FF2B5EF4-FFF2-40B4-BE49-F238E27FC236}">
                  <a16:creationId xmlns:a16="http://schemas.microsoft.com/office/drawing/2014/main" xmlns="" id="{E0B57167-2F11-1E47-9481-C5EEAA694B5C}"/>
                </a:ext>
              </a:extLst>
            </xdr14:cNvPr>
            <xdr14:cNvContentPartPr/>
          </xdr14:nvContentPartPr>
          <xdr14:nvPr macro=""/>
          <xdr14:xfrm>
            <a:off x="43374120" y="13603488"/>
            <a:ext cx="269640" cy="1429560"/>
          </xdr14:xfrm>
        </xdr:contentPart>
      </mc:Choice>
      <mc:Fallback xmlns="">
        <xdr:pic>
          <xdr:nvPicPr>
            <xdr:cNvPr id="9" name="Entrada de lápiz 8">
              <a:extLst>
                <a:ext uri="{FF2B5EF4-FFF2-40B4-BE49-F238E27FC236}">
                  <a16:creationId xmlns:a16="http://schemas.microsoft.com/office/drawing/2014/main" id="{25F89BCF-A375-C252-A092-B784BD246BA8}"/>
                </a:ext>
              </a:extLst>
            </xdr:cNvPr>
            <xdr:cNvPicPr/>
          </xdr:nvPicPr>
          <xdr:blipFill>
            <a:blip xmlns:r="http://schemas.openxmlformats.org/officeDocument/2006/relationships" r:embed="rId12"/>
            <a:stretch>
              <a:fillRect/>
            </a:stretch>
          </xdr:blipFill>
          <xdr:spPr>
            <a:xfrm>
              <a:off x="43365480" y="13594848"/>
              <a:ext cx="287280" cy="14472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22</xdr:col>
      <xdr:colOff>0</xdr:colOff>
      <xdr:row>21</xdr:row>
      <xdr:rowOff>246960</xdr:rowOff>
    </xdr:from>
    <xdr:to>
      <xdr:col>22</xdr:col>
      <xdr:colOff>0</xdr:colOff>
      <xdr:row>21</xdr:row>
      <xdr:rowOff>246960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3">
          <xdr14:nvContentPartPr>
            <xdr14:cNvPr id="10" name="Entrada de lápiz 9">
              <a:extLst>
                <a:ext uri="{FF2B5EF4-FFF2-40B4-BE49-F238E27FC236}">
                  <a16:creationId xmlns:a16="http://schemas.microsoft.com/office/drawing/2014/main" xmlns="" id="{CD787896-FD28-B844-9E11-D7D54F4FC2CA}"/>
                </a:ext>
              </a:extLst>
            </xdr14:cNvPr>
            <xdr14:cNvContentPartPr/>
          </xdr14:nvContentPartPr>
          <xdr14:nvPr macro=""/>
          <xdr14:xfrm>
            <a:off x="43296720" y="13214328"/>
            <a:ext cx="360" cy="360"/>
          </xdr14:xfrm>
        </xdr:contentPart>
      </mc:Choice>
      <mc:Fallback xmlns="">
        <xdr:pic>
          <xdr:nvPicPr>
            <xdr:cNvPr id="10" name="Entrada de lápiz 9">
              <a:extLst>
                <a:ext uri="{FF2B5EF4-FFF2-40B4-BE49-F238E27FC236}">
                  <a16:creationId xmlns:a16="http://schemas.microsoft.com/office/drawing/2014/main" id="{4886B272-4E22-439C-A5EB-2C72DB141D4C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43288080" y="13205328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22</xdr:col>
      <xdr:colOff>0</xdr:colOff>
      <xdr:row>21</xdr:row>
      <xdr:rowOff>30910</xdr:rowOff>
    </xdr:from>
    <xdr:to>
      <xdr:col>22</xdr:col>
      <xdr:colOff>0</xdr:colOff>
      <xdr:row>21</xdr:row>
      <xdr:rowOff>30910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4">
          <xdr14:nvContentPartPr>
            <xdr14:cNvPr id="11" name="Entrada de lápiz 10">
              <a:extLst>
                <a:ext uri="{FF2B5EF4-FFF2-40B4-BE49-F238E27FC236}">
                  <a16:creationId xmlns:a16="http://schemas.microsoft.com/office/drawing/2014/main" xmlns="" id="{33C6A74D-B6D8-2540-BE9D-2186A9D6263C}"/>
                </a:ext>
              </a:extLst>
            </xdr14:cNvPr>
            <xdr14:cNvContentPartPr/>
          </xdr14:nvContentPartPr>
          <xdr14:nvPr macro=""/>
          <xdr14:xfrm>
            <a:off x="44202840" y="12998278"/>
            <a:ext cx="360" cy="360"/>
          </xdr14:xfrm>
        </xdr:contentPart>
      </mc:Choice>
      <mc:Fallback xmlns="">
        <xdr:pic>
          <xdr:nvPicPr>
            <xdr:cNvPr id="11" name="Entrada de lápiz 10">
              <a:extLst>
                <a:ext uri="{FF2B5EF4-FFF2-40B4-BE49-F238E27FC236}">
                  <a16:creationId xmlns:a16="http://schemas.microsoft.com/office/drawing/2014/main" id="{BB834520-749E-DFB2-63A5-E831AE3CB04F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44193840" y="12989638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9</xdr:col>
      <xdr:colOff>1104840</xdr:colOff>
      <xdr:row>26</xdr:row>
      <xdr:rowOff>54035</xdr:rowOff>
    </xdr:from>
    <xdr:to>
      <xdr:col>9</xdr:col>
      <xdr:colOff>1104840</xdr:colOff>
      <xdr:row>26</xdr:row>
      <xdr:rowOff>54035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5">
          <xdr14:nvContentPartPr>
            <xdr14:cNvPr id="13" name="Entrada de lápiz 12">
              <a:extLst>
                <a:ext uri="{FF2B5EF4-FFF2-40B4-BE49-F238E27FC236}">
                  <a16:creationId xmlns:a16="http://schemas.microsoft.com/office/drawing/2014/main" xmlns="" id="{8741C7F6-B827-E54E-8534-B6C0BB79EDBE}"/>
                </a:ext>
              </a:extLst>
            </xdr14:cNvPr>
            <xdr14:cNvContentPartPr/>
          </xdr14:nvContentPartPr>
          <xdr14:nvPr macro=""/>
          <xdr14:xfrm>
            <a:off x="16233436" y="15695088"/>
            <a:ext cx="360" cy="360"/>
          </xdr14:xfrm>
        </xdr:contentPart>
      </mc:Choice>
      <mc:Fallback xmlns="">
        <xdr:pic>
          <xdr:nvPicPr>
            <xdr:cNvPr id="13" name="Entrada de lápiz 12">
              <a:extLst>
                <a:ext uri="{FF2B5EF4-FFF2-40B4-BE49-F238E27FC236}">
                  <a16:creationId xmlns:a16="http://schemas.microsoft.com/office/drawing/2014/main" id="{8252BBE3-8DAB-01F9-478B-1E62686EC29D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16224796" y="15686088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oneCellAnchor>
    <xdr:from>
      <xdr:col>29</xdr:col>
      <xdr:colOff>1464120</xdr:colOff>
      <xdr:row>22</xdr:row>
      <xdr:rowOff>101383</xdr:rowOff>
    </xdr:from>
    <xdr:ext cx="269640" cy="1013763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6">
          <xdr14:nvContentPartPr>
            <xdr14:cNvPr id="15" name="Entrada de lápiz 14">
              <a:extLst>
                <a:ext uri="{FF2B5EF4-FFF2-40B4-BE49-F238E27FC236}">
                  <a16:creationId xmlns:a16="http://schemas.microsoft.com/office/drawing/2014/main" xmlns="" id="{5D0BE2E3-98C6-C142-9575-E0921DB596C6}"/>
                </a:ext>
              </a:extLst>
            </xdr14:cNvPr>
            <xdr14:cNvContentPartPr/>
          </xdr14:nvContentPartPr>
          <xdr14:nvPr macro=""/>
          <xdr14:xfrm>
            <a:off x="43374120" y="13603488"/>
            <a:ext cx="269640" cy="1429560"/>
          </xdr14:xfrm>
        </xdr:contentPart>
      </mc:Choice>
      <mc:Fallback xmlns="">
        <xdr:pic>
          <xdr:nvPicPr>
            <xdr:cNvPr id="9" name="Entrada de lápiz 8">
              <a:extLst>
                <a:ext uri="{FF2B5EF4-FFF2-40B4-BE49-F238E27FC236}">
                  <a16:creationId xmlns:a16="http://schemas.microsoft.com/office/drawing/2014/main" id="{25F89BCF-A375-C252-A092-B784BD246BA8}"/>
                </a:ext>
              </a:extLst>
            </xdr:cNvPr>
            <xdr:cNvPicPr/>
          </xdr:nvPicPr>
          <xdr:blipFill>
            <a:blip xmlns:r="http://schemas.openxmlformats.org/officeDocument/2006/relationships" r:embed="rId12"/>
            <a:stretch>
              <a:fillRect/>
            </a:stretch>
          </xdr:blipFill>
          <xdr:spPr>
            <a:xfrm>
              <a:off x="43365480" y="13594848"/>
              <a:ext cx="287280" cy="1447200"/>
            </a:xfrm>
            <a:prstGeom prst="rect">
              <a:avLst/>
            </a:prstGeom>
          </xdr:spPr>
        </xdr:pic>
      </mc:Fallback>
    </mc:AlternateContent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atalinadelmar/Documents/Proyectos/EPA/Plan%20de%20adquisi&#243;n/PLAN%20ANUAL%20DE%20ADQUISICIONES%202022%20proyectos%20de%20invers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"/>
      <sheetName val="EJEMPLO"/>
      <sheetName val="archivo de datos"/>
    </sheetNames>
    <sheetDataSet>
      <sheetData sheetId="0"/>
      <sheetData sheetId="1"/>
      <sheetData sheetId="2">
        <row r="2">
          <cell r="B2" t="str">
            <v>LICITACION</v>
          </cell>
        </row>
        <row r="3">
          <cell r="B3" t="str">
            <v>REGIMEN_ESPECIAL</v>
          </cell>
        </row>
        <row r="4">
          <cell r="B4" t="str">
            <v>SUBASTA</v>
          </cell>
        </row>
        <row r="5">
          <cell r="B5" t="str">
            <v>CONCURSO_MERITOS</v>
          </cell>
        </row>
        <row r="6">
          <cell r="B6" t="str">
            <v>SELECCION_ABREVIADA</v>
          </cell>
        </row>
        <row r="7">
          <cell r="B7" t="str">
            <v>CONTRATACION_DIRECTA</v>
          </cell>
        </row>
        <row r="8">
          <cell r="B8" t="str">
            <v>CONTRATACION_MINIMA_CUANTIA</v>
          </cell>
        </row>
        <row r="9">
          <cell r="B9" t="str">
            <v>CONCURSO_MERITOS_ABIERTO</v>
          </cell>
        </row>
        <row r="10">
          <cell r="B10" t="str">
            <v>PROCESOS_SALUD</v>
          </cell>
        </row>
        <row r="11">
          <cell r="B11" t="str">
            <v>SELECCION_ABREVIADA_LIT_H_NUM_2_ART_2_LEY_1150_DE_2007</v>
          </cell>
        </row>
        <row r="12">
          <cell r="B12" t="str">
            <v>ASOCIACION_PUBLICO_PRIVADA</v>
          </cell>
        </row>
        <row r="13">
          <cell r="B13" t="str">
            <v>ASOCIACION_PUBLICO_PRIVADA_INICIATIVA_PRIVADA</v>
          </cell>
        </row>
        <row r="14">
          <cell r="B14" t="str">
            <v>LICITACION OBRA PUBLICA</v>
          </cell>
        </row>
        <row r="15">
          <cell r="B15" t="str">
            <v>CONTRATOS Y CONVENIOS CON MAS DE DOS PARTES</v>
          </cell>
        </row>
        <row r="20">
          <cell r="E20" t="str">
            <v>Enero</v>
          </cell>
        </row>
        <row r="21">
          <cell r="E21" t="str">
            <v>Febrero</v>
          </cell>
        </row>
        <row r="22">
          <cell r="E22" t="str">
            <v>Marzo</v>
          </cell>
        </row>
        <row r="23">
          <cell r="E23" t="str">
            <v>Abril</v>
          </cell>
        </row>
        <row r="24">
          <cell r="E24" t="str">
            <v>Mayo</v>
          </cell>
        </row>
        <row r="25">
          <cell r="E25" t="str">
            <v>Junio</v>
          </cell>
        </row>
        <row r="26">
          <cell r="E26" t="str">
            <v>Julio</v>
          </cell>
        </row>
        <row r="27">
          <cell r="E27" t="str">
            <v>Agosto</v>
          </cell>
        </row>
        <row r="28">
          <cell r="E28" t="str">
            <v>Septiembre</v>
          </cell>
        </row>
        <row r="29">
          <cell r="E29" t="str">
            <v>Octubre</v>
          </cell>
        </row>
        <row r="30">
          <cell r="E30" t="str">
            <v>Noviembre</v>
          </cell>
        </row>
        <row r="31">
          <cell r="E31" t="str">
            <v>Diciembre</v>
          </cell>
        </row>
      </sheetData>
    </sheetDataSet>
  </externalBook>
</externalLink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2-07-12T17:00:55.911"/>
    </inkml:context>
    <inkml:brush xml:id="br0">
      <inkml:brushProperty name="width" value="0.05" units="cm"/>
      <inkml:brushProperty name="height" value="0.05" units="cm"/>
      <inkml:brushProperty name="ignorePressure" value="1"/>
    </inkml:brush>
  </inkml:definitions>
  <inkml:trace contextRef="#ctx0" brushRef="#br0">0 1 0 0</inkml:trace>
</inkml:ink>
</file>

<file path=xl/ink/ink10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2-07-12T17:00:55.922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0 1 10248 0 0</inkml:trace>
</inkml:ink>
</file>

<file path=xl/ink/ink1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2-07-12T17:00:55.923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1 1 11048 0 0,'2627'0'0'0'0</inkml:trace>
</inkml:ink>
</file>

<file path=xl/ink/ink1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2-07-12T17:00:55.924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1 0 9648 0 0</inkml:trace>
</inkml:ink>
</file>

<file path=xl/ink/ink1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2-07-12T17:00:55.925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1 3082 25623 0 0,'0'0'0'0'0,"6"-3034"1640"0"0,-9 2986 0 0 0</inkml:trace>
</inkml:ink>
</file>

<file path=xl/ink/ink1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2-07-12T17:00:55.926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122 1 25623 0 0,'-23'31'0'0'0,"-26"40"736"0"0,-1 29 0 0 0</inkml:trace>
</inkml:ink>
</file>

<file path=xl/ink/ink15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2-07-12T17:00:55.927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12 64 20303 0 0,'-12'-63'0'0'0</inkml:trace>
</inkml:ink>
</file>

<file path=xl/ink/ink16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2-09-29T17:35:36.039"/>
    </inkml:context>
    <inkml:brush xml:id="br0">
      <inkml:brushProperty name="width" value="0.05" units="cm"/>
      <inkml:brushProperty name="height" value="0.05" units="cm"/>
      <inkml:brushProperty name="ignorePressure" value="1"/>
    </inkml:brush>
  </inkml:definitions>
  <inkml:trace contextRef="#ctx0" brushRef="#br0">0 1 0 0</inkml:trace>
</inkml:ink>
</file>

<file path=xl/ink/ink17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2-09-29T17:35:36.044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576 0 8432 0 0</inkml:trace>
  <inkml:trace contextRef="#ctx0" brushRef="#br0" timeOffset="1">1 257 8136 0 0</inkml:trace>
</inkml:ink>
</file>

<file path=xl/ink/ink18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2-09-29T17:35:36.046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-2147483648-2147483648 3112 0 0</inkml:trace>
</inkml:ink>
</file>

<file path=xl/ink/ink19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2-09-29T17:35:36.047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1 0 6192 0 0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2-07-12T17:00:55.912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1342 0 8432 0 0</inkml:trace>
  <inkml:trace contextRef="#ctx0" brushRef="#br0">1 257 8136 0 0</inkml:trace>
</inkml:ink>
</file>

<file path=xl/ink/ink20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2-09-29T17:35:36.048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1 0 11760 0 0</inkml:trace>
</inkml:ink>
</file>

<file path=xl/ink/ink2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2-09-29T17:35:36.049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1 0 1600 0 0,'0'0'0'0'0</inkml:trace>
</inkml:ink>
</file>

<file path=xl/ink/ink2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2-09-29T17:35:36.050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1 29 21103 0 0,'6'-29'0'0'0</inkml:trace>
</inkml:ink>
</file>

<file path=xl/ink/ink2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2-09-29T17:35:36.051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749 2878 6328 0 0</inkml:trace>
  <inkml:trace contextRef="#ctx0" brushRef="#br0" timeOffset="1">539 896 5416 0 0,'0'0'0'0'0</inkml:trace>
  <inkml:trace contextRef="#ctx0" brushRef="#br0" timeOffset="2">7 29 13464 0 0,'-6'-28'0'0'0</inkml:trace>
</inkml:ink>
</file>

<file path=xl/ink/ink2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2-09-29T17:35:36.054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1 0 12864 0 0,'0'0'0'0'0</inkml:trace>
</inkml:ink>
</file>

<file path=xl/ink/ink25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2-09-29T17:35:36.055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0 1 10248 0 0</inkml:trace>
</inkml:ink>
</file>

<file path=xl/ink/ink26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2-09-29T17:35:36.057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1 0 9648 0 0</inkml:trace>
</inkml:ink>
</file>

<file path=xl/ink/ink27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3-01-15T00:25:04.914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749 2816 6328 0 0</inkml:trace>
  <inkml:trace contextRef="#ctx0" brushRef="#br0" timeOffset="1">539 876 5416 0 0,'0'0'0'0'0</inkml:trace>
  <inkml:trace contextRef="#ctx0" brushRef="#br0" timeOffset="2">7 29 13464 0 0,'-6'-28'0'0'0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2-07-12T17:00:55.913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-2147483648-2147483648 3112 0 0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2-07-12T17:00:55.914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1 0 6192 0 0</inkml:trace>
</inkml:ink>
</file>

<file path=xl/ink/ink5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2-07-12T17:00:55.915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1 0 11760 0 0</inkml:trace>
</inkml:ink>
</file>

<file path=xl/ink/ink6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2-07-12T17:00:55.916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1 0 1600 0 0,'0'0'0'0'0</inkml:trace>
</inkml:ink>
</file>

<file path=xl/ink/ink7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2-07-12T17:00:55.917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1 29 21103 0 0,'6'-29'0'0'0</inkml:trace>
</inkml:ink>
</file>

<file path=xl/ink/ink8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2-07-12T17:00:55.918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749 2852 6328 0 0</inkml:trace>
  <inkml:trace contextRef="#ctx0" brushRef="#br0" timeOffset="1">539 888 5416 0 0,'0'0'0'0'0</inkml:trace>
  <inkml:trace contextRef="#ctx0" brushRef="#br0" timeOffset="2">7 29 13464 0 0,'-6'-28'0'0'0</inkml:trace>
</inkml:ink>
</file>

<file path=xl/ink/ink9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2-07-12T17:00:55.921"/>
    </inkml:context>
    <inkml:brush xml:id="br0">
      <inkml:brushProperty name="width" value="0.05" units="cm"/>
      <inkml:brushProperty name="height" value="0.05" units="cm"/>
    </inkml:brush>
  </inkml:definitions>
  <inkml:trace contextRef="#ctx0" brushRef="#br0">1 0 12864 0 0,'0'0'0'0'0</inkml:trace>
</inkml: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W199"/>
  <sheetViews>
    <sheetView topLeftCell="I1" zoomScale="61" zoomScaleNormal="61" workbookViewId="0">
      <pane ySplit="1" topLeftCell="A2" activePane="bottomLeft" state="frozen"/>
      <selection activeCell="L1" sqref="L1"/>
      <selection pane="bottomLeft" activeCell="J18" sqref="J18:J22"/>
    </sheetView>
  </sheetViews>
  <sheetFormatPr baseColWidth="10" defaultColWidth="10.85546875" defaultRowHeight="15" x14ac:dyDescent="0.25"/>
  <cols>
    <col min="1" max="1" width="16.42578125" style="17" customWidth="1"/>
    <col min="2" max="2" width="24" style="17" customWidth="1"/>
    <col min="3" max="3" width="21" style="17" customWidth="1"/>
    <col min="4" max="4" width="25.28515625" style="17" customWidth="1"/>
    <col min="5" max="5" width="26" style="17" customWidth="1"/>
    <col min="6" max="6" width="23.42578125" style="17" customWidth="1"/>
    <col min="7" max="7" width="33.28515625" style="17" customWidth="1"/>
    <col min="8" max="8" width="26.140625" style="17" customWidth="1"/>
    <col min="9" max="9" width="21" style="216" customWidth="1"/>
    <col min="10" max="10" width="36.42578125" style="17" customWidth="1"/>
    <col min="11" max="15" width="32.42578125" style="17" customWidth="1"/>
    <col min="16" max="16" width="30.42578125" style="17" bestFit="1" customWidth="1"/>
    <col min="17" max="17" width="31.42578125" style="17" bestFit="1" customWidth="1"/>
    <col min="18" max="18" width="28.85546875" style="17" bestFit="1" customWidth="1"/>
    <col min="19" max="19" width="75.140625" style="217" customWidth="1"/>
    <col min="20" max="20" width="27.42578125" style="217" hidden="1" customWidth="1"/>
    <col min="21" max="21" width="28.85546875" style="217" hidden="1" customWidth="1"/>
    <col min="22" max="22" width="29.7109375" style="210" hidden="1" customWidth="1"/>
    <col min="23" max="23" width="44.42578125" style="17" hidden="1" customWidth="1"/>
    <col min="24" max="24" width="62" style="17" hidden="1" customWidth="1"/>
    <col min="25" max="25" width="47.42578125" style="17" hidden="1" customWidth="1"/>
    <col min="26" max="26" width="67.42578125" style="17" hidden="1" customWidth="1"/>
    <col min="27" max="27" width="24.28515625" style="210" hidden="1" customWidth="1"/>
    <col min="28" max="28" width="18.28515625" style="17" hidden="1" customWidth="1"/>
    <col min="29" max="29" width="25.7109375" style="209" hidden="1" customWidth="1"/>
    <col min="30" max="30" width="33.140625" style="17" hidden="1" customWidth="1"/>
    <col min="31" max="31" width="30.28515625" style="17" hidden="1" customWidth="1"/>
    <col min="32" max="32" width="30.7109375" style="210" hidden="1" customWidth="1"/>
    <col min="33" max="33" width="25.28515625" style="17" customWidth="1"/>
    <col min="34" max="34" width="28.85546875" style="17" customWidth="1"/>
    <col min="35" max="35" width="27.85546875" style="17" customWidth="1"/>
    <col min="36" max="36" width="40.7109375" style="215" customWidth="1"/>
    <col min="37" max="37" width="35.28515625" style="215" customWidth="1"/>
    <col min="38" max="38" width="35.7109375" style="215" customWidth="1"/>
    <col min="39" max="39" width="29.7109375" style="215" customWidth="1"/>
    <col min="40" max="40" width="31.42578125" style="222" customWidth="1"/>
    <col min="41" max="41" width="31" style="17" customWidth="1"/>
    <col min="42" max="42" width="35.7109375" style="210" customWidth="1"/>
    <col min="43" max="43" width="45" style="17" customWidth="1"/>
    <col min="44" max="44" width="35.7109375" style="222" customWidth="1"/>
    <col min="45" max="45" width="41.140625" style="17" customWidth="1"/>
    <col min="46" max="46" width="50.7109375" style="210" customWidth="1"/>
    <col min="47" max="47" width="61.42578125" style="17" customWidth="1"/>
    <col min="48" max="48" width="82.85546875" style="210" customWidth="1"/>
    <col min="49" max="49" width="93" style="210" bestFit="1" customWidth="1"/>
    <col min="50" max="16384" width="10.85546875" style="17"/>
  </cols>
  <sheetData>
    <row r="1" spans="1:49" ht="90" customHeight="1" thickBot="1" x14ac:dyDescent="0.3">
      <c r="A1" s="1" t="s">
        <v>0</v>
      </c>
      <c r="B1" s="2" t="s">
        <v>1</v>
      </c>
      <c r="C1" s="3" t="s">
        <v>2</v>
      </c>
      <c r="D1" s="2" t="s">
        <v>3</v>
      </c>
      <c r="E1" s="3" t="s">
        <v>4</v>
      </c>
      <c r="F1" s="2" t="s">
        <v>5</v>
      </c>
      <c r="G1" s="3" t="s">
        <v>6</v>
      </c>
      <c r="H1" s="2" t="s">
        <v>7</v>
      </c>
      <c r="I1" s="2" t="s">
        <v>8</v>
      </c>
      <c r="J1" s="3" t="s">
        <v>9</v>
      </c>
      <c r="K1" s="2" t="s">
        <v>10</v>
      </c>
      <c r="L1" s="3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3" t="s">
        <v>18</v>
      </c>
      <c r="T1" s="2" t="s">
        <v>19</v>
      </c>
      <c r="U1" s="2" t="s">
        <v>20</v>
      </c>
      <c r="V1" s="4" t="s">
        <v>21</v>
      </c>
      <c r="W1" s="2" t="s">
        <v>22</v>
      </c>
      <c r="X1" s="1" t="s">
        <v>23</v>
      </c>
      <c r="Y1" s="1" t="s">
        <v>24</v>
      </c>
      <c r="Z1" s="5" t="s">
        <v>25</v>
      </c>
      <c r="AA1" s="6" t="s">
        <v>26</v>
      </c>
      <c r="AB1" s="7" t="s">
        <v>27</v>
      </c>
      <c r="AC1" s="8" t="s">
        <v>28</v>
      </c>
      <c r="AD1" s="9" t="s">
        <v>29</v>
      </c>
      <c r="AE1" s="9" t="s">
        <v>30</v>
      </c>
      <c r="AF1" s="10" t="s">
        <v>31</v>
      </c>
      <c r="AG1" s="9" t="s">
        <v>32</v>
      </c>
      <c r="AH1" s="9" t="s">
        <v>33</v>
      </c>
      <c r="AI1" s="9" t="s">
        <v>34</v>
      </c>
      <c r="AJ1" s="11" t="s">
        <v>35</v>
      </c>
      <c r="AK1" s="12" t="s">
        <v>36</v>
      </c>
      <c r="AL1" s="11" t="s">
        <v>37</v>
      </c>
      <c r="AM1" s="11" t="s">
        <v>38</v>
      </c>
      <c r="AN1" s="11" t="s">
        <v>39</v>
      </c>
      <c r="AO1" s="9" t="s">
        <v>40</v>
      </c>
      <c r="AP1" s="13" t="s">
        <v>41</v>
      </c>
      <c r="AQ1" s="14" t="s">
        <v>42</v>
      </c>
      <c r="AR1" s="11" t="s">
        <v>37</v>
      </c>
      <c r="AS1" s="9" t="s">
        <v>43</v>
      </c>
      <c r="AT1" s="13" t="s">
        <v>44</v>
      </c>
      <c r="AU1" s="9" t="s">
        <v>45</v>
      </c>
      <c r="AV1" s="15" t="s">
        <v>46</v>
      </c>
      <c r="AW1" s="16" t="s">
        <v>47</v>
      </c>
    </row>
    <row r="2" spans="1:49" ht="72.75" customHeight="1" x14ac:dyDescent="0.25">
      <c r="A2" s="531"/>
      <c r="B2" s="470" t="s">
        <v>48</v>
      </c>
      <c r="C2" s="473" t="s">
        <v>49</v>
      </c>
      <c r="D2" s="652" t="s">
        <v>50</v>
      </c>
      <c r="E2" s="473" t="s">
        <v>51</v>
      </c>
      <c r="F2" s="469" t="s">
        <v>52</v>
      </c>
      <c r="G2" s="473" t="s">
        <v>53</v>
      </c>
      <c r="H2" s="473" t="s">
        <v>54</v>
      </c>
      <c r="I2" s="487" t="s">
        <v>55</v>
      </c>
      <c r="J2" s="473" t="s">
        <v>56</v>
      </c>
      <c r="K2" s="489">
        <v>100000</v>
      </c>
      <c r="L2" s="489">
        <v>35000</v>
      </c>
      <c r="M2" s="489">
        <v>14959</v>
      </c>
      <c r="N2" s="489">
        <v>230</v>
      </c>
      <c r="O2" s="641">
        <v>21113</v>
      </c>
      <c r="P2" s="641">
        <f>M2+N2+O2</f>
        <v>36302</v>
      </c>
      <c r="Q2" s="650">
        <f>(N2+O2)/L2</f>
        <v>0.60980000000000001</v>
      </c>
      <c r="R2" s="650">
        <f>+P2/K2</f>
        <v>0.36302000000000001</v>
      </c>
      <c r="S2" s="485" t="s">
        <v>57</v>
      </c>
      <c r="T2" s="559">
        <v>2021130010191</v>
      </c>
      <c r="U2" s="559" t="s">
        <v>58</v>
      </c>
      <c r="V2" s="18" t="s">
        <v>59</v>
      </c>
      <c r="W2" s="19">
        <v>1</v>
      </c>
      <c r="X2" s="19">
        <v>1</v>
      </c>
      <c r="Y2" s="20">
        <v>1</v>
      </c>
      <c r="Z2" s="21">
        <f>+X2/W2</f>
        <v>1</v>
      </c>
      <c r="AA2" s="623">
        <f>AVERAGE(Z2:Z11)</f>
        <v>0.51346333333333338</v>
      </c>
      <c r="AB2" s="22">
        <v>44197</v>
      </c>
      <c r="AC2" s="23">
        <v>365</v>
      </c>
      <c r="AD2" s="22" t="s">
        <v>60</v>
      </c>
      <c r="AE2" s="22" t="s">
        <v>60</v>
      </c>
      <c r="AF2" s="24">
        <v>0.1</v>
      </c>
      <c r="AG2" s="446" t="s">
        <v>61</v>
      </c>
      <c r="AH2" s="446" t="s">
        <v>62</v>
      </c>
      <c r="AI2" s="446" t="s">
        <v>63</v>
      </c>
      <c r="AJ2" s="434">
        <v>503200000</v>
      </c>
      <c r="AK2" s="434">
        <v>1000000000</v>
      </c>
      <c r="AL2" s="434">
        <v>397200000</v>
      </c>
      <c r="AM2" s="431">
        <f>+AL2/AJ2</f>
        <v>0.78934817170111293</v>
      </c>
      <c r="AN2" s="446" t="s">
        <v>63</v>
      </c>
      <c r="AO2" s="434" t="s">
        <v>64</v>
      </c>
      <c r="AP2" s="655"/>
      <c r="AQ2" s="434" t="s">
        <v>65</v>
      </c>
      <c r="AR2" s="539">
        <f>AL2</f>
        <v>397200000</v>
      </c>
      <c r="AS2" s="19" t="s">
        <v>66</v>
      </c>
      <c r="AT2" s="25" t="s">
        <v>67</v>
      </c>
      <c r="AU2" s="19" t="s">
        <v>68</v>
      </c>
      <c r="AV2" s="18"/>
      <c r="AW2" s="18"/>
    </row>
    <row r="3" spans="1:49" ht="42.75" x14ac:dyDescent="0.25">
      <c r="A3" s="531"/>
      <c r="B3" s="470"/>
      <c r="C3" s="473"/>
      <c r="D3" s="652"/>
      <c r="E3" s="473"/>
      <c r="F3" s="470"/>
      <c r="G3" s="473"/>
      <c r="H3" s="473"/>
      <c r="I3" s="487"/>
      <c r="J3" s="473"/>
      <c r="K3" s="489"/>
      <c r="L3" s="489"/>
      <c r="M3" s="489"/>
      <c r="N3" s="489"/>
      <c r="O3" s="641"/>
      <c r="P3" s="641"/>
      <c r="Q3" s="650"/>
      <c r="R3" s="650"/>
      <c r="S3" s="485"/>
      <c r="T3" s="648"/>
      <c r="U3" s="648"/>
      <c r="V3" s="25" t="s">
        <v>69</v>
      </c>
      <c r="W3" s="26">
        <v>2</v>
      </c>
      <c r="X3" s="26">
        <v>2</v>
      </c>
      <c r="Y3" s="27">
        <v>35</v>
      </c>
      <c r="Z3" s="21">
        <f t="shared" ref="Z3" si="0">+X3/W3</f>
        <v>1</v>
      </c>
      <c r="AA3" s="565"/>
      <c r="AB3" s="28">
        <v>44197</v>
      </c>
      <c r="AC3" s="23">
        <v>365</v>
      </c>
      <c r="AD3" s="22" t="s">
        <v>60</v>
      </c>
      <c r="AE3" s="22" t="s">
        <v>60</v>
      </c>
      <c r="AF3" s="29">
        <v>0.1</v>
      </c>
      <c r="AG3" s="446"/>
      <c r="AH3" s="446"/>
      <c r="AI3" s="446"/>
      <c r="AJ3" s="434"/>
      <c r="AK3" s="434"/>
      <c r="AL3" s="434"/>
      <c r="AM3" s="431"/>
      <c r="AN3" s="446"/>
      <c r="AO3" s="434"/>
      <c r="AP3" s="655"/>
      <c r="AQ3" s="434"/>
      <c r="AR3" s="539"/>
      <c r="AS3" s="19" t="s">
        <v>66</v>
      </c>
      <c r="AT3" s="25" t="s">
        <v>67</v>
      </c>
      <c r="AU3" s="26" t="s">
        <v>68</v>
      </c>
      <c r="AV3" s="25"/>
      <c r="AW3" s="25"/>
    </row>
    <row r="4" spans="1:49" ht="63" customHeight="1" x14ac:dyDescent="0.25">
      <c r="A4" s="531"/>
      <c r="B4" s="470"/>
      <c r="C4" s="473"/>
      <c r="D4" s="652"/>
      <c r="E4" s="473"/>
      <c r="F4" s="470"/>
      <c r="G4" s="473"/>
      <c r="H4" s="473"/>
      <c r="I4" s="487"/>
      <c r="J4" s="473"/>
      <c r="K4" s="489"/>
      <c r="L4" s="489"/>
      <c r="M4" s="489"/>
      <c r="N4" s="489"/>
      <c r="O4" s="641"/>
      <c r="P4" s="641"/>
      <c r="Q4" s="650"/>
      <c r="R4" s="650"/>
      <c r="S4" s="485"/>
      <c r="T4" s="648"/>
      <c r="U4" s="648"/>
      <c r="V4" s="25" t="s">
        <v>70</v>
      </c>
      <c r="W4" s="26">
        <v>50</v>
      </c>
      <c r="X4" s="26">
        <v>7</v>
      </c>
      <c r="Y4" s="27">
        <v>18</v>
      </c>
      <c r="Z4" s="21">
        <f>(X4+Y4)/W4</f>
        <v>0.5</v>
      </c>
      <c r="AA4" s="565"/>
      <c r="AB4" s="28">
        <v>44197</v>
      </c>
      <c r="AC4" s="23">
        <v>365</v>
      </c>
      <c r="AD4" s="22" t="s">
        <v>60</v>
      </c>
      <c r="AE4" s="22" t="s">
        <v>60</v>
      </c>
      <c r="AF4" s="29">
        <v>0.1</v>
      </c>
      <c r="AG4" s="446"/>
      <c r="AH4" s="446"/>
      <c r="AI4" s="446"/>
      <c r="AJ4" s="434"/>
      <c r="AK4" s="434"/>
      <c r="AL4" s="434"/>
      <c r="AM4" s="431"/>
      <c r="AN4" s="446"/>
      <c r="AO4" s="434"/>
      <c r="AP4" s="655"/>
      <c r="AQ4" s="434"/>
      <c r="AR4" s="539"/>
      <c r="AS4" s="19" t="s">
        <v>66</v>
      </c>
      <c r="AT4" s="25" t="s">
        <v>67</v>
      </c>
      <c r="AU4" s="26" t="s">
        <v>68</v>
      </c>
      <c r="AV4" s="25"/>
      <c r="AW4" s="25"/>
    </row>
    <row r="5" spans="1:49" ht="76.5" customHeight="1" thickBot="1" x14ac:dyDescent="0.3">
      <c r="A5" s="531"/>
      <c r="B5" s="470"/>
      <c r="C5" s="473"/>
      <c r="D5" s="652"/>
      <c r="E5" s="473"/>
      <c r="F5" s="470"/>
      <c r="G5" s="473"/>
      <c r="H5" s="473"/>
      <c r="I5" s="487"/>
      <c r="J5" s="473"/>
      <c r="K5" s="489"/>
      <c r="L5" s="489"/>
      <c r="M5" s="489"/>
      <c r="N5" s="489"/>
      <c r="O5" s="641"/>
      <c r="P5" s="641"/>
      <c r="Q5" s="650"/>
      <c r="R5" s="650"/>
      <c r="S5" s="485"/>
      <c r="T5" s="648"/>
      <c r="U5" s="648"/>
      <c r="V5" s="25" t="s">
        <v>71</v>
      </c>
      <c r="W5" s="26">
        <v>30</v>
      </c>
      <c r="X5" s="26">
        <v>4</v>
      </c>
      <c r="Y5" s="27">
        <v>21</v>
      </c>
      <c r="Z5" s="21">
        <f t="shared" ref="Z5:Z11" si="1">(X5+Y5)/W5</f>
        <v>0.83333333333333337</v>
      </c>
      <c r="AA5" s="565"/>
      <c r="AB5" s="28">
        <v>44197</v>
      </c>
      <c r="AC5" s="23">
        <v>365</v>
      </c>
      <c r="AD5" s="22" t="s">
        <v>60</v>
      </c>
      <c r="AE5" s="22" t="s">
        <v>60</v>
      </c>
      <c r="AF5" s="29">
        <v>0.1</v>
      </c>
      <c r="AG5" s="446"/>
      <c r="AH5" s="446"/>
      <c r="AI5" s="446"/>
      <c r="AJ5" s="434"/>
      <c r="AK5" s="434"/>
      <c r="AL5" s="434"/>
      <c r="AM5" s="431"/>
      <c r="AN5" s="446"/>
      <c r="AO5" s="434"/>
      <c r="AP5" s="655"/>
      <c r="AQ5" s="434"/>
      <c r="AR5" s="539"/>
      <c r="AS5" s="26" t="s">
        <v>66</v>
      </c>
      <c r="AT5" s="25" t="s">
        <v>67</v>
      </c>
      <c r="AU5" s="26" t="s">
        <v>68</v>
      </c>
      <c r="AV5" s="25"/>
      <c r="AW5" s="25"/>
    </row>
    <row r="6" spans="1:49" ht="72.75" customHeight="1" x14ac:dyDescent="0.25">
      <c r="A6" s="531"/>
      <c r="B6" s="470"/>
      <c r="C6" s="473"/>
      <c r="D6" s="652"/>
      <c r="E6" s="473"/>
      <c r="F6" s="470"/>
      <c r="G6" s="473"/>
      <c r="H6" s="473"/>
      <c r="I6" s="487"/>
      <c r="J6" s="473"/>
      <c r="K6" s="489"/>
      <c r="L6" s="489"/>
      <c r="M6" s="489"/>
      <c r="N6" s="489"/>
      <c r="O6" s="641"/>
      <c r="P6" s="641"/>
      <c r="Q6" s="650"/>
      <c r="R6" s="650"/>
      <c r="S6" s="485"/>
      <c r="T6" s="648"/>
      <c r="U6" s="648"/>
      <c r="V6" s="25" t="s">
        <v>72</v>
      </c>
      <c r="W6" s="26">
        <v>35000</v>
      </c>
      <c r="X6" s="26">
        <v>230</v>
      </c>
      <c r="Y6" s="27">
        <v>21113</v>
      </c>
      <c r="Z6" s="21">
        <f t="shared" si="1"/>
        <v>0.60980000000000001</v>
      </c>
      <c r="AA6" s="565"/>
      <c r="AB6" s="28">
        <v>44197</v>
      </c>
      <c r="AC6" s="23">
        <v>365</v>
      </c>
      <c r="AD6" s="22" t="s">
        <v>60</v>
      </c>
      <c r="AE6" s="22" t="s">
        <v>60</v>
      </c>
      <c r="AF6" s="29">
        <v>0.1</v>
      </c>
      <c r="AG6" s="446"/>
      <c r="AH6" s="446"/>
      <c r="AI6" s="436" t="s">
        <v>73</v>
      </c>
      <c r="AJ6" s="433">
        <v>196800000</v>
      </c>
      <c r="AK6" s="433"/>
      <c r="AL6" s="433">
        <v>194881830</v>
      </c>
      <c r="AM6" s="430">
        <f>AL6/AJ6</f>
        <v>0.99025320121951221</v>
      </c>
      <c r="AN6" s="436" t="s">
        <v>73</v>
      </c>
      <c r="AO6" s="656" t="s">
        <v>64</v>
      </c>
      <c r="AP6" s="659"/>
      <c r="AQ6" s="662" t="s">
        <v>65</v>
      </c>
      <c r="AR6" s="662">
        <f>AL6</f>
        <v>194881830</v>
      </c>
      <c r="AS6" s="19" t="s">
        <v>66</v>
      </c>
      <c r="AT6" s="18" t="s">
        <v>67</v>
      </c>
      <c r="AU6" s="26" t="s">
        <v>68</v>
      </c>
      <c r="AV6" s="25"/>
      <c r="AW6" s="25"/>
    </row>
    <row r="7" spans="1:49" ht="60.75" customHeight="1" x14ac:dyDescent="0.25">
      <c r="A7" s="531"/>
      <c r="B7" s="470"/>
      <c r="C7" s="473"/>
      <c r="D7" s="652"/>
      <c r="E7" s="473"/>
      <c r="F7" s="470"/>
      <c r="G7" s="473"/>
      <c r="H7" s="473"/>
      <c r="I7" s="487"/>
      <c r="J7" s="473"/>
      <c r="K7" s="489"/>
      <c r="L7" s="489"/>
      <c r="M7" s="489"/>
      <c r="N7" s="489"/>
      <c r="O7" s="641"/>
      <c r="P7" s="641"/>
      <c r="Q7" s="650"/>
      <c r="R7" s="650"/>
      <c r="S7" s="485"/>
      <c r="T7" s="648"/>
      <c r="U7" s="648"/>
      <c r="V7" s="25" t="s">
        <v>74</v>
      </c>
      <c r="W7" s="26">
        <v>50</v>
      </c>
      <c r="X7" s="26">
        <v>17</v>
      </c>
      <c r="Y7" s="27">
        <v>8</v>
      </c>
      <c r="Z7" s="21">
        <f t="shared" si="1"/>
        <v>0.5</v>
      </c>
      <c r="AA7" s="565"/>
      <c r="AB7" s="28">
        <v>44197</v>
      </c>
      <c r="AC7" s="23">
        <v>365</v>
      </c>
      <c r="AD7" s="22" t="s">
        <v>60</v>
      </c>
      <c r="AE7" s="22" t="s">
        <v>60</v>
      </c>
      <c r="AF7" s="29">
        <v>0.1</v>
      </c>
      <c r="AG7" s="446"/>
      <c r="AH7" s="446"/>
      <c r="AI7" s="437"/>
      <c r="AJ7" s="434"/>
      <c r="AK7" s="434"/>
      <c r="AL7" s="434"/>
      <c r="AM7" s="431"/>
      <c r="AN7" s="437"/>
      <c r="AO7" s="657"/>
      <c r="AP7" s="660"/>
      <c r="AQ7" s="663"/>
      <c r="AR7" s="663"/>
      <c r="AS7" s="19" t="s">
        <v>66</v>
      </c>
      <c r="AT7" s="25" t="s">
        <v>67</v>
      </c>
      <c r="AU7" s="26" t="s">
        <v>68</v>
      </c>
      <c r="AV7" s="25"/>
      <c r="AW7" s="25"/>
    </row>
    <row r="8" spans="1:49" ht="72.75" customHeight="1" x14ac:dyDescent="0.25">
      <c r="A8" s="531"/>
      <c r="B8" s="470"/>
      <c r="C8" s="473"/>
      <c r="D8" s="652"/>
      <c r="E8" s="473"/>
      <c r="F8" s="470"/>
      <c r="G8" s="473"/>
      <c r="H8" s="473"/>
      <c r="I8" s="487"/>
      <c r="J8" s="473"/>
      <c r="K8" s="489"/>
      <c r="L8" s="489"/>
      <c r="M8" s="489"/>
      <c r="N8" s="489"/>
      <c r="O8" s="641"/>
      <c r="P8" s="641"/>
      <c r="Q8" s="650"/>
      <c r="R8" s="650"/>
      <c r="S8" s="485"/>
      <c r="T8" s="648"/>
      <c r="U8" s="648"/>
      <c r="V8" s="25" t="s">
        <v>75</v>
      </c>
      <c r="W8" s="30">
        <v>20000</v>
      </c>
      <c r="X8" s="26">
        <v>2930</v>
      </c>
      <c r="Y8" s="27">
        <v>900</v>
      </c>
      <c r="Z8" s="21">
        <f t="shared" si="1"/>
        <v>0.1915</v>
      </c>
      <c r="AA8" s="565"/>
      <c r="AB8" s="28">
        <v>44197</v>
      </c>
      <c r="AC8" s="23">
        <v>365</v>
      </c>
      <c r="AD8" s="22" t="s">
        <v>60</v>
      </c>
      <c r="AE8" s="22" t="s">
        <v>60</v>
      </c>
      <c r="AF8" s="29">
        <v>0.1</v>
      </c>
      <c r="AG8" s="446"/>
      <c r="AH8" s="446"/>
      <c r="AI8" s="437"/>
      <c r="AJ8" s="434"/>
      <c r="AK8" s="434"/>
      <c r="AL8" s="434"/>
      <c r="AM8" s="431"/>
      <c r="AN8" s="437"/>
      <c r="AO8" s="657"/>
      <c r="AP8" s="660"/>
      <c r="AQ8" s="663"/>
      <c r="AR8" s="663"/>
      <c r="AS8" s="19" t="s">
        <v>66</v>
      </c>
      <c r="AT8" s="25" t="s">
        <v>76</v>
      </c>
      <c r="AU8" s="26" t="s">
        <v>77</v>
      </c>
      <c r="AV8" s="25"/>
      <c r="AW8" s="25"/>
    </row>
    <row r="9" spans="1:49" ht="28.5" x14ac:dyDescent="0.25">
      <c r="A9" s="531"/>
      <c r="B9" s="470"/>
      <c r="C9" s="473"/>
      <c r="D9" s="652"/>
      <c r="E9" s="473"/>
      <c r="F9" s="470"/>
      <c r="G9" s="473"/>
      <c r="H9" s="473"/>
      <c r="I9" s="487"/>
      <c r="J9" s="473"/>
      <c r="K9" s="489"/>
      <c r="L9" s="489"/>
      <c r="M9" s="489"/>
      <c r="N9" s="489"/>
      <c r="O9" s="641"/>
      <c r="P9" s="641"/>
      <c r="Q9" s="650"/>
      <c r="R9" s="650"/>
      <c r="S9" s="485"/>
      <c r="T9" s="648"/>
      <c r="U9" s="648"/>
      <c r="V9" s="25" t="s">
        <v>78</v>
      </c>
      <c r="W9" s="26">
        <v>2</v>
      </c>
      <c r="X9" s="26">
        <v>0</v>
      </c>
      <c r="Y9" s="31">
        <v>1</v>
      </c>
      <c r="Z9" s="21">
        <f t="shared" si="1"/>
        <v>0.5</v>
      </c>
      <c r="AA9" s="565"/>
      <c r="AB9" s="28">
        <v>44197</v>
      </c>
      <c r="AC9" s="23">
        <v>365</v>
      </c>
      <c r="AD9" s="22" t="s">
        <v>60</v>
      </c>
      <c r="AE9" s="22" t="s">
        <v>60</v>
      </c>
      <c r="AF9" s="29">
        <v>0.1</v>
      </c>
      <c r="AG9" s="446"/>
      <c r="AH9" s="446"/>
      <c r="AI9" s="437"/>
      <c r="AJ9" s="434"/>
      <c r="AK9" s="434"/>
      <c r="AL9" s="434"/>
      <c r="AM9" s="431"/>
      <c r="AN9" s="437"/>
      <c r="AO9" s="657"/>
      <c r="AP9" s="660"/>
      <c r="AQ9" s="663"/>
      <c r="AR9" s="663"/>
      <c r="AS9" s="19" t="s">
        <v>66</v>
      </c>
      <c r="AT9" s="25" t="s">
        <v>67</v>
      </c>
      <c r="AU9" s="26" t="s">
        <v>68</v>
      </c>
      <c r="AV9" s="25"/>
      <c r="AW9" s="25"/>
    </row>
    <row r="10" spans="1:49" ht="28.5" x14ac:dyDescent="0.25">
      <c r="A10" s="531"/>
      <c r="B10" s="470"/>
      <c r="C10" s="473"/>
      <c r="D10" s="652"/>
      <c r="E10" s="473"/>
      <c r="F10" s="470"/>
      <c r="G10" s="473"/>
      <c r="H10" s="473"/>
      <c r="I10" s="487"/>
      <c r="J10" s="473"/>
      <c r="K10" s="489"/>
      <c r="L10" s="489"/>
      <c r="M10" s="489"/>
      <c r="N10" s="489"/>
      <c r="O10" s="641"/>
      <c r="P10" s="641"/>
      <c r="Q10" s="650"/>
      <c r="R10" s="650"/>
      <c r="S10" s="485"/>
      <c r="T10" s="648"/>
      <c r="U10" s="648"/>
      <c r="V10" s="25" t="s">
        <v>79</v>
      </c>
      <c r="W10" s="26">
        <v>1</v>
      </c>
      <c r="X10" s="26">
        <v>0</v>
      </c>
      <c r="Y10" s="27">
        <v>0</v>
      </c>
      <c r="Z10" s="21">
        <f t="shared" si="1"/>
        <v>0</v>
      </c>
      <c r="AA10" s="565"/>
      <c r="AB10" s="28">
        <v>44197</v>
      </c>
      <c r="AC10" s="23">
        <v>365</v>
      </c>
      <c r="AD10" s="22" t="s">
        <v>60</v>
      </c>
      <c r="AE10" s="22" t="s">
        <v>60</v>
      </c>
      <c r="AF10" s="29">
        <v>0.1</v>
      </c>
      <c r="AG10" s="446"/>
      <c r="AH10" s="446"/>
      <c r="AI10" s="437"/>
      <c r="AJ10" s="434"/>
      <c r="AK10" s="434"/>
      <c r="AL10" s="434"/>
      <c r="AM10" s="431"/>
      <c r="AN10" s="437"/>
      <c r="AO10" s="657"/>
      <c r="AP10" s="660"/>
      <c r="AQ10" s="663"/>
      <c r="AR10" s="663"/>
      <c r="AS10" s="19" t="s">
        <v>66</v>
      </c>
      <c r="AT10" s="25" t="s">
        <v>67</v>
      </c>
      <c r="AU10" s="26" t="s">
        <v>68</v>
      </c>
      <c r="AV10" s="25"/>
      <c r="AW10" s="25"/>
    </row>
    <row r="11" spans="1:49" ht="29.25" thickBot="1" x14ac:dyDescent="0.3">
      <c r="A11" s="531"/>
      <c r="B11" s="470"/>
      <c r="C11" s="473"/>
      <c r="D11" s="652"/>
      <c r="E11" s="473"/>
      <c r="F11" s="470"/>
      <c r="G11" s="473"/>
      <c r="H11" s="473"/>
      <c r="I11" s="487"/>
      <c r="J11" s="473"/>
      <c r="K11" s="489"/>
      <c r="L11" s="495"/>
      <c r="M11" s="495"/>
      <c r="N11" s="495"/>
      <c r="O11" s="642"/>
      <c r="P11" s="642"/>
      <c r="Q11" s="651"/>
      <c r="R11" s="651"/>
      <c r="S11" s="524"/>
      <c r="T11" s="649"/>
      <c r="U11" s="649"/>
      <c r="V11" s="32"/>
      <c r="W11" s="33">
        <v>1</v>
      </c>
      <c r="X11" s="33">
        <v>0</v>
      </c>
      <c r="Y11" s="34">
        <v>0</v>
      </c>
      <c r="Z11" s="21">
        <f t="shared" si="1"/>
        <v>0</v>
      </c>
      <c r="AA11" s="566"/>
      <c r="AB11" s="35">
        <v>44197</v>
      </c>
      <c r="AC11" s="36">
        <v>365</v>
      </c>
      <c r="AD11" s="33" t="s">
        <v>60</v>
      </c>
      <c r="AE11" s="33" t="s">
        <v>60</v>
      </c>
      <c r="AF11" s="37">
        <v>0.1</v>
      </c>
      <c r="AG11" s="447"/>
      <c r="AH11" s="447"/>
      <c r="AI11" s="438"/>
      <c r="AJ11" s="435"/>
      <c r="AK11" s="435"/>
      <c r="AL11" s="435"/>
      <c r="AM11" s="459"/>
      <c r="AN11" s="438"/>
      <c r="AO11" s="658"/>
      <c r="AP11" s="661"/>
      <c r="AQ11" s="664"/>
      <c r="AR11" s="664"/>
      <c r="AS11" s="38" t="s">
        <v>66</v>
      </c>
      <c r="AT11" s="32" t="s">
        <v>67</v>
      </c>
      <c r="AU11" s="33" t="s">
        <v>68</v>
      </c>
      <c r="AV11" s="32"/>
      <c r="AW11" s="32"/>
    </row>
    <row r="12" spans="1:49" ht="42.75" x14ac:dyDescent="0.25">
      <c r="A12" s="531"/>
      <c r="B12" s="470"/>
      <c r="C12" s="473"/>
      <c r="D12" s="652"/>
      <c r="E12" s="473"/>
      <c r="F12" s="470"/>
      <c r="G12" s="472" t="s">
        <v>80</v>
      </c>
      <c r="H12" s="472" t="s">
        <v>54</v>
      </c>
      <c r="I12" s="472" t="s">
        <v>81</v>
      </c>
      <c r="J12" s="472" t="s">
        <v>82</v>
      </c>
      <c r="K12" s="488">
        <v>1</v>
      </c>
      <c r="L12" s="463">
        <v>0.25</v>
      </c>
      <c r="M12" s="463">
        <v>0.48625000000000002</v>
      </c>
      <c r="N12" s="463">
        <v>0.10249999999999999</v>
      </c>
      <c r="O12" s="644">
        <v>7.6999999999999999E-2</v>
      </c>
      <c r="P12" s="628">
        <f>M12+N12+O12</f>
        <v>0.66574999999999995</v>
      </c>
      <c r="Q12" s="430">
        <f>(N12+O12)/L12</f>
        <v>0.71799999999999997</v>
      </c>
      <c r="R12" s="430">
        <v>1</v>
      </c>
      <c r="S12" s="470" t="s">
        <v>83</v>
      </c>
      <c r="T12" s="437">
        <v>2020130010216</v>
      </c>
      <c r="U12" s="437" t="s">
        <v>84</v>
      </c>
      <c r="V12" s="18" t="s">
        <v>85</v>
      </c>
      <c r="W12" s="19">
        <v>6</v>
      </c>
      <c r="X12" s="19">
        <v>6</v>
      </c>
      <c r="Y12" s="20">
        <v>0</v>
      </c>
      <c r="Z12" s="21">
        <f>(X12+Y12)/W12</f>
        <v>1</v>
      </c>
      <c r="AA12" s="564">
        <f>AVERAGE(Z12:Z17)</f>
        <v>0.71666666666666667</v>
      </c>
      <c r="AB12" s="39">
        <v>44197</v>
      </c>
      <c r="AC12" s="23">
        <v>365</v>
      </c>
      <c r="AD12" s="39" t="s">
        <v>60</v>
      </c>
      <c r="AE12" s="39" t="s">
        <v>60</v>
      </c>
      <c r="AF12" s="40">
        <v>0.16600000000000001</v>
      </c>
      <c r="AG12" s="445" t="s">
        <v>61</v>
      </c>
      <c r="AH12" s="445" t="s">
        <v>62</v>
      </c>
      <c r="AI12" s="445" t="s">
        <v>63</v>
      </c>
      <c r="AJ12" s="433">
        <v>260000000</v>
      </c>
      <c r="AK12" s="434">
        <v>260000000</v>
      </c>
      <c r="AL12" s="434">
        <v>210152973</v>
      </c>
      <c r="AM12" s="431">
        <f>+AL12/AJ12</f>
        <v>0.8082806653846154</v>
      </c>
      <c r="AN12" s="446" t="s">
        <v>63</v>
      </c>
      <c r="AO12" s="437" t="s">
        <v>64</v>
      </c>
      <c r="AP12" s="440"/>
      <c r="AQ12" s="437" t="s">
        <v>65</v>
      </c>
      <c r="AR12" s="443">
        <f>AL12</f>
        <v>210152973</v>
      </c>
      <c r="AS12" s="41" t="s">
        <v>66</v>
      </c>
      <c r="AT12" s="18" t="s">
        <v>86</v>
      </c>
      <c r="AU12" s="19" t="s">
        <v>77</v>
      </c>
      <c r="AV12" s="18"/>
      <c r="AW12" s="18"/>
    </row>
    <row r="13" spans="1:49" ht="42.75" x14ac:dyDescent="0.25">
      <c r="A13" s="531"/>
      <c r="B13" s="470"/>
      <c r="C13" s="473"/>
      <c r="D13" s="652"/>
      <c r="E13" s="473"/>
      <c r="F13" s="470"/>
      <c r="G13" s="473"/>
      <c r="H13" s="473"/>
      <c r="I13" s="473"/>
      <c r="J13" s="473"/>
      <c r="K13" s="489"/>
      <c r="L13" s="464"/>
      <c r="M13" s="464"/>
      <c r="N13" s="464"/>
      <c r="O13" s="645"/>
      <c r="P13" s="629"/>
      <c r="Q13" s="431"/>
      <c r="R13" s="431"/>
      <c r="S13" s="470"/>
      <c r="T13" s="437"/>
      <c r="U13" s="437"/>
      <c r="V13" s="25" t="s">
        <v>87</v>
      </c>
      <c r="W13" s="26">
        <v>1</v>
      </c>
      <c r="X13" s="26">
        <v>1</v>
      </c>
      <c r="Y13" s="27">
        <v>0</v>
      </c>
      <c r="Z13" s="21">
        <f t="shared" ref="Z13:Z17" si="2">(X13+Y13)/W13</f>
        <v>1</v>
      </c>
      <c r="AA13" s="565"/>
      <c r="AB13" s="28">
        <v>44197</v>
      </c>
      <c r="AC13" s="23">
        <v>365</v>
      </c>
      <c r="AD13" s="22" t="s">
        <v>60</v>
      </c>
      <c r="AE13" s="22" t="s">
        <v>60</v>
      </c>
      <c r="AF13" s="42">
        <v>0.16600000000000001</v>
      </c>
      <c r="AG13" s="446"/>
      <c r="AH13" s="446"/>
      <c r="AI13" s="446"/>
      <c r="AJ13" s="434"/>
      <c r="AK13" s="434"/>
      <c r="AL13" s="434"/>
      <c r="AM13" s="431"/>
      <c r="AN13" s="446"/>
      <c r="AO13" s="437"/>
      <c r="AP13" s="440"/>
      <c r="AQ13" s="437"/>
      <c r="AR13" s="443"/>
      <c r="AS13" s="19" t="s">
        <v>66</v>
      </c>
      <c r="AT13" s="25" t="s">
        <v>88</v>
      </c>
      <c r="AU13" s="26" t="s">
        <v>89</v>
      </c>
      <c r="AV13" s="25"/>
      <c r="AW13" s="25"/>
    </row>
    <row r="14" spans="1:49" ht="42.75" x14ac:dyDescent="0.25">
      <c r="A14" s="531"/>
      <c r="B14" s="470"/>
      <c r="C14" s="473"/>
      <c r="D14" s="652"/>
      <c r="E14" s="473"/>
      <c r="F14" s="470"/>
      <c r="G14" s="473"/>
      <c r="H14" s="473"/>
      <c r="I14" s="473"/>
      <c r="J14" s="473"/>
      <c r="K14" s="489"/>
      <c r="L14" s="464"/>
      <c r="M14" s="464"/>
      <c r="N14" s="464"/>
      <c r="O14" s="645"/>
      <c r="P14" s="629"/>
      <c r="Q14" s="431"/>
      <c r="R14" s="431"/>
      <c r="S14" s="470"/>
      <c r="T14" s="437"/>
      <c r="U14" s="437"/>
      <c r="V14" s="25" t="s">
        <v>90</v>
      </c>
      <c r="W14" s="26">
        <v>2</v>
      </c>
      <c r="X14" s="26">
        <v>0</v>
      </c>
      <c r="Y14" s="27">
        <v>1</v>
      </c>
      <c r="Z14" s="21">
        <f t="shared" si="2"/>
        <v>0.5</v>
      </c>
      <c r="AA14" s="565"/>
      <c r="AB14" s="28">
        <v>44197</v>
      </c>
      <c r="AC14" s="23">
        <v>365</v>
      </c>
      <c r="AD14" s="22" t="s">
        <v>60</v>
      </c>
      <c r="AE14" s="22" t="s">
        <v>60</v>
      </c>
      <c r="AF14" s="42">
        <v>0.16600000000000001</v>
      </c>
      <c r="AG14" s="446"/>
      <c r="AH14" s="446"/>
      <c r="AI14" s="446"/>
      <c r="AJ14" s="434"/>
      <c r="AK14" s="434"/>
      <c r="AL14" s="434"/>
      <c r="AM14" s="431"/>
      <c r="AN14" s="446"/>
      <c r="AO14" s="437"/>
      <c r="AP14" s="440"/>
      <c r="AQ14" s="437"/>
      <c r="AR14" s="443"/>
      <c r="AS14" s="19" t="s">
        <v>66</v>
      </c>
      <c r="AT14" s="25" t="s">
        <v>91</v>
      </c>
      <c r="AU14" s="26" t="s">
        <v>92</v>
      </c>
      <c r="AV14" s="25"/>
      <c r="AW14" s="25"/>
    </row>
    <row r="15" spans="1:49" ht="71.25" x14ac:dyDescent="0.25">
      <c r="A15" s="531"/>
      <c r="B15" s="470"/>
      <c r="C15" s="473"/>
      <c r="D15" s="652"/>
      <c r="E15" s="473"/>
      <c r="F15" s="470"/>
      <c r="G15" s="473"/>
      <c r="H15" s="473"/>
      <c r="I15" s="473"/>
      <c r="J15" s="473"/>
      <c r="K15" s="489"/>
      <c r="L15" s="464"/>
      <c r="M15" s="464"/>
      <c r="N15" s="464"/>
      <c r="O15" s="645"/>
      <c r="P15" s="629"/>
      <c r="Q15" s="431"/>
      <c r="R15" s="431"/>
      <c r="S15" s="470"/>
      <c r="T15" s="437"/>
      <c r="U15" s="437"/>
      <c r="V15" s="25" t="s">
        <v>93</v>
      </c>
      <c r="W15" s="26">
        <v>1</v>
      </c>
      <c r="X15" s="26">
        <v>0.12</v>
      </c>
      <c r="Y15" s="27">
        <v>0.48</v>
      </c>
      <c r="Z15" s="21">
        <f t="shared" si="2"/>
        <v>0.6</v>
      </c>
      <c r="AA15" s="565"/>
      <c r="AB15" s="28">
        <v>44197</v>
      </c>
      <c r="AC15" s="23">
        <v>365</v>
      </c>
      <c r="AD15" s="22" t="s">
        <v>60</v>
      </c>
      <c r="AE15" s="22" t="s">
        <v>60</v>
      </c>
      <c r="AF15" s="42">
        <v>0.16600000000000001</v>
      </c>
      <c r="AG15" s="446"/>
      <c r="AH15" s="446"/>
      <c r="AI15" s="446"/>
      <c r="AJ15" s="434"/>
      <c r="AK15" s="434"/>
      <c r="AL15" s="434"/>
      <c r="AM15" s="431"/>
      <c r="AN15" s="446"/>
      <c r="AO15" s="437"/>
      <c r="AP15" s="440"/>
      <c r="AQ15" s="437"/>
      <c r="AR15" s="443"/>
      <c r="AS15" s="19" t="s">
        <v>66</v>
      </c>
      <c r="AT15" s="25" t="s">
        <v>67</v>
      </c>
      <c r="AU15" s="26" t="s">
        <v>68</v>
      </c>
      <c r="AV15" s="25"/>
      <c r="AW15" s="25"/>
    </row>
    <row r="16" spans="1:49" ht="42.75" x14ac:dyDescent="0.25">
      <c r="A16" s="531"/>
      <c r="B16" s="470"/>
      <c r="C16" s="473"/>
      <c r="D16" s="652"/>
      <c r="E16" s="473"/>
      <c r="F16" s="470"/>
      <c r="G16" s="473"/>
      <c r="H16" s="473"/>
      <c r="I16" s="473"/>
      <c r="J16" s="473"/>
      <c r="K16" s="489"/>
      <c r="L16" s="464"/>
      <c r="M16" s="464"/>
      <c r="N16" s="464"/>
      <c r="O16" s="645"/>
      <c r="P16" s="629"/>
      <c r="Q16" s="431"/>
      <c r="R16" s="431"/>
      <c r="S16" s="470"/>
      <c r="T16" s="437"/>
      <c r="U16" s="437"/>
      <c r="V16" s="25" t="s">
        <v>94</v>
      </c>
      <c r="W16" s="26">
        <v>342</v>
      </c>
      <c r="X16" s="26">
        <v>1000</v>
      </c>
      <c r="Y16" s="27">
        <v>0</v>
      </c>
      <c r="Z16" s="21">
        <v>1</v>
      </c>
      <c r="AA16" s="565"/>
      <c r="AB16" s="28">
        <v>44197</v>
      </c>
      <c r="AC16" s="23">
        <v>365</v>
      </c>
      <c r="AD16" s="22" t="s">
        <v>60</v>
      </c>
      <c r="AE16" s="22" t="s">
        <v>60</v>
      </c>
      <c r="AF16" s="42">
        <v>0.16600000000000001</v>
      </c>
      <c r="AG16" s="446"/>
      <c r="AH16" s="446"/>
      <c r="AI16" s="446"/>
      <c r="AJ16" s="434"/>
      <c r="AK16" s="434"/>
      <c r="AL16" s="434"/>
      <c r="AM16" s="431"/>
      <c r="AN16" s="446"/>
      <c r="AO16" s="437"/>
      <c r="AP16" s="440"/>
      <c r="AQ16" s="437"/>
      <c r="AR16" s="443"/>
      <c r="AS16" s="19" t="s">
        <v>66</v>
      </c>
      <c r="AT16" s="25" t="s">
        <v>67</v>
      </c>
      <c r="AU16" s="26" t="s">
        <v>68</v>
      </c>
      <c r="AV16" s="25"/>
      <c r="AW16" s="25"/>
    </row>
    <row r="17" spans="1:49" ht="29.25" thickBot="1" x14ac:dyDescent="0.3">
      <c r="A17" s="531"/>
      <c r="B17" s="470"/>
      <c r="C17" s="473"/>
      <c r="D17" s="652"/>
      <c r="E17" s="473"/>
      <c r="F17" s="470"/>
      <c r="G17" s="474"/>
      <c r="H17" s="474"/>
      <c r="I17" s="474"/>
      <c r="J17" s="474"/>
      <c r="K17" s="495"/>
      <c r="L17" s="464"/>
      <c r="M17" s="464"/>
      <c r="N17" s="464"/>
      <c r="O17" s="645"/>
      <c r="P17" s="629"/>
      <c r="Q17" s="431"/>
      <c r="R17" s="431"/>
      <c r="S17" s="471"/>
      <c r="T17" s="438"/>
      <c r="U17" s="438"/>
      <c r="V17" s="43" t="s">
        <v>95</v>
      </c>
      <c r="W17" s="44">
        <v>5</v>
      </c>
      <c r="X17" s="44">
        <v>0</v>
      </c>
      <c r="Y17" s="45">
        <v>1</v>
      </c>
      <c r="Z17" s="21">
        <f t="shared" si="2"/>
        <v>0.2</v>
      </c>
      <c r="AA17" s="566"/>
      <c r="AB17" s="35">
        <v>44197</v>
      </c>
      <c r="AC17" s="46">
        <v>365</v>
      </c>
      <c r="AD17" s="47" t="s">
        <v>60</v>
      </c>
      <c r="AE17" s="47" t="s">
        <v>60</v>
      </c>
      <c r="AF17" s="48">
        <v>0.16600000000000001</v>
      </c>
      <c r="AG17" s="447"/>
      <c r="AH17" s="447"/>
      <c r="AI17" s="447"/>
      <c r="AJ17" s="435"/>
      <c r="AK17" s="435"/>
      <c r="AL17" s="435"/>
      <c r="AM17" s="459"/>
      <c r="AN17" s="447"/>
      <c r="AO17" s="438"/>
      <c r="AP17" s="441"/>
      <c r="AQ17" s="438"/>
      <c r="AR17" s="444"/>
      <c r="AS17" s="38" t="s">
        <v>66</v>
      </c>
      <c r="AT17" s="43" t="s">
        <v>67</v>
      </c>
      <c r="AU17" s="44" t="s">
        <v>68</v>
      </c>
      <c r="AV17" s="43"/>
      <c r="AW17" s="43"/>
    </row>
    <row r="18" spans="1:49" ht="48.75" customHeight="1" thickBot="1" x14ac:dyDescent="0.3">
      <c r="A18" s="531"/>
      <c r="B18" s="470"/>
      <c r="C18" s="473"/>
      <c r="D18" s="652"/>
      <c r="E18" s="473"/>
      <c r="F18" s="470"/>
      <c r="G18" s="472" t="s">
        <v>96</v>
      </c>
      <c r="H18" s="472" t="s">
        <v>54</v>
      </c>
      <c r="I18" s="472" t="s">
        <v>97</v>
      </c>
      <c r="J18" s="472" t="s">
        <v>96</v>
      </c>
      <c r="K18" s="646">
        <v>40</v>
      </c>
      <c r="L18" s="630">
        <v>10</v>
      </c>
      <c r="M18" s="630">
        <v>29</v>
      </c>
      <c r="N18" s="630">
        <v>4</v>
      </c>
      <c r="O18" s="633">
        <v>4</v>
      </c>
      <c r="P18" s="633">
        <f>M18+N18+O18</f>
        <v>37</v>
      </c>
      <c r="Q18" s="636">
        <f>(N18+O18)/L18</f>
        <v>0.8</v>
      </c>
      <c r="R18" s="636">
        <f>+P18/K18</f>
        <v>0.92500000000000004</v>
      </c>
      <c r="S18" s="491" t="s">
        <v>98</v>
      </c>
      <c r="T18" s="436">
        <v>2021130010197</v>
      </c>
      <c r="U18" s="436" t="s">
        <v>99</v>
      </c>
      <c r="V18" s="49" t="s">
        <v>100</v>
      </c>
      <c r="W18" s="41">
        <v>10</v>
      </c>
      <c r="X18" s="41">
        <v>4</v>
      </c>
      <c r="Y18" s="50">
        <v>4</v>
      </c>
      <c r="Z18" s="51">
        <f>(X18+Y18)/W18</f>
        <v>0.8</v>
      </c>
      <c r="AA18" s="564">
        <f>AVERAGE(Z18:Z29)</f>
        <v>0.65277777777777768</v>
      </c>
      <c r="AB18" s="39">
        <v>44197</v>
      </c>
      <c r="AC18" s="52">
        <v>365</v>
      </c>
      <c r="AD18" s="22" t="s">
        <v>60</v>
      </c>
      <c r="AE18" s="53" t="s">
        <v>60</v>
      </c>
      <c r="AF18" s="40">
        <v>8.3000000000000004E-2</v>
      </c>
      <c r="AG18" s="494" t="s">
        <v>61</v>
      </c>
      <c r="AH18" s="445" t="s">
        <v>62</v>
      </c>
      <c r="AI18" s="445" t="s">
        <v>63</v>
      </c>
      <c r="AJ18" s="547">
        <v>1067000000</v>
      </c>
      <c r="AK18" s="547">
        <v>1000000000</v>
      </c>
      <c r="AL18" s="547">
        <v>1022292815</v>
      </c>
      <c r="AM18" s="430">
        <f>+AL18/AJ18</f>
        <v>0.95810010777881915</v>
      </c>
      <c r="AN18" s="445" t="s">
        <v>63</v>
      </c>
      <c r="AO18" s="436" t="s">
        <v>64</v>
      </c>
      <c r="AP18" s="439"/>
      <c r="AQ18" s="436" t="s">
        <v>65</v>
      </c>
      <c r="AR18" s="442">
        <f>AL18</f>
        <v>1022292815</v>
      </c>
      <c r="AS18" s="19" t="s">
        <v>66</v>
      </c>
      <c r="AT18" s="49" t="s">
        <v>67</v>
      </c>
      <c r="AU18" s="41" t="s">
        <v>68</v>
      </c>
      <c r="AV18" s="49"/>
      <c r="AW18" s="49"/>
    </row>
    <row r="19" spans="1:49" ht="57" customHeight="1" thickBot="1" x14ac:dyDescent="0.3">
      <c r="A19" s="531"/>
      <c r="B19" s="470"/>
      <c r="C19" s="473"/>
      <c r="D19" s="652"/>
      <c r="E19" s="473"/>
      <c r="F19" s="470"/>
      <c r="G19" s="473"/>
      <c r="H19" s="473"/>
      <c r="I19" s="473"/>
      <c r="J19" s="473"/>
      <c r="K19" s="647"/>
      <c r="L19" s="631"/>
      <c r="M19" s="631"/>
      <c r="N19" s="631"/>
      <c r="O19" s="634"/>
      <c r="P19" s="634"/>
      <c r="Q19" s="637"/>
      <c r="R19" s="637"/>
      <c r="S19" s="492"/>
      <c r="T19" s="437"/>
      <c r="U19" s="437"/>
      <c r="V19" s="25" t="s">
        <v>101</v>
      </c>
      <c r="W19" s="26">
        <v>10</v>
      </c>
      <c r="X19" s="26">
        <v>4</v>
      </c>
      <c r="Y19" s="27">
        <v>4</v>
      </c>
      <c r="Z19" s="51">
        <f t="shared" ref="Z19:Z29" si="3">(X19+Y19)/W19</f>
        <v>0.8</v>
      </c>
      <c r="AA19" s="565"/>
      <c r="AB19" s="28">
        <v>44197</v>
      </c>
      <c r="AC19" s="54">
        <v>365</v>
      </c>
      <c r="AD19" s="22" t="s">
        <v>60</v>
      </c>
      <c r="AE19" s="53" t="s">
        <v>60</v>
      </c>
      <c r="AF19" s="55">
        <v>8.3000000000000004E-2</v>
      </c>
      <c r="AG19" s="579"/>
      <c r="AH19" s="446"/>
      <c r="AI19" s="446"/>
      <c r="AJ19" s="539"/>
      <c r="AK19" s="539"/>
      <c r="AL19" s="539"/>
      <c r="AM19" s="431"/>
      <c r="AN19" s="446"/>
      <c r="AO19" s="437"/>
      <c r="AP19" s="440"/>
      <c r="AQ19" s="437"/>
      <c r="AR19" s="443"/>
      <c r="AS19" s="19" t="s">
        <v>66</v>
      </c>
      <c r="AT19" s="25" t="s">
        <v>67</v>
      </c>
      <c r="AU19" s="26" t="s">
        <v>68</v>
      </c>
      <c r="AV19" s="25"/>
      <c r="AW19" s="25"/>
    </row>
    <row r="20" spans="1:49" ht="39.75" customHeight="1" thickBot="1" x14ac:dyDescent="0.3">
      <c r="A20" s="531"/>
      <c r="B20" s="470"/>
      <c r="C20" s="473"/>
      <c r="D20" s="652"/>
      <c r="E20" s="473"/>
      <c r="F20" s="470"/>
      <c r="G20" s="473"/>
      <c r="H20" s="473"/>
      <c r="I20" s="473"/>
      <c r="J20" s="473"/>
      <c r="K20" s="647"/>
      <c r="L20" s="631"/>
      <c r="M20" s="631"/>
      <c r="N20" s="631"/>
      <c r="O20" s="634"/>
      <c r="P20" s="634"/>
      <c r="Q20" s="637"/>
      <c r="R20" s="637"/>
      <c r="S20" s="492"/>
      <c r="T20" s="437"/>
      <c r="U20" s="437"/>
      <c r="V20" s="25" t="s">
        <v>102</v>
      </c>
      <c r="W20" s="26">
        <v>10</v>
      </c>
      <c r="X20" s="26">
        <v>4</v>
      </c>
      <c r="Y20" s="27">
        <v>4</v>
      </c>
      <c r="Z20" s="51">
        <f t="shared" si="3"/>
        <v>0.8</v>
      </c>
      <c r="AA20" s="565"/>
      <c r="AB20" s="28">
        <v>44197</v>
      </c>
      <c r="AC20" s="54">
        <v>365</v>
      </c>
      <c r="AD20" s="22" t="s">
        <v>60</v>
      </c>
      <c r="AE20" s="53" t="s">
        <v>60</v>
      </c>
      <c r="AF20" s="55">
        <v>8.3000000000000004E-2</v>
      </c>
      <c r="AG20" s="579"/>
      <c r="AH20" s="446"/>
      <c r="AI20" s="446"/>
      <c r="AJ20" s="539"/>
      <c r="AK20" s="539"/>
      <c r="AL20" s="539"/>
      <c r="AM20" s="431"/>
      <c r="AN20" s="446"/>
      <c r="AO20" s="437"/>
      <c r="AP20" s="440"/>
      <c r="AQ20" s="437"/>
      <c r="AR20" s="443"/>
      <c r="AS20" s="19" t="s">
        <v>66</v>
      </c>
      <c r="AT20" s="25" t="s">
        <v>86</v>
      </c>
      <c r="AU20" s="26" t="s">
        <v>68</v>
      </c>
      <c r="AV20" s="25"/>
      <c r="AW20" s="25"/>
    </row>
    <row r="21" spans="1:49" ht="44.25" customHeight="1" thickBot="1" x14ac:dyDescent="0.3">
      <c r="A21" s="531"/>
      <c r="B21" s="470"/>
      <c r="C21" s="473"/>
      <c r="D21" s="652"/>
      <c r="E21" s="473"/>
      <c r="F21" s="470"/>
      <c r="G21" s="473"/>
      <c r="H21" s="473"/>
      <c r="I21" s="473"/>
      <c r="J21" s="473"/>
      <c r="K21" s="647"/>
      <c r="L21" s="631"/>
      <c r="M21" s="631"/>
      <c r="N21" s="631"/>
      <c r="O21" s="634"/>
      <c r="P21" s="634"/>
      <c r="Q21" s="637"/>
      <c r="R21" s="637"/>
      <c r="S21" s="492"/>
      <c r="T21" s="437"/>
      <c r="U21" s="437"/>
      <c r="V21" s="25" t="s">
        <v>103</v>
      </c>
      <c r="W21" s="26">
        <v>10</v>
      </c>
      <c r="X21" s="26">
        <v>4</v>
      </c>
      <c r="Y21" s="27">
        <v>4</v>
      </c>
      <c r="Z21" s="51">
        <f t="shared" si="3"/>
        <v>0.8</v>
      </c>
      <c r="AA21" s="565"/>
      <c r="AB21" s="28">
        <v>44197</v>
      </c>
      <c r="AC21" s="54">
        <v>365</v>
      </c>
      <c r="AD21" s="22" t="s">
        <v>60</v>
      </c>
      <c r="AE21" s="53" t="s">
        <v>60</v>
      </c>
      <c r="AF21" s="55">
        <v>8.3000000000000004E-2</v>
      </c>
      <c r="AG21" s="579"/>
      <c r="AH21" s="446"/>
      <c r="AI21" s="446"/>
      <c r="AJ21" s="539"/>
      <c r="AK21" s="539"/>
      <c r="AL21" s="539"/>
      <c r="AM21" s="431"/>
      <c r="AN21" s="446"/>
      <c r="AO21" s="437"/>
      <c r="AP21" s="440"/>
      <c r="AQ21" s="437"/>
      <c r="AR21" s="443"/>
      <c r="AS21" s="19" t="s">
        <v>66</v>
      </c>
      <c r="AT21" s="25" t="s">
        <v>67</v>
      </c>
      <c r="AU21" s="26" t="s">
        <v>68</v>
      </c>
      <c r="AV21" s="25"/>
      <c r="AW21" s="25"/>
    </row>
    <row r="22" spans="1:49" ht="33.75" customHeight="1" thickBot="1" x14ac:dyDescent="0.3">
      <c r="A22" s="531"/>
      <c r="B22" s="470"/>
      <c r="C22" s="473"/>
      <c r="D22" s="652"/>
      <c r="E22" s="473"/>
      <c r="F22" s="470"/>
      <c r="G22" s="473"/>
      <c r="H22" s="473"/>
      <c r="I22" s="473"/>
      <c r="J22" s="473"/>
      <c r="K22" s="647"/>
      <c r="L22" s="632"/>
      <c r="M22" s="632"/>
      <c r="N22" s="632"/>
      <c r="O22" s="635"/>
      <c r="P22" s="635"/>
      <c r="Q22" s="638"/>
      <c r="R22" s="638"/>
      <c r="S22" s="492"/>
      <c r="T22" s="437"/>
      <c r="U22" s="437"/>
      <c r="V22" s="25" t="s">
        <v>104</v>
      </c>
      <c r="W22" s="26">
        <v>10</v>
      </c>
      <c r="X22" s="26">
        <v>4</v>
      </c>
      <c r="Y22" s="27">
        <v>11</v>
      </c>
      <c r="Z22" s="51">
        <f t="shared" si="3"/>
        <v>1.5</v>
      </c>
      <c r="AA22" s="565"/>
      <c r="AB22" s="28">
        <v>44197</v>
      </c>
      <c r="AC22" s="54">
        <v>365</v>
      </c>
      <c r="AD22" s="22" t="s">
        <v>60</v>
      </c>
      <c r="AE22" s="53" t="s">
        <v>60</v>
      </c>
      <c r="AF22" s="55">
        <v>8.3000000000000004E-2</v>
      </c>
      <c r="AG22" s="579"/>
      <c r="AH22" s="446"/>
      <c r="AI22" s="446"/>
      <c r="AJ22" s="539"/>
      <c r="AK22" s="539"/>
      <c r="AL22" s="539"/>
      <c r="AM22" s="431"/>
      <c r="AN22" s="446"/>
      <c r="AO22" s="437"/>
      <c r="AP22" s="440"/>
      <c r="AQ22" s="437"/>
      <c r="AR22" s="443"/>
      <c r="AS22" s="19" t="s">
        <v>66</v>
      </c>
      <c r="AT22" s="25" t="s">
        <v>67</v>
      </c>
      <c r="AU22" s="26" t="s">
        <v>68</v>
      </c>
      <c r="AV22" s="25"/>
      <c r="AW22" s="25"/>
    </row>
    <row r="23" spans="1:49" ht="44.25" customHeight="1" thickBot="1" x14ac:dyDescent="0.3">
      <c r="A23" s="531"/>
      <c r="B23" s="470"/>
      <c r="C23" s="473"/>
      <c r="D23" s="652"/>
      <c r="E23" s="473"/>
      <c r="F23" s="470"/>
      <c r="G23" s="472" t="s">
        <v>105</v>
      </c>
      <c r="H23" s="472" t="s">
        <v>54</v>
      </c>
      <c r="I23" s="472" t="s">
        <v>106</v>
      </c>
      <c r="J23" s="472" t="s">
        <v>107</v>
      </c>
      <c r="K23" s="488">
        <v>150</v>
      </c>
      <c r="L23" s="489">
        <v>30</v>
      </c>
      <c r="M23" s="489">
        <v>18</v>
      </c>
      <c r="N23" s="489">
        <v>7</v>
      </c>
      <c r="O23" s="641">
        <v>3</v>
      </c>
      <c r="P23" s="641">
        <f>M23+N23+O23</f>
        <v>28</v>
      </c>
      <c r="Q23" s="431">
        <f>(N23+O23)/L23</f>
        <v>0.33333333333333331</v>
      </c>
      <c r="R23" s="431">
        <f>+P23/K23</f>
        <v>0.18666666666666668</v>
      </c>
      <c r="S23" s="492"/>
      <c r="T23" s="437"/>
      <c r="U23" s="437"/>
      <c r="V23" s="25" t="s">
        <v>108</v>
      </c>
      <c r="W23" s="26">
        <v>30</v>
      </c>
      <c r="X23" s="26">
        <v>7</v>
      </c>
      <c r="Y23" s="27">
        <v>3</v>
      </c>
      <c r="Z23" s="51">
        <f>(X23+Y23)/W23</f>
        <v>0.33333333333333331</v>
      </c>
      <c r="AA23" s="565"/>
      <c r="AB23" s="28">
        <v>44197</v>
      </c>
      <c r="AC23" s="54">
        <v>365</v>
      </c>
      <c r="AD23" s="22" t="s">
        <v>60</v>
      </c>
      <c r="AE23" s="53" t="s">
        <v>60</v>
      </c>
      <c r="AF23" s="55">
        <v>8.3000000000000004E-2</v>
      </c>
      <c r="AG23" s="579"/>
      <c r="AH23" s="446"/>
      <c r="AI23" s="446"/>
      <c r="AJ23" s="539"/>
      <c r="AK23" s="539"/>
      <c r="AL23" s="539"/>
      <c r="AM23" s="431"/>
      <c r="AN23" s="446"/>
      <c r="AO23" s="437"/>
      <c r="AP23" s="440"/>
      <c r="AQ23" s="437"/>
      <c r="AR23" s="443"/>
      <c r="AS23" s="19" t="s">
        <v>66</v>
      </c>
      <c r="AT23" s="25" t="s">
        <v>67</v>
      </c>
      <c r="AU23" s="26" t="s">
        <v>68</v>
      </c>
      <c r="AV23" s="25"/>
      <c r="AW23" s="25"/>
    </row>
    <row r="24" spans="1:49" ht="57.75" thickBot="1" x14ac:dyDescent="0.3">
      <c r="A24" s="531"/>
      <c r="B24" s="470"/>
      <c r="C24" s="473"/>
      <c r="D24" s="652"/>
      <c r="E24" s="473"/>
      <c r="F24" s="470"/>
      <c r="G24" s="473"/>
      <c r="H24" s="473"/>
      <c r="I24" s="473"/>
      <c r="J24" s="473"/>
      <c r="K24" s="489"/>
      <c r="L24" s="489"/>
      <c r="M24" s="489"/>
      <c r="N24" s="489"/>
      <c r="O24" s="641"/>
      <c r="P24" s="641"/>
      <c r="Q24" s="431"/>
      <c r="R24" s="431"/>
      <c r="S24" s="492"/>
      <c r="T24" s="437"/>
      <c r="U24" s="437"/>
      <c r="V24" s="25" t="s">
        <v>109</v>
      </c>
      <c r="W24" s="26">
        <v>30</v>
      </c>
      <c r="X24" s="26">
        <v>7</v>
      </c>
      <c r="Y24" s="27">
        <v>3</v>
      </c>
      <c r="Z24" s="51">
        <f t="shared" si="3"/>
        <v>0.33333333333333331</v>
      </c>
      <c r="AA24" s="565"/>
      <c r="AB24" s="28">
        <v>44197</v>
      </c>
      <c r="AC24" s="54">
        <v>365</v>
      </c>
      <c r="AD24" s="22" t="s">
        <v>60</v>
      </c>
      <c r="AE24" s="53" t="s">
        <v>60</v>
      </c>
      <c r="AF24" s="55">
        <v>8.3000000000000004E-2</v>
      </c>
      <c r="AG24" s="579"/>
      <c r="AH24" s="446"/>
      <c r="AI24" s="446"/>
      <c r="AJ24" s="539"/>
      <c r="AK24" s="539"/>
      <c r="AL24" s="539"/>
      <c r="AM24" s="431"/>
      <c r="AN24" s="446"/>
      <c r="AO24" s="437"/>
      <c r="AP24" s="440"/>
      <c r="AQ24" s="437"/>
      <c r="AR24" s="443"/>
      <c r="AS24" s="19" t="s">
        <v>66</v>
      </c>
      <c r="AT24" s="25" t="s">
        <v>67</v>
      </c>
      <c r="AU24" s="26" t="s">
        <v>68</v>
      </c>
      <c r="AV24" s="25"/>
      <c r="AW24" s="25"/>
    </row>
    <row r="25" spans="1:49" ht="51.75" customHeight="1" thickBot="1" x14ac:dyDescent="0.3">
      <c r="A25" s="531"/>
      <c r="B25" s="470"/>
      <c r="C25" s="473"/>
      <c r="D25" s="652"/>
      <c r="E25" s="473"/>
      <c r="F25" s="470"/>
      <c r="G25" s="473"/>
      <c r="H25" s="473"/>
      <c r="I25" s="473"/>
      <c r="J25" s="473"/>
      <c r="K25" s="489"/>
      <c r="L25" s="489"/>
      <c r="M25" s="489"/>
      <c r="N25" s="489"/>
      <c r="O25" s="641"/>
      <c r="P25" s="641"/>
      <c r="Q25" s="431"/>
      <c r="R25" s="431"/>
      <c r="S25" s="492"/>
      <c r="T25" s="437"/>
      <c r="U25" s="437"/>
      <c r="V25" s="25" t="s">
        <v>110</v>
      </c>
      <c r="W25" s="26">
        <v>30</v>
      </c>
      <c r="X25" s="26">
        <v>7</v>
      </c>
      <c r="Y25" s="27">
        <v>3</v>
      </c>
      <c r="Z25" s="51">
        <f t="shared" si="3"/>
        <v>0.33333333333333331</v>
      </c>
      <c r="AA25" s="565"/>
      <c r="AB25" s="28">
        <v>44197</v>
      </c>
      <c r="AC25" s="54">
        <v>365</v>
      </c>
      <c r="AD25" s="22" t="s">
        <v>60</v>
      </c>
      <c r="AE25" s="53" t="s">
        <v>60</v>
      </c>
      <c r="AF25" s="55">
        <v>8.3000000000000004E-2</v>
      </c>
      <c r="AG25" s="579"/>
      <c r="AH25" s="446"/>
      <c r="AI25" s="446"/>
      <c r="AJ25" s="539"/>
      <c r="AK25" s="539"/>
      <c r="AL25" s="539"/>
      <c r="AM25" s="431"/>
      <c r="AN25" s="446"/>
      <c r="AO25" s="437"/>
      <c r="AP25" s="440"/>
      <c r="AQ25" s="437"/>
      <c r="AR25" s="443"/>
      <c r="AS25" s="19" t="s">
        <v>66</v>
      </c>
      <c r="AT25" s="25" t="s">
        <v>67</v>
      </c>
      <c r="AU25" s="26" t="s">
        <v>68</v>
      </c>
      <c r="AV25" s="25"/>
      <c r="AW25" s="25"/>
    </row>
    <row r="26" spans="1:49" ht="53.25" customHeight="1" thickBot="1" x14ac:dyDescent="0.3">
      <c r="A26" s="531"/>
      <c r="B26" s="470"/>
      <c r="C26" s="473"/>
      <c r="D26" s="652"/>
      <c r="E26" s="473"/>
      <c r="F26" s="470"/>
      <c r="G26" s="474"/>
      <c r="H26" s="474"/>
      <c r="I26" s="474"/>
      <c r="J26" s="474"/>
      <c r="K26" s="495"/>
      <c r="L26" s="495"/>
      <c r="M26" s="495"/>
      <c r="N26" s="495"/>
      <c r="O26" s="642"/>
      <c r="P26" s="642"/>
      <c r="Q26" s="431"/>
      <c r="R26" s="431"/>
      <c r="S26" s="492"/>
      <c r="T26" s="437"/>
      <c r="U26" s="437"/>
      <c r="V26" s="25" t="s">
        <v>74</v>
      </c>
      <c r="W26" s="26">
        <v>30</v>
      </c>
      <c r="X26" s="26">
        <v>7</v>
      </c>
      <c r="Y26" s="27">
        <v>3</v>
      </c>
      <c r="Z26" s="51">
        <f t="shared" si="3"/>
        <v>0.33333333333333331</v>
      </c>
      <c r="AA26" s="565"/>
      <c r="AB26" s="28">
        <v>44197</v>
      </c>
      <c r="AC26" s="54">
        <v>365</v>
      </c>
      <c r="AD26" s="22" t="s">
        <v>60</v>
      </c>
      <c r="AE26" s="53" t="s">
        <v>60</v>
      </c>
      <c r="AF26" s="55">
        <v>8.3000000000000004E-2</v>
      </c>
      <c r="AG26" s="579"/>
      <c r="AH26" s="446"/>
      <c r="AI26" s="446"/>
      <c r="AJ26" s="539"/>
      <c r="AK26" s="539"/>
      <c r="AL26" s="539"/>
      <c r="AM26" s="431"/>
      <c r="AN26" s="446"/>
      <c r="AO26" s="437"/>
      <c r="AP26" s="440"/>
      <c r="AQ26" s="437"/>
      <c r="AR26" s="443"/>
      <c r="AS26" s="19" t="s">
        <v>66</v>
      </c>
      <c r="AT26" s="25" t="s">
        <v>67</v>
      </c>
      <c r="AU26" s="26" t="s">
        <v>68</v>
      </c>
      <c r="AV26" s="25"/>
      <c r="AW26" s="25"/>
    </row>
    <row r="27" spans="1:49" ht="57.75" thickBot="1" x14ac:dyDescent="0.3">
      <c r="A27" s="531"/>
      <c r="B27" s="470"/>
      <c r="C27" s="473"/>
      <c r="D27" s="652"/>
      <c r="E27" s="473"/>
      <c r="F27" s="470"/>
      <c r="G27" s="472" t="s">
        <v>111</v>
      </c>
      <c r="H27" s="472" t="s">
        <v>54</v>
      </c>
      <c r="I27" s="472" t="s">
        <v>81</v>
      </c>
      <c r="J27" s="472" t="s">
        <v>112</v>
      </c>
      <c r="K27" s="488">
        <v>3</v>
      </c>
      <c r="L27" s="488">
        <v>1</v>
      </c>
      <c r="M27" s="463">
        <v>1.75</v>
      </c>
      <c r="N27" s="463">
        <v>0.2</v>
      </c>
      <c r="O27" s="628">
        <v>0.4</v>
      </c>
      <c r="P27" s="639">
        <f>M27+N27+O27</f>
        <v>2.35</v>
      </c>
      <c r="Q27" s="490">
        <f>+(N27+O27)/L27</f>
        <v>0.60000000000000009</v>
      </c>
      <c r="R27" s="490">
        <f>+P27/K27</f>
        <v>0.78333333333333333</v>
      </c>
      <c r="S27" s="492"/>
      <c r="T27" s="437"/>
      <c r="U27" s="437"/>
      <c r="V27" s="25" t="s">
        <v>113</v>
      </c>
      <c r="W27" s="26">
        <v>1</v>
      </c>
      <c r="X27" s="26">
        <v>0.2</v>
      </c>
      <c r="Y27" s="27">
        <v>0.4</v>
      </c>
      <c r="Z27" s="51">
        <f>(X27+Y27)/W27</f>
        <v>0.60000000000000009</v>
      </c>
      <c r="AA27" s="565"/>
      <c r="AB27" s="28">
        <v>44197</v>
      </c>
      <c r="AC27" s="54">
        <v>365</v>
      </c>
      <c r="AD27" s="22" t="s">
        <v>60</v>
      </c>
      <c r="AE27" s="53" t="s">
        <v>60</v>
      </c>
      <c r="AF27" s="55">
        <v>8.3000000000000004E-2</v>
      </c>
      <c r="AG27" s="579"/>
      <c r="AH27" s="446"/>
      <c r="AI27" s="446"/>
      <c r="AJ27" s="539"/>
      <c r="AK27" s="539"/>
      <c r="AL27" s="539"/>
      <c r="AM27" s="431"/>
      <c r="AN27" s="446"/>
      <c r="AO27" s="437"/>
      <c r="AP27" s="440"/>
      <c r="AQ27" s="437"/>
      <c r="AR27" s="443"/>
      <c r="AS27" s="19" t="s">
        <v>66</v>
      </c>
      <c r="AT27" s="25" t="s">
        <v>67</v>
      </c>
      <c r="AU27" s="26" t="s">
        <v>68</v>
      </c>
      <c r="AV27" s="25"/>
      <c r="AW27" s="25"/>
    </row>
    <row r="28" spans="1:49" ht="57.75" thickBot="1" x14ac:dyDescent="0.3">
      <c r="A28" s="531"/>
      <c r="B28" s="470"/>
      <c r="C28" s="473"/>
      <c r="D28" s="652"/>
      <c r="E28" s="473"/>
      <c r="F28" s="470"/>
      <c r="G28" s="473"/>
      <c r="H28" s="473"/>
      <c r="I28" s="473"/>
      <c r="J28" s="473"/>
      <c r="K28" s="489"/>
      <c r="L28" s="489"/>
      <c r="M28" s="464"/>
      <c r="N28" s="464"/>
      <c r="O28" s="629"/>
      <c r="P28" s="640"/>
      <c r="Q28" s="490"/>
      <c r="R28" s="490"/>
      <c r="S28" s="492"/>
      <c r="T28" s="437"/>
      <c r="U28" s="437"/>
      <c r="V28" s="25" t="s">
        <v>114</v>
      </c>
      <c r="W28" s="26">
        <v>1</v>
      </c>
      <c r="X28" s="26">
        <v>0.2</v>
      </c>
      <c r="Y28" s="27">
        <v>0.4</v>
      </c>
      <c r="Z28" s="51">
        <f t="shared" si="3"/>
        <v>0.60000000000000009</v>
      </c>
      <c r="AA28" s="565"/>
      <c r="AB28" s="28">
        <v>44197</v>
      </c>
      <c r="AC28" s="54">
        <v>365</v>
      </c>
      <c r="AD28" s="22" t="s">
        <v>60</v>
      </c>
      <c r="AE28" s="53" t="s">
        <v>60</v>
      </c>
      <c r="AF28" s="55">
        <v>8.3000000000000004E-2</v>
      </c>
      <c r="AG28" s="579"/>
      <c r="AH28" s="446"/>
      <c r="AI28" s="446"/>
      <c r="AJ28" s="539"/>
      <c r="AK28" s="539"/>
      <c r="AL28" s="539"/>
      <c r="AM28" s="431"/>
      <c r="AN28" s="446"/>
      <c r="AO28" s="437"/>
      <c r="AP28" s="440"/>
      <c r="AQ28" s="437"/>
      <c r="AR28" s="443"/>
      <c r="AS28" s="19" t="s">
        <v>66</v>
      </c>
      <c r="AT28" s="25" t="s">
        <v>67</v>
      </c>
      <c r="AU28" s="26" t="s">
        <v>68</v>
      </c>
      <c r="AV28" s="25"/>
      <c r="AW28" s="25"/>
    </row>
    <row r="29" spans="1:49" ht="43.5" thickBot="1" x14ac:dyDescent="0.3">
      <c r="A29" s="531"/>
      <c r="B29" s="470"/>
      <c r="C29" s="473"/>
      <c r="D29" s="652"/>
      <c r="E29" s="473"/>
      <c r="F29" s="470"/>
      <c r="G29" s="473"/>
      <c r="H29" s="473"/>
      <c r="I29" s="473"/>
      <c r="J29" s="473"/>
      <c r="K29" s="489"/>
      <c r="L29" s="489"/>
      <c r="M29" s="464"/>
      <c r="N29" s="464"/>
      <c r="O29" s="629"/>
      <c r="P29" s="640"/>
      <c r="Q29" s="490"/>
      <c r="R29" s="490"/>
      <c r="S29" s="492"/>
      <c r="T29" s="437"/>
      <c r="U29" s="437"/>
      <c r="V29" s="25" t="s">
        <v>115</v>
      </c>
      <c r="W29" s="26">
        <v>1</v>
      </c>
      <c r="X29" s="26">
        <v>0.2</v>
      </c>
      <c r="Y29" s="27">
        <v>0.4</v>
      </c>
      <c r="Z29" s="51">
        <f t="shared" si="3"/>
        <v>0.60000000000000009</v>
      </c>
      <c r="AA29" s="643"/>
      <c r="AB29" s="28">
        <v>44197</v>
      </c>
      <c r="AC29" s="54">
        <v>365</v>
      </c>
      <c r="AD29" s="22" t="s">
        <v>60</v>
      </c>
      <c r="AE29" s="53" t="s">
        <v>60</v>
      </c>
      <c r="AF29" s="55">
        <v>8.3000000000000004E-2</v>
      </c>
      <c r="AG29" s="579"/>
      <c r="AH29" s="446"/>
      <c r="AI29" s="446"/>
      <c r="AJ29" s="539"/>
      <c r="AK29" s="539"/>
      <c r="AL29" s="539"/>
      <c r="AM29" s="431"/>
      <c r="AN29" s="446"/>
      <c r="AO29" s="437"/>
      <c r="AP29" s="440"/>
      <c r="AQ29" s="437"/>
      <c r="AR29" s="443"/>
      <c r="AS29" s="19" t="s">
        <v>66</v>
      </c>
      <c r="AT29" s="25" t="s">
        <v>67</v>
      </c>
      <c r="AU29" s="26" t="s">
        <v>68</v>
      </c>
      <c r="AV29" s="25"/>
      <c r="AW29" s="25"/>
    </row>
    <row r="30" spans="1:49" ht="42" customHeight="1" x14ac:dyDescent="0.25">
      <c r="A30" s="531"/>
      <c r="B30" s="470"/>
      <c r="C30" s="473"/>
      <c r="D30" s="652"/>
      <c r="E30" s="473"/>
      <c r="F30" s="470"/>
      <c r="G30" s="472" t="s">
        <v>116</v>
      </c>
      <c r="H30" s="472" t="s">
        <v>54</v>
      </c>
      <c r="I30" s="472" t="s">
        <v>81</v>
      </c>
      <c r="J30" s="472" t="s">
        <v>117</v>
      </c>
      <c r="K30" s="488">
        <v>2</v>
      </c>
      <c r="L30" s="488">
        <v>0</v>
      </c>
      <c r="M30" s="463">
        <v>0.75</v>
      </c>
      <c r="N30" s="463">
        <v>0</v>
      </c>
      <c r="O30" s="628">
        <v>0</v>
      </c>
      <c r="P30" s="628">
        <f>M30+N30</f>
        <v>0.75</v>
      </c>
      <c r="Q30" s="463" t="s">
        <v>118</v>
      </c>
      <c r="R30" s="430">
        <f>+M30/K30</f>
        <v>0.375</v>
      </c>
      <c r="S30" s="492"/>
      <c r="T30" s="437"/>
      <c r="U30" s="437"/>
      <c r="V30" s="25"/>
      <c r="W30" s="26"/>
      <c r="X30" s="26"/>
      <c r="Y30" s="26"/>
      <c r="Z30" s="26"/>
      <c r="AA30" s="25"/>
      <c r="AB30" s="28"/>
      <c r="AC30" s="54"/>
      <c r="AD30" s="26"/>
      <c r="AE30" s="56"/>
      <c r="AF30" s="25"/>
      <c r="AG30" s="579"/>
      <c r="AH30" s="446"/>
      <c r="AI30" s="446"/>
      <c r="AJ30" s="539"/>
      <c r="AK30" s="539"/>
      <c r="AL30" s="539"/>
      <c r="AM30" s="431"/>
      <c r="AN30" s="446"/>
      <c r="AO30" s="437"/>
      <c r="AP30" s="440"/>
      <c r="AQ30" s="437"/>
      <c r="AR30" s="443"/>
      <c r="AS30" s="19"/>
      <c r="AT30" s="25"/>
      <c r="AU30" s="26"/>
      <c r="AV30" s="25"/>
      <c r="AW30" s="25"/>
    </row>
    <row r="31" spans="1:49" ht="133.5" customHeight="1" thickBot="1" x14ac:dyDescent="0.3">
      <c r="A31" s="531"/>
      <c r="B31" s="470"/>
      <c r="C31" s="473"/>
      <c r="D31" s="652"/>
      <c r="E31" s="473"/>
      <c r="F31" s="470"/>
      <c r="G31" s="473"/>
      <c r="H31" s="473"/>
      <c r="I31" s="473"/>
      <c r="J31" s="473"/>
      <c r="K31" s="489"/>
      <c r="L31" s="489"/>
      <c r="M31" s="464"/>
      <c r="N31" s="464"/>
      <c r="O31" s="629"/>
      <c r="P31" s="629"/>
      <c r="Q31" s="464"/>
      <c r="R31" s="431"/>
      <c r="S31" s="492"/>
      <c r="T31" s="437"/>
      <c r="U31" s="437"/>
      <c r="V31" s="43"/>
      <c r="W31" s="44"/>
      <c r="X31" s="44"/>
      <c r="Y31" s="44"/>
      <c r="Z31" s="44"/>
      <c r="AA31" s="43"/>
      <c r="AB31" s="57"/>
      <c r="AC31" s="46"/>
      <c r="AD31" s="44"/>
      <c r="AE31" s="58"/>
      <c r="AF31" s="43"/>
      <c r="AG31" s="579"/>
      <c r="AH31" s="446"/>
      <c r="AI31" s="446"/>
      <c r="AJ31" s="540"/>
      <c r="AK31" s="540"/>
      <c r="AL31" s="540"/>
      <c r="AM31" s="459"/>
      <c r="AN31" s="447"/>
      <c r="AO31" s="438"/>
      <c r="AP31" s="441"/>
      <c r="AQ31" s="438"/>
      <c r="AR31" s="444"/>
      <c r="AS31" s="19"/>
      <c r="AT31" s="32"/>
      <c r="AU31" s="33"/>
      <c r="AV31" s="32"/>
      <c r="AW31" s="32"/>
    </row>
    <row r="32" spans="1:49" ht="182.25" customHeight="1" thickBot="1" x14ac:dyDescent="0.3">
      <c r="A32" s="531"/>
      <c r="B32" s="470"/>
      <c r="C32" s="473"/>
      <c r="D32" s="652"/>
      <c r="E32" s="473"/>
      <c r="F32" s="485"/>
      <c r="G32" s="428" t="s">
        <v>119</v>
      </c>
      <c r="H32" s="428"/>
      <c r="I32" s="428"/>
      <c r="J32" s="428"/>
      <c r="K32" s="428"/>
      <c r="L32" s="428"/>
      <c r="M32" s="428"/>
      <c r="N32" s="428"/>
      <c r="O32" s="428"/>
      <c r="P32" s="428"/>
      <c r="Q32" s="223">
        <f>AVERAGE(Q2:Q29)</f>
        <v>0.6122266666666667</v>
      </c>
      <c r="R32" s="223">
        <f>AVERAGE(R2:R31)</f>
        <v>0.60550333333333339</v>
      </c>
      <c r="S32" s="493"/>
      <c r="T32" s="624" t="s">
        <v>120</v>
      </c>
      <c r="U32" s="624"/>
      <c r="V32" s="624"/>
      <c r="W32" s="624"/>
      <c r="X32" s="624"/>
      <c r="Y32" s="624"/>
      <c r="Z32" s="624"/>
      <c r="AA32" s="59">
        <f>AVERAGE(AA2:AA29)</f>
        <v>0.62763592592592587</v>
      </c>
      <c r="AB32" s="60"/>
      <c r="AC32" s="61"/>
      <c r="AD32" s="62"/>
      <c r="AE32" s="62"/>
      <c r="AF32" s="63"/>
      <c r="AG32" s="64"/>
      <c r="AH32" s="64"/>
      <c r="AI32" s="238"/>
      <c r="AJ32" s="65"/>
      <c r="AK32" s="65"/>
      <c r="AL32" s="65"/>
      <c r="AM32" s="65"/>
      <c r="AN32" s="66"/>
      <c r="AO32" s="67"/>
      <c r="AP32" s="68"/>
      <c r="AQ32" s="67"/>
      <c r="AR32" s="69"/>
      <c r="AS32" s="19"/>
      <c r="AT32" s="70"/>
      <c r="AU32" s="71"/>
      <c r="AV32" s="70"/>
      <c r="AW32" s="70"/>
    </row>
    <row r="33" spans="1:49" ht="42.75" customHeight="1" x14ac:dyDescent="0.25">
      <c r="A33" s="531"/>
      <c r="B33" s="470"/>
      <c r="C33" s="473"/>
      <c r="D33" s="652"/>
      <c r="E33" s="473"/>
      <c r="F33" s="530" t="s">
        <v>121</v>
      </c>
      <c r="G33" s="572" t="s">
        <v>122</v>
      </c>
      <c r="H33" s="572" t="s">
        <v>54</v>
      </c>
      <c r="I33" s="581" t="s">
        <v>81</v>
      </c>
      <c r="J33" s="533" t="s">
        <v>123</v>
      </c>
      <c r="K33" s="469">
        <v>1</v>
      </c>
      <c r="L33" s="528" t="s">
        <v>124</v>
      </c>
      <c r="M33" s="528">
        <v>0.85</v>
      </c>
      <c r="N33" s="528">
        <v>0.03</v>
      </c>
      <c r="O33" s="528">
        <v>0.02</v>
      </c>
      <c r="P33" s="625">
        <f>M33+N33+O33</f>
        <v>0.9</v>
      </c>
      <c r="Q33" s="627">
        <f>(N33+O33)/10%</f>
        <v>0.5</v>
      </c>
      <c r="R33" s="627">
        <f>+P33/K33</f>
        <v>0.9</v>
      </c>
      <c r="S33" s="491" t="s">
        <v>125</v>
      </c>
      <c r="T33" s="437">
        <v>2021130010201</v>
      </c>
      <c r="U33" s="437" t="s">
        <v>126</v>
      </c>
      <c r="V33" s="18" t="s">
        <v>127</v>
      </c>
      <c r="W33" s="72">
        <v>1</v>
      </c>
      <c r="X33" s="72">
        <v>0.45</v>
      </c>
      <c r="Y33" s="73">
        <v>0.05</v>
      </c>
      <c r="Z33" s="73">
        <f>(X33+Y33)/W33</f>
        <v>0.5</v>
      </c>
      <c r="AA33" s="623">
        <f>AVERAGE(Z41:Z53)</f>
        <v>0.11923076923076922</v>
      </c>
      <c r="AB33" s="22">
        <v>44197</v>
      </c>
      <c r="AC33" s="23">
        <v>365</v>
      </c>
      <c r="AD33" s="19" t="s">
        <v>60</v>
      </c>
      <c r="AE33" s="19" t="s">
        <v>60</v>
      </c>
      <c r="AF33" s="74">
        <v>5.8000000000000003E-2</v>
      </c>
      <c r="AG33" s="446" t="s">
        <v>61</v>
      </c>
      <c r="AH33" s="437" t="s">
        <v>62</v>
      </c>
      <c r="AI33" s="445" t="s">
        <v>63</v>
      </c>
      <c r="AJ33" s="433">
        <v>178834818</v>
      </c>
      <c r="AK33" s="433">
        <v>178834818</v>
      </c>
      <c r="AL33" s="433">
        <v>123033333</v>
      </c>
      <c r="AM33" s="430">
        <f>+AL33/AJ33</f>
        <v>0.6879719194279047</v>
      </c>
      <c r="AN33" s="445" t="s">
        <v>63</v>
      </c>
      <c r="AO33" s="445" t="s">
        <v>64</v>
      </c>
      <c r="AP33" s="439"/>
      <c r="AQ33" s="436" t="s">
        <v>65</v>
      </c>
      <c r="AR33" s="442">
        <f>AL33</f>
        <v>123033333</v>
      </c>
      <c r="AS33" s="19" t="s">
        <v>66</v>
      </c>
      <c r="AT33" s="18" t="s">
        <v>67</v>
      </c>
      <c r="AU33" s="19" t="s">
        <v>68</v>
      </c>
      <c r="AV33" s="18"/>
      <c r="AW33" s="18"/>
    </row>
    <row r="34" spans="1:49" ht="42.75" x14ac:dyDescent="0.25">
      <c r="A34" s="531"/>
      <c r="B34" s="470"/>
      <c r="C34" s="473"/>
      <c r="D34" s="652"/>
      <c r="E34" s="473"/>
      <c r="F34" s="531"/>
      <c r="G34" s="573"/>
      <c r="H34" s="573"/>
      <c r="I34" s="582"/>
      <c r="J34" s="534"/>
      <c r="K34" s="470"/>
      <c r="L34" s="620"/>
      <c r="M34" s="620"/>
      <c r="N34" s="620"/>
      <c r="O34" s="620"/>
      <c r="P34" s="626"/>
      <c r="Q34" s="627"/>
      <c r="R34" s="627"/>
      <c r="S34" s="492"/>
      <c r="T34" s="437"/>
      <c r="U34" s="437"/>
      <c r="V34" s="25" t="s">
        <v>128</v>
      </c>
      <c r="W34" s="75">
        <v>1</v>
      </c>
      <c r="X34" s="75">
        <v>0</v>
      </c>
      <c r="Y34" s="76">
        <v>0.5</v>
      </c>
      <c r="Z34" s="73">
        <f t="shared" ref="Z34:Z36" si="4">(X34+Y34)/W34</f>
        <v>0.5</v>
      </c>
      <c r="AA34" s="565"/>
      <c r="AB34" s="28">
        <v>44197</v>
      </c>
      <c r="AC34" s="54">
        <v>365</v>
      </c>
      <c r="AD34" s="19" t="s">
        <v>60</v>
      </c>
      <c r="AE34" s="19" t="s">
        <v>60</v>
      </c>
      <c r="AF34" s="74">
        <v>5.8000000000000003E-2</v>
      </c>
      <c r="AG34" s="446"/>
      <c r="AH34" s="437"/>
      <c r="AI34" s="446"/>
      <c r="AJ34" s="434"/>
      <c r="AK34" s="434"/>
      <c r="AL34" s="434"/>
      <c r="AM34" s="431"/>
      <c r="AN34" s="446"/>
      <c r="AO34" s="446"/>
      <c r="AP34" s="440"/>
      <c r="AQ34" s="437"/>
      <c r="AR34" s="443"/>
      <c r="AS34" s="19" t="s">
        <v>66</v>
      </c>
      <c r="AT34" s="25" t="s">
        <v>67</v>
      </c>
      <c r="AU34" s="26" t="s">
        <v>68</v>
      </c>
      <c r="AV34" s="25"/>
      <c r="AW34" s="25"/>
    </row>
    <row r="35" spans="1:49" ht="42.75" x14ac:dyDescent="0.25">
      <c r="A35" s="531"/>
      <c r="B35" s="470"/>
      <c r="C35" s="473"/>
      <c r="D35" s="652"/>
      <c r="E35" s="473"/>
      <c r="F35" s="531"/>
      <c r="G35" s="573"/>
      <c r="H35" s="573"/>
      <c r="I35" s="582"/>
      <c r="J35" s="534"/>
      <c r="K35" s="470"/>
      <c r="L35" s="620"/>
      <c r="M35" s="620"/>
      <c r="N35" s="620"/>
      <c r="O35" s="620"/>
      <c r="P35" s="626"/>
      <c r="Q35" s="627"/>
      <c r="R35" s="627"/>
      <c r="S35" s="492"/>
      <c r="T35" s="437"/>
      <c r="U35" s="437"/>
      <c r="V35" s="25" t="s">
        <v>129</v>
      </c>
      <c r="W35" s="75">
        <v>1</v>
      </c>
      <c r="X35" s="75">
        <v>0.22</v>
      </c>
      <c r="Y35" s="76">
        <v>0.28000000000000003</v>
      </c>
      <c r="Z35" s="73">
        <f t="shared" si="4"/>
        <v>0.5</v>
      </c>
      <c r="AA35" s="565"/>
      <c r="AB35" s="28">
        <v>44197</v>
      </c>
      <c r="AC35" s="54">
        <v>365</v>
      </c>
      <c r="AD35" s="19" t="s">
        <v>60</v>
      </c>
      <c r="AE35" s="19" t="s">
        <v>60</v>
      </c>
      <c r="AF35" s="74">
        <v>5.8000000000000003E-2</v>
      </c>
      <c r="AG35" s="446"/>
      <c r="AH35" s="437"/>
      <c r="AI35" s="446"/>
      <c r="AJ35" s="434"/>
      <c r="AK35" s="434"/>
      <c r="AL35" s="434"/>
      <c r="AM35" s="431"/>
      <c r="AN35" s="446"/>
      <c r="AO35" s="446"/>
      <c r="AP35" s="440"/>
      <c r="AQ35" s="437"/>
      <c r="AR35" s="443"/>
      <c r="AS35" s="19" t="s">
        <v>66</v>
      </c>
      <c r="AT35" s="25" t="s">
        <v>67</v>
      </c>
      <c r="AU35" s="26" t="s">
        <v>68</v>
      </c>
      <c r="AV35" s="25"/>
      <c r="AW35" s="25"/>
    </row>
    <row r="36" spans="1:49" ht="43.5" thickBot="1" x14ac:dyDescent="0.3">
      <c r="A36" s="531"/>
      <c r="B36" s="470"/>
      <c r="C36" s="473"/>
      <c r="D36" s="652"/>
      <c r="E36" s="473"/>
      <c r="F36" s="531"/>
      <c r="G36" s="573"/>
      <c r="H36" s="573"/>
      <c r="I36" s="582"/>
      <c r="J36" s="534"/>
      <c r="K36" s="471"/>
      <c r="L36" s="620"/>
      <c r="M36" s="620"/>
      <c r="N36" s="620"/>
      <c r="O36" s="620"/>
      <c r="P36" s="626"/>
      <c r="Q36" s="627"/>
      <c r="R36" s="627"/>
      <c r="S36" s="492"/>
      <c r="T36" s="437"/>
      <c r="U36" s="437"/>
      <c r="V36" s="25" t="s">
        <v>130</v>
      </c>
      <c r="W36" s="75">
        <v>1</v>
      </c>
      <c r="X36" s="75">
        <v>0.44</v>
      </c>
      <c r="Y36" s="76">
        <v>0.06</v>
      </c>
      <c r="Z36" s="73">
        <f t="shared" si="4"/>
        <v>0.5</v>
      </c>
      <c r="AA36" s="565"/>
      <c r="AB36" s="28">
        <v>44197</v>
      </c>
      <c r="AC36" s="54">
        <v>365</v>
      </c>
      <c r="AD36" s="19" t="s">
        <v>60</v>
      </c>
      <c r="AE36" s="19" t="s">
        <v>60</v>
      </c>
      <c r="AF36" s="74">
        <v>5.8000000000000003E-2</v>
      </c>
      <c r="AG36" s="446"/>
      <c r="AH36" s="437"/>
      <c r="AI36" s="446"/>
      <c r="AJ36" s="434"/>
      <c r="AK36" s="434"/>
      <c r="AL36" s="434"/>
      <c r="AM36" s="431"/>
      <c r="AN36" s="446"/>
      <c r="AO36" s="446"/>
      <c r="AP36" s="440"/>
      <c r="AQ36" s="437"/>
      <c r="AR36" s="443"/>
      <c r="AS36" s="19" t="s">
        <v>66</v>
      </c>
      <c r="AT36" s="25" t="s">
        <v>67</v>
      </c>
      <c r="AU36" s="26" t="s">
        <v>68</v>
      </c>
      <c r="AV36" s="25"/>
      <c r="AW36" s="25"/>
    </row>
    <row r="37" spans="1:49" ht="15" customHeight="1" x14ac:dyDescent="0.25">
      <c r="A37" s="531"/>
      <c r="B37" s="470"/>
      <c r="C37" s="473"/>
      <c r="D37" s="652"/>
      <c r="E37" s="473"/>
      <c r="F37" s="531"/>
      <c r="G37" s="572" t="s">
        <v>131</v>
      </c>
      <c r="H37" s="572" t="s">
        <v>54</v>
      </c>
      <c r="I37" s="533" t="s">
        <v>81</v>
      </c>
      <c r="J37" s="533" t="s">
        <v>132</v>
      </c>
      <c r="K37" s="485">
        <v>1</v>
      </c>
      <c r="L37" s="445">
        <v>0</v>
      </c>
      <c r="M37" s="430">
        <v>0.05</v>
      </c>
      <c r="N37" s="445">
        <v>0</v>
      </c>
      <c r="O37" s="445">
        <v>0</v>
      </c>
      <c r="P37" s="445">
        <f>M37+N37</f>
        <v>0.05</v>
      </c>
      <c r="Q37" s="430">
        <v>0</v>
      </c>
      <c r="R37" s="430">
        <v>0.05</v>
      </c>
      <c r="S37" s="470"/>
      <c r="T37" s="437"/>
      <c r="U37" s="437"/>
      <c r="V37" s="25"/>
      <c r="W37" s="26"/>
      <c r="X37" s="26"/>
      <c r="Y37" s="27"/>
      <c r="Z37" s="27"/>
      <c r="AA37" s="565"/>
      <c r="AB37" s="28"/>
      <c r="AC37" s="54"/>
      <c r="AD37" s="26"/>
      <c r="AE37" s="26"/>
      <c r="AF37" s="25"/>
      <c r="AG37" s="446"/>
      <c r="AH37" s="437"/>
      <c r="AI37" s="446"/>
      <c r="AJ37" s="434"/>
      <c r="AK37" s="434"/>
      <c r="AL37" s="434"/>
      <c r="AM37" s="431"/>
      <c r="AN37" s="446"/>
      <c r="AO37" s="446"/>
      <c r="AP37" s="440"/>
      <c r="AQ37" s="437"/>
      <c r="AR37" s="443"/>
      <c r="AS37" s="19"/>
      <c r="AT37" s="25"/>
      <c r="AU37" s="26"/>
      <c r="AV37" s="25"/>
      <c r="AW37" s="25"/>
    </row>
    <row r="38" spans="1:49" ht="45.75" customHeight="1" x14ac:dyDescent="0.25">
      <c r="A38" s="531"/>
      <c r="B38" s="470"/>
      <c r="C38" s="473"/>
      <c r="D38" s="652"/>
      <c r="E38" s="473"/>
      <c r="F38" s="531"/>
      <c r="G38" s="573"/>
      <c r="H38" s="573"/>
      <c r="I38" s="534"/>
      <c r="J38" s="534"/>
      <c r="K38" s="485"/>
      <c r="L38" s="446"/>
      <c r="M38" s="431"/>
      <c r="N38" s="446"/>
      <c r="O38" s="446"/>
      <c r="P38" s="446"/>
      <c r="Q38" s="431"/>
      <c r="R38" s="431"/>
      <c r="S38" s="470"/>
      <c r="T38" s="437"/>
      <c r="U38" s="437"/>
      <c r="V38" s="25"/>
      <c r="W38" s="26"/>
      <c r="X38" s="26"/>
      <c r="Y38" s="27"/>
      <c r="Z38" s="27"/>
      <c r="AA38" s="565"/>
      <c r="AB38" s="28"/>
      <c r="AC38" s="54"/>
      <c r="AD38" s="26"/>
      <c r="AE38" s="26"/>
      <c r="AF38" s="25"/>
      <c r="AG38" s="446"/>
      <c r="AH38" s="437"/>
      <c r="AI38" s="446"/>
      <c r="AJ38" s="434"/>
      <c r="AK38" s="434"/>
      <c r="AL38" s="434"/>
      <c r="AM38" s="431"/>
      <c r="AN38" s="446"/>
      <c r="AO38" s="446"/>
      <c r="AP38" s="440"/>
      <c r="AQ38" s="437"/>
      <c r="AR38" s="443"/>
      <c r="AS38" s="19"/>
      <c r="AT38" s="25"/>
      <c r="AU38" s="26"/>
      <c r="AV38" s="25"/>
      <c r="AW38" s="25"/>
    </row>
    <row r="39" spans="1:49" ht="39.75" customHeight="1" x14ac:dyDescent="0.25">
      <c r="A39" s="531"/>
      <c r="B39" s="470"/>
      <c r="C39" s="473"/>
      <c r="D39" s="652"/>
      <c r="E39" s="473"/>
      <c r="F39" s="531"/>
      <c r="G39" s="573"/>
      <c r="H39" s="573"/>
      <c r="I39" s="534"/>
      <c r="J39" s="534"/>
      <c r="K39" s="485"/>
      <c r="L39" s="446"/>
      <c r="M39" s="431"/>
      <c r="N39" s="446"/>
      <c r="O39" s="446"/>
      <c r="P39" s="446"/>
      <c r="Q39" s="431"/>
      <c r="R39" s="431"/>
      <c r="S39" s="470"/>
      <c r="T39" s="437"/>
      <c r="U39" s="437"/>
      <c r="V39" s="25"/>
      <c r="W39" s="26"/>
      <c r="X39" s="26"/>
      <c r="Y39" s="27"/>
      <c r="Z39" s="27"/>
      <c r="AA39" s="565"/>
      <c r="AB39" s="28"/>
      <c r="AC39" s="54"/>
      <c r="AD39" s="26"/>
      <c r="AE39" s="26"/>
      <c r="AF39" s="25"/>
      <c r="AG39" s="446"/>
      <c r="AH39" s="437"/>
      <c r="AI39" s="446"/>
      <c r="AJ39" s="434"/>
      <c r="AK39" s="434"/>
      <c r="AL39" s="434"/>
      <c r="AM39" s="431"/>
      <c r="AN39" s="446"/>
      <c r="AO39" s="446"/>
      <c r="AP39" s="440"/>
      <c r="AQ39" s="437"/>
      <c r="AR39" s="443"/>
      <c r="AS39" s="19"/>
      <c r="AT39" s="25"/>
      <c r="AU39" s="26"/>
      <c r="AV39" s="25"/>
      <c r="AW39" s="25"/>
    </row>
    <row r="40" spans="1:49" ht="74.25" customHeight="1" thickBot="1" x14ac:dyDescent="0.3">
      <c r="A40" s="531"/>
      <c r="B40" s="470"/>
      <c r="C40" s="473"/>
      <c r="D40" s="652"/>
      <c r="E40" s="473"/>
      <c r="F40" s="531"/>
      <c r="G40" s="622"/>
      <c r="H40" s="622"/>
      <c r="I40" s="535"/>
      <c r="J40" s="535"/>
      <c r="K40" s="524"/>
      <c r="L40" s="447"/>
      <c r="M40" s="459"/>
      <c r="N40" s="447"/>
      <c r="O40" s="447"/>
      <c r="P40" s="447"/>
      <c r="Q40" s="459"/>
      <c r="R40" s="459"/>
      <c r="S40" s="470"/>
      <c r="T40" s="437"/>
      <c r="U40" s="437"/>
      <c r="V40" s="25"/>
      <c r="W40" s="26"/>
      <c r="X40" s="26"/>
      <c r="Y40" s="27"/>
      <c r="Z40" s="27"/>
      <c r="AA40" s="565"/>
      <c r="AB40" s="28"/>
      <c r="AC40" s="54"/>
      <c r="AD40" s="26"/>
      <c r="AE40" s="26"/>
      <c r="AF40" s="25"/>
      <c r="AG40" s="446"/>
      <c r="AH40" s="437"/>
      <c r="AI40" s="446"/>
      <c r="AJ40" s="434"/>
      <c r="AK40" s="434"/>
      <c r="AL40" s="434"/>
      <c r="AM40" s="431"/>
      <c r="AN40" s="446"/>
      <c r="AO40" s="446"/>
      <c r="AP40" s="440"/>
      <c r="AQ40" s="437"/>
      <c r="AR40" s="443"/>
      <c r="AS40" s="19"/>
      <c r="AT40" s="25"/>
      <c r="AU40" s="26"/>
      <c r="AV40" s="25"/>
      <c r="AW40" s="25"/>
    </row>
    <row r="41" spans="1:49" ht="42.75" x14ac:dyDescent="0.25">
      <c r="A41" s="531"/>
      <c r="B41" s="470"/>
      <c r="C41" s="473"/>
      <c r="D41" s="652"/>
      <c r="E41" s="473"/>
      <c r="F41" s="531"/>
      <c r="G41" s="572" t="s">
        <v>133</v>
      </c>
      <c r="H41" s="572" t="s">
        <v>54</v>
      </c>
      <c r="I41" s="533" t="s">
        <v>81</v>
      </c>
      <c r="J41" s="533" t="s">
        <v>134</v>
      </c>
      <c r="K41" s="485">
        <v>1</v>
      </c>
      <c r="L41" s="528" t="s">
        <v>135</v>
      </c>
      <c r="M41" s="528">
        <v>0.62</v>
      </c>
      <c r="N41" s="528">
        <v>0</v>
      </c>
      <c r="O41" s="528">
        <v>0</v>
      </c>
      <c r="P41" s="528">
        <f>M41+N41+O41</f>
        <v>0.62</v>
      </c>
      <c r="Q41" s="528">
        <v>0</v>
      </c>
      <c r="R41" s="528">
        <f>+P41/K41</f>
        <v>0.62</v>
      </c>
      <c r="S41" s="470"/>
      <c r="T41" s="437"/>
      <c r="U41" s="437"/>
      <c r="V41" s="25" t="s">
        <v>136</v>
      </c>
      <c r="W41" s="75">
        <v>1</v>
      </c>
      <c r="X41" s="75">
        <v>0</v>
      </c>
      <c r="Y41" s="76">
        <v>0.3</v>
      </c>
      <c r="Z41" s="76">
        <f t="shared" ref="Z41:Z53" si="5">(X41+Y41)/W41</f>
        <v>0.3</v>
      </c>
      <c r="AA41" s="565"/>
      <c r="AB41" s="28">
        <v>44197</v>
      </c>
      <c r="AC41" s="54">
        <v>365</v>
      </c>
      <c r="AD41" s="26" t="s">
        <v>60</v>
      </c>
      <c r="AE41" s="26" t="s">
        <v>60</v>
      </c>
      <c r="AF41" s="74">
        <v>5.8000000000000003E-2</v>
      </c>
      <c r="AG41" s="446"/>
      <c r="AH41" s="437"/>
      <c r="AI41" s="446"/>
      <c r="AJ41" s="434"/>
      <c r="AK41" s="434"/>
      <c r="AL41" s="434"/>
      <c r="AM41" s="431"/>
      <c r="AN41" s="446"/>
      <c r="AO41" s="446"/>
      <c r="AP41" s="440"/>
      <c r="AQ41" s="437"/>
      <c r="AR41" s="443"/>
      <c r="AS41" s="19" t="s">
        <v>66</v>
      </c>
      <c r="AT41" s="25" t="s">
        <v>137</v>
      </c>
      <c r="AU41" s="26" t="s">
        <v>138</v>
      </c>
      <c r="AV41" s="25"/>
      <c r="AW41" s="25"/>
    </row>
    <row r="42" spans="1:49" ht="42.75" x14ac:dyDescent="0.25">
      <c r="A42" s="531"/>
      <c r="B42" s="470"/>
      <c r="C42" s="473"/>
      <c r="D42" s="652"/>
      <c r="E42" s="473"/>
      <c r="F42" s="531"/>
      <c r="G42" s="573"/>
      <c r="H42" s="573"/>
      <c r="I42" s="534"/>
      <c r="J42" s="534"/>
      <c r="K42" s="485"/>
      <c r="L42" s="620"/>
      <c r="M42" s="620"/>
      <c r="N42" s="620"/>
      <c r="O42" s="620"/>
      <c r="P42" s="620"/>
      <c r="Q42" s="620"/>
      <c r="R42" s="620"/>
      <c r="S42" s="470"/>
      <c r="T42" s="437"/>
      <c r="U42" s="437"/>
      <c r="V42" s="25" t="s">
        <v>139</v>
      </c>
      <c r="W42" s="75">
        <v>1</v>
      </c>
      <c r="X42" s="75">
        <v>0</v>
      </c>
      <c r="Y42" s="76">
        <v>0</v>
      </c>
      <c r="Z42" s="76">
        <f t="shared" si="5"/>
        <v>0</v>
      </c>
      <c r="AA42" s="565"/>
      <c r="AB42" s="28">
        <v>44197</v>
      </c>
      <c r="AC42" s="54">
        <v>365</v>
      </c>
      <c r="AD42" s="26" t="s">
        <v>60</v>
      </c>
      <c r="AE42" s="26" t="s">
        <v>60</v>
      </c>
      <c r="AF42" s="74">
        <v>5.8000000000000003E-2</v>
      </c>
      <c r="AG42" s="446"/>
      <c r="AH42" s="437"/>
      <c r="AI42" s="446"/>
      <c r="AJ42" s="434"/>
      <c r="AK42" s="434"/>
      <c r="AL42" s="434"/>
      <c r="AM42" s="431"/>
      <c r="AN42" s="446"/>
      <c r="AO42" s="446"/>
      <c r="AP42" s="440"/>
      <c r="AQ42" s="437"/>
      <c r="AR42" s="443"/>
      <c r="AS42" s="19" t="s">
        <v>66</v>
      </c>
      <c r="AT42" s="25" t="s">
        <v>67</v>
      </c>
      <c r="AU42" s="26" t="s">
        <v>68</v>
      </c>
      <c r="AV42" s="25"/>
      <c r="AW42" s="25"/>
    </row>
    <row r="43" spans="1:49" ht="29.25" thickBot="1" x14ac:dyDescent="0.3">
      <c r="A43" s="531"/>
      <c r="B43" s="470"/>
      <c r="C43" s="473"/>
      <c r="D43" s="652"/>
      <c r="E43" s="473"/>
      <c r="F43" s="531"/>
      <c r="G43" s="622"/>
      <c r="H43" s="622"/>
      <c r="I43" s="535"/>
      <c r="J43" s="535"/>
      <c r="K43" s="524"/>
      <c r="L43" s="621"/>
      <c r="M43" s="621"/>
      <c r="N43" s="621"/>
      <c r="O43" s="621"/>
      <c r="P43" s="621"/>
      <c r="Q43" s="621"/>
      <c r="R43" s="621"/>
      <c r="S43" s="470"/>
      <c r="T43" s="437"/>
      <c r="U43" s="437"/>
      <c r="V43" s="25" t="s">
        <v>140</v>
      </c>
      <c r="W43" s="75">
        <v>1</v>
      </c>
      <c r="X43" s="75">
        <v>0</v>
      </c>
      <c r="Y43" s="76">
        <v>0.05</v>
      </c>
      <c r="Z43" s="76">
        <f t="shared" si="5"/>
        <v>0.05</v>
      </c>
      <c r="AA43" s="565"/>
      <c r="AB43" s="28">
        <v>44197</v>
      </c>
      <c r="AC43" s="54">
        <v>365</v>
      </c>
      <c r="AD43" s="26" t="s">
        <v>60</v>
      </c>
      <c r="AE43" s="26" t="s">
        <v>60</v>
      </c>
      <c r="AF43" s="74">
        <v>5.8000000000000003E-2</v>
      </c>
      <c r="AG43" s="446"/>
      <c r="AH43" s="446"/>
      <c r="AI43" s="446"/>
      <c r="AJ43" s="434"/>
      <c r="AK43" s="434"/>
      <c r="AL43" s="434"/>
      <c r="AM43" s="431"/>
      <c r="AN43" s="446"/>
      <c r="AO43" s="446"/>
      <c r="AP43" s="440"/>
      <c r="AQ43" s="437"/>
      <c r="AR43" s="443"/>
      <c r="AS43" s="19" t="s">
        <v>66</v>
      </c>
      <c r="AT43" s="25" t="s">
        <v>67</v>
      </c>
      <c r="AU43" s="26" t="s">
        <v>141</v>
      </c>
      <c r="AV43" s="25"/>
      <c r="AW43" s="25"/>
    </row>
    <row r="44" spans="1:49" ht="42.75" x14ac:dyDescent="0.25">
      <c r="A44" s="531"/>
      <c r="B44" s="470"/>
      <c r="C44" s="473"/>
      <c r="D44" s="652"/>
      <c r="E44" s="473"/>
      <c r="F44" s="531"/>
      <c r="G44" s="572" t="s">
        <v>142</v>
      </c>
      <c r="H44" s="572" t="s">
        <v>54</v>
      </c>
      <c r="I44" s="533" t="s">
        <v>81</v>
      </c>
      <c r="J44" s="533" t="s">
        <v>143</v>
      </c>
      <c r="K44" s="469">
        <v>1</v>
      </c>
      <c r="L44" s="469">
        <v>1</v>
      </c>
      <c r="M44" s="430">
        <v>0.5</v>
      </c>
      <c r="N44" s="469">
        <v>0</v>
      </c>
      <c r="O44" s="430">
        <v>0.05</v>
      </c>
      <c r="P44" s="430">
        <f>M44+N44+O44</f>
        <v>0.55000000000000004</v>
      </c>
      <c r="Q44" s="430">
        <f>(N44+O44)/L44</f>
        <v>0.05</v>
      </c>
      <c r="R44" s="430">
        <f>+P44/K44</f>
        <v>0.55000000000000004</v>
      </c>
      <c r="S44" s="470"/>
      <c r="T44" s="437"/>
      <c r="U44" s="437"/>
      <c r="V44" s="25" t="s">
        <v>144</v>
      </c>
      <c r="W44" s="75">
        <v>1</v>
      </c>
      <c r="X44" s="75">
        <v>0.05</v>
      </c>
      <c r="Y44" s="76">
        <v>0</v>
      </c>
      <c r="Z44" s="76">
        <f t="shared" si="5"/>
        <v>0.05</v>
      </c>
      <c r="AA44" s="565"/>
      <c r="AB44" s="28">
        <v>44197</v>
      </c>
      <c r="AC44" s="54">
        <v>365</v>
      </c>
      <c r="AD44" s="26" t="s">
        <v>60</v>
      </c>
      <c r="AE44" s="26" t="s">
        <v>60</v>
      </c>
      <c r="AF44" s="74">
        <v>5.8000000000000003E-2</v>
      </c>
      <c r="AG44" s="446"/>
      <c r="AH44" s="446"/>
      <c r="AI44" s="446"/>
      <c r="AJ44" s="434"/>
      <c r="AK44" s="434"/>
      <c r="AL44" s="434"/>
      <c r="AM44" s="431"/>
      <c r="AN44" s="446"/>
      <c r="AO44" s="446"/>
      <c r="AP44" s="440"/>
      <c r="AQ44" s="437"/>
      <c r="AR44" s="443"/>
      <c r="AS44" s="19" t="s">
        <v>66</v>
      </c>
      <c r="AT44" s="25" t="s">
        <v>137</v>
      </c>
      <c r="AU44" s="26" t="s">
        <v>145</v>
      </c>
      <c r="AV44" s="25"/>
      <c r="AW44" s="25"/>
    </row>
    <row r="45" spans="1:49" ht="42.75" x14ac:dyDescent="0.25">
      <c r="A45" s="531"/>
      <c r="B45" s="470"/>
      <c r="C45" s="473"/>
      <c r="D45" s="652"/>
      <c r="E45" s="473"/>
      <c r="F45" s="531"/>
      <c r="G45" s="573"/>
      <c r="H45" s="573"/>
      <c r="I45" s="534"/>
      <c r="J45" s="534"/>
      <c r="K45" s="470"/>
      <c r="L45" s="470"/>
      <c r="M45" s="431"/>
      <c r="N45" s="470"/>
      <c r="O45" s="431"/>
      <c r="P45" s="431"/>
      <c r="Q45" s="431"/>
      <c r="R45" s="431"/>
      <c r="S45" s="470"/>
      <c r="T45" s="437"/>
      <c r="U45" s="437"/>
      <c r="V45" s="25" t="s">
        <v>146</v>
      </c>
      <c r="W45" s="75">
        <v>1</v>
      </c>
      <c r="X45" s="75">
        <v>0</v>
      </c>
      <c r="Y45" s="76">
        <v>0</v>
      </c>
      <c r="Z45" s="76">
        <f t="shared" si="5"/>
        <v>0</v>
      </c>
      <c r="AA45" s="565"/>
      <c r="AB45" s="28">
        <v>44197</v>
      </c>
      <c r="AC45" s="54">
        <v>365</v>
      </c>
      <c r="AD45" s="26" t="s">
        <v>60</v>
      </c>
      <c r="AE45" s="26" t="s">
        <v>60</v>
      </c>
      <c r="AF45" s="74">
        <v>5.8000000000000003E-2</v>
      </c>
      <c r="AG45" s="446"/>
      <c r="AH45" s="446"/>
      <c r="AI45" s="446"/>
      <c r="AJ45" s="434"/>
      <c r="AK45" s="434"/>
      <c r="AL45" s="434"/>
      <c r="AM45" s="431"/>
      <c r="AN45" s="446"/>
      <c r="AO45" s="446"/>
      <c r="AP45" s="440"/>
      <c r="AQ45" s="437"/>
      <c r="AR45" s="443"/>
      <c r="AS45" s="19" t="s">
        <v>66</v>
      </c>
      <c r="AT45" s="25" t="s">
        <v>67</v>
      </c>
      <c r="AU45" s="26" t="s">
        <v>68</v>
      </c>
      <c r="AV45" s="25"/>
      <c r="AW45" s="25"/>
    </row>
    <row r="46" spans="1:49" ht="42.75" x14ac:dyDescent="0.25">
      <c r="A46" s="531"/>
      <c r="B46" s="470"/>
      <c r="C46" s="473"/>
      <c r="D46" s="652"/>
      <c r="E46" s="473"/>
      <c r="F46" s="531"/>
      <c r="G46" s="573"/>
      <c r="H46" s="573"/>
      <c r="I46" s="534"/>
      <c r="J46" s="534"/>
      <c r="K46" s="470"/>
      <c r="L46" s="470"/>
      <c r="M46" s="431"/>
      <c r="N46" s="470"/>
      <c r="O46" s="431"/>
      <c r="P46" s="431"/>
      <c r="Q46" s="431"/>
      <c r="R46" s="431"/>
      <c r="S46" s="470"/>
      <c r="T46" s="437"/>
      <c r="U46" s="437"/>
      <c r="V46" s="25" t="s">
        <v>147</v>
      </c>
      <c r="W46" s="75">
        <v>1</v>
      </c>
      <c r="X46" s="75">
        <v>0</v>
      </c>
      <c r="Y46" s="76">
        <v>0</v>
      </c>
      <c r="Z46" s="76">
        <f t="shared" si="5"/>
        <v>0</v>
      </c>
      <c r="AA46" s="565"/>
      <c r="AB46" s="28">
        <v>44197</v>
      </c>
      <c r="AC46" s="54">
        <v>365</v>
      </c>
      <c r="AD46" s="26" t="s">
        <v>60</v>
      </c>
      <c r="AE46" s="26" t="s">
        <v>60</v>
      </c>
      <c r="AF46" s="74">
        <v>5.8000000000000003E-2</v>
      </c>
      <c r="AG46" s="446"/>
      <c r="AH46" s="446"/>
      <c r="AI46" s="446"/>
      <c r="AJ46" s="434"/>
      <c r="AK46" s="434"/>
      <c r="AL46" s="434"/>
      <c r="AM46" s="431"/>
      <c r="AN46" s="446"/>
      <c r="AO46" s="446"/>
      <c r="AP46" s="440"/>
      <c r="AQ46" s="437"/>
      <c r="AR46" s="443"/>
      <c r="AS46" s="19" t="s">
        <v>66</v>
      </c>
      <c r="AT46" s="25" t="s">
        <v>67</v>
      </c>
      <c r="AU46" s="26" t="s">
        <v>68</v>
      </c>
      <c r="AV46" s="25"/>
      <c r="AW46" s="25"/>
    </row>
    <row r="47" spans="1:49" ht="43.5" thickBot="1" x14ac:dyDescent="0.3">
      <c r="A47" s="531"/>
      <c r="B47" s="470"/>
      <c r="C47" s="473"/>
      <c r="D47" s="652"/>
      <c r="E47" s="473"/>
      <c r="F47" s="531"/>
      <c r="G47" s="622"/>
      <c r="H47" s="622"/>
      <c r="I47" s="535"/>
      <c r="J47" s="535"/>
      <c r="K47" s="471"/>
      <c r="L47" s="471"/>
      <c r="M47" s="459"/>
      <c r="N47" s="471"/>
      <c r="O47" s="459"/>
      <c r="P47" s="459"/>
      <c r="Q47" s="459"/>
      <c r="R47" s="459"/>
      <c r="S47" s="470"/>
      <c r="T47" s="437"/>
      <c r="U47" s="437"/>
      <c r="V47" s="25" t="s">
        <v>148</v>
      </c>
      <c r="W47" s="75">
        <v>1</v>
      </c>
      <c r="X47" s="75">
        <v>0</v>
      </c>
      <c r="Y47" s="76">
        <v>0</v>
      </c>
      <c r="Z47" s="76">
        <f t="shared" si="5"/>
        <v>0</v>
      </c>
      <c r="AA47" s="565"/>
      <c r="AB47" s="28">
        <v>44197</v>
      </c>
      <c r="AC47" s="54">
        <v>365</v>
      </c>
      <c r="AD47" s="26" t="s">
        <v>60</v>
      </c>
      <c r="AE47" s="26" t="s">
        <v>60</v>
      </c>
      <c r="AF47" s="74">
        <v>5.8000000000000003E-2</v>
      </c>
      <c r="AG47" s="446"/>
      <c r="AH47" s="446"/>
      <c r="AI47" s="446"/>
      <c r="AJ47" s="434"/>
      <c r="AK47" s="434"/>
      <c r="AL47" s="434"/>
      <c r="AM47" s="431"/>
      <c r="AN47" s="446"/>
      <c r="AO47" s="446"/>
      <c r="AP47" s="440"/>
      <c r="AQ47" s="437"/>
      <c r="AR47" s="443"/>
      <c r="AS47" s="19" t="s">
        <v>66</v>
      </c>
      <c r="AT47" s="25" t="s">
        <v>67</v>
      </c>
      <c r="AU47" s="26" t="s">
        <v>68</v>
      </c>
      <c r="AV47" s="25"/>
      <c r="AW47" s="25"/>
    </row>
    <row r="48" spans="1:49" ht="57" x14ac:dyDescent="0.25">
      <c r="A48" s="531"/>
      <c r="B48" s="470"/>
      <c r="C48" s="473"/>
      <c r="D48" s="652"/>
      <c r="E48" s="473"/>
      <c r="F48" s="531"/>
      <c r="G48" s="533" t="s">
        <v>149</v>
      </c>
      <c r="H48" s="533" t="s">
        <v>54</v>
      </c>
      <c r="I48" s="533" t="s">
        <v>81</v>
      </c>
      <c r="J48" s="533" t="s">
        <v>150</v>
      </c>
      <c r="K48" s="469">
        <v>4</v>
      </c>
      <c r="L48" s="469">
        <v>1</v>
      </c>
      <c r="M48" s="469">
        <v>2</v>
      </c>
      <c r="N48" s="469">
        <v>0.13</v>
      </c>
      <c r="O48" s="469">
        <v>0</v>
      </c>
      <c r="P48" s="469">
        <f>M48+N48+O48</f>
        <v>2.13</v>
      </c>
      <c r="Q48" s="430">
        <f>(N48+O48)/L48</f>
        <v>0.13</v>
      </c>
      <c r="R48" s="430">
        <f>+P48/K48</f>
        <v>0.53249999999999997</v>
      </c>
      <c r="S48" s="470"/>
      <c r="T48" s="437"/>
      <c r="U48" s="437"/>
      <c r="V48" s="25" t="s">
        <v>151</v>
      </c>
      <c r="W48" s="75">
        <v>0</v>
      </c>
      <c r="X48" s="75">
        <v>0.3</v>
      </c>
      <c r="Y48" s="76">
        <v>0</v>
      </c>
      <c r="Z48" s="76">
        <v>0.3</v>
      </c>
      <c r="AA48" s="565"/>
      <c r="AB48" s="28">
        <v>44197</v>
      </c>
      <c r="AC48" s="54">
        <v>365</v>
      </c>
      <c r="AD48" s="26" t="s">
        <v>60</v>
      </c>
      <c r="AE48" s="26" t="s">
        <v>60</v>
      </c>
      <c r="AF48" s="74">
        <v>5.8000000000000003E-2</v>
      </c>
      <c r="AG48" s="446"/>
      <c r="AH48" s="446"/>
      <c r="AI48" s="446"/>
      <c r="AJ48" s="434"/>
      <c r="AK48" s="434"/>
      <c r="AL48" s="434"/>
      <c r="AM48" s="431"/>
      <c r="AN48" s="446"/>
      <c r="AO48" s="446"/>
      <c r="AP48" s="440"/>
      <c r="AQ48" s="437"/>
      <c r="AR48" s="443"/>
      <c r="AS48" s="19" t="s">
        <v>66</v>
      </c>
      <c r="AT48" s="25" t="s">
        <v>67</v>
      </c>
      <c r="AU48" s="26" t="s">
        <v>68</v>
      </c>
      <c r="AV48" s="25"/>
      <c r="AW48" s="25"/>
    </row>
    <row r="49" spans="1:49" ht="28.5" x14ac:dyDescent="0.25">
      <c r="A49" s="531"/>
      <c r="B49" s="470"/>
      <c r="C49" s="473"/>
      <c r="D49" s="652"/>
      <c r="E49" s="473"/>
      <c r="F49" s="531"/>
      <c r="G49" s="534"/>
      <c r="H49" s="534"/>
      <c r="I49" s="534"/>
      <c r="J49" s="534"/>
      <c r="K49" s="470"/>
      <c r="L49" s="470"/>
      <c r="M49" s="470"/>
      <c r="N49" s="470"/>
      <c r="O49" s="470"/>
      <c r="P49" s="470"/>
      <c r="Q49" s="431"/>
      <c r="R49" s="431"/>
      <c r="S49" s="470"/>
      <c r="T49" s="437"/>
      <c r="U49" s="437"/>
      <c r="V49" s="25" t="s">
        <v>152</v>
      </c>
      <c r="W49" s="75">
        <v>1</v>
      </c>
      <c r="X49" s="75">
        <v>0.1</v>
      </c>
      <c r="Y49" s="76">
        <v>0.1</v>
      </c>
      <c r="Z49" s="76">
        <f t="shared" si="5"/>
        <v>0.2</v>
      </c>
      <c r="AA49" s="565"/>
      <c r="AB49" s="28">
        <v>44197</v>
      </c>
      <c r="AC49" s="54">
        <v>365</v>
      </c>
      <c r="AD49" s="26" t="s">
        <v>60</v>
      </c>
      <c r="AE49" s="26" t="s">
        <v>60</v>
      </c>
      <c r="AF49" s="74">
        <v>5.8000000000000003E-2</v>
      </c>
      <c r="AG49" s="446"/>
      <c r="AH49" s="446"/>
      <c r="AI49" s="446"/>
      <c r="AJ49" s="434"/>
      <c r="AK49" s="434"/>
      <c r="AL49" s="434"/>
      <c r="AM49" s="431"/>
      <c r="AN49" s="446"/>
      <c r="AO49" s="446"/>
      <c r="AP49" s="440"/>
      <c r="AQ49" s="437"/>
      <c r="AR49" s="443"/>
      <c r="AS49" s="19" t="s">
        <v>66</v>
      </c>
      <c r="AT49" s="25" t="s">
        <v>67</v>
      </c>
      <c r="AU49" s="26" t="s">
        <v>68</v>
      </c>
      <c r="AV49" s="25"/>
      <c r="AW49" s="25"/>
    </row>
    <row r="50" spans="1:49" ht="43.5" thickBot="1" x14ac:dyDescent="0.3">
      <c r="A50" s="531"/>
      <c r="B50" s="470"/>
      <c r="C50" s="473"/>
      <c r="D50" s="652"/>
      <c r="E50" s="473"/>
      <c r="F50" s="531"/>
      <c r="G50" s="535"/>
      <c r="H50" s="535"/>
      <c r="I50" s="535"/>
      <c r="J50" s="535"/>
      <c r="K50" s="471"/>
      <c r="L50" s="471"/>
      <c r="M50" s="471"/>
      <c r="N50" s="471"/>
      <c r="O50" s="471"/>
      <c r="P50" s="471"/>
      <c r="Q50" s="459"/>
      <c r="R50" s="459"/>
      <c r="S50" s="470"/>
      <c r="T50" s="437"/>
      <c r="U50" s="437"/>
      <c r="V50" s="25" t="s">
        <v>153</v>
      </c>
      <c r="W50" s="75">
        <v>1</v>
      </c>
      <c r="X50" s="75">
        <v>0.25</v>
      </c>
      <c r="Y50" s="76">
        <v>0</v>
      </c>
      <c r="Z50" s="76">
        <f t="shared" si="5"/>
        <v>0.25</v>
      </c>
      <c r="AA50" s="565"/>
      <c r="AB50" s="28">
        <v>44197</v>
      </c>
      <c r="AC50" s="54">
        <v>365</v>
      </c>
      <c r="AD50" s="26" t="s">
        <v>60</v>
      </c>
      <c r="AE50" s="26" t="s">
        <v>60</v>
      </c>
      <c r="AF50" s="74">
        <v>5.8000000000000003E-2</v>
      </c>
      <c r="AG50" s="446"/>
      <c r="AH50" s="446"/>
      <c r="AI50" s="446"/>
      <c r="AJ50" s="434"/>
      <c r="AK50" s="434"/>
      <c r="AL50" s="434"/>
      <c r="AM50" s="431"/>
      <c r="AN50" s="446"/>
      <c r="AO50" s="446"/>
      <c r="AP50" s="440"/>
      <c r="AQ50" s="437"/>
      <c r="AR50" s="443"/>
      <c r="AS50" s="19" t="s">
        <v>66</v>
      </c>
      <c r="AT50" s="25" t="s">
        <v>67</v>
      </c>
      <c r="AU50" s="26" t="s">
        <v>68</v>
      </c>
      <c r="AV50" s="25"/>
      <c r="AW50" s="25"/>
    </row>
    <row r="51" spans="1:49" ht="42.75" x14ac:dyDescent="0.25">
      <c r="A51" s="531"/>
      <c r="B51" s="470"/>
      <c r="C51" s="473"/>
      <c r="D51" s="652"/>
      <c r="E51" s="473"/>
      <c r="F51" s="531"/>
      <c r="G51" s="533" t="s">
        <v>154</v>
      </c>
      <c r="H51" s="533" t="s">
        <v>54</v>
      </c>
      <c r="I51" s="533" t="s">
        <v>81</v>
      </c>
      <c r="J51" s="533" t="s">
        <v>155</v>
      </c>
      <c r="K51" s="469">
        <v>1</v>
      </c>
      <c r="L51" s="469">
        <v>1</v>
      </c>
      <c r="M51" s="469">
        <v>0</v>
      </c>
      <c r="N51" s="469">
        <v>0.13</v>
      </c>
      <c r="O51" s="469">
        <v>0</v>
      </c>
      <c r="P51" s="469">
        <f>M51+N51+O51</f>
        <v>0.13</v>
      </c>
      <c r="Q51" s="430">
        <f>(N51+O51)/L51</f>
        <v>0.13</v>
      </c>
      <c r="R51" s="430">
        <f>+P51/K51</f>
        <v>0.13</v>
      </c>
      <c r="S51" s="470"/>
      <c r="T51" s="437"/>
      <c r="U51" s="437"/>
      <c r="V51" s="25" t="s">
        <v>156</v>
      </c>
      <c r="W51" s="75">
        <v>1</v>
      </c>
      <c r="X51" s="75">
        <v>0.4</v>
      </c>
      <c r="Y51" s="76">
        <v>0</v>
      </c>
      <c r="Z51" s="76">
        <f t="shared" si="5"/>
        <v>0.4</v>
      </c>
      <c r="AA51" s="565"/>
      <c r="AB51" s="28">
        <v>44197</v>
      </c>
      <c r="AC51" s="54">
        <v>365</v>
      </c>
      <c r="AD51" s="26" t="s">
        <v>60</v>
      </c>
      <c r="AE51" s="26" t="s">
        <v>60</v>
      </c>
      <c r="AF51" s="74">
        <v>5.8000000000000003E-2</v>
      </c>
      <c r="AG51" s="446"/>
      <c r="AH51" s="446"/>
      <c r="AI51" s="446"/>
      <c r="AJ51" s="434"/>
      <c r="AK51" s="434"/>
      <c r="AL51" s="434"/>
      <c r="AM51" s="431"/>
      <c r="AN51" s="446"/>
      <c r="AO51" s="446"/>
      <c r="AP51" s="440"/>
      <c r="AQ51" s="437"/>
      <c r="AR51" s="443"/>
      <c r="AS51" s="19" t="s">
        <v>66</v>
      </c>
      <c r="AT51" s="25" t="s">
        <v>67</v>
      </c>
      <c r="AU51" s="26" t="s">
        <v>68</v>
      </c>
      <c r="AV51" s="25"/>
      <c r="AW51" s="25"/>
    </row>
    <row r="52" spans="1:49" ht="42.75" x14ac:dyDescent="0.25">
      <c r="A52" s="531"/>
      <c r="B52" s="470"/>
      <c r="C52" s="473"/>
      <c r="D52" s="652"/>
      <c r="E52" s="473"/>
      <c r="F52" s="531"/>
      <c r="G52" s="534"/>
      <c r="H52" s="534"/>
      <c r="I52" s="534"/>
      <c r="J52" s="534"/>
      <c r="K52" s="470"/>
      <c r="L52" s="470"/>
      <c r="M52" s="470"/>
      <c r="N52" s="470"/>
      <c r="O52" s="470"/>
      <c r="P52" s="470"/>
      <c r="Q52" s="431"/>
      <c r="R52" s="431"/>
      <c r="S52" s="470"/>
      <c r="T52" s="437"/>
      <c r="U52" s="437"/>
      <c r="V52" s="25" t="s">
        <v>157</v>
      </c>
      <c r="W52" s="75">
        <v>0</v>
      </c>
      <c r="X52" s="75">
        <v>0</v>
      </c>
      <c r="Y52" s="76">
        <v>0</v>
      </c>
      <c r="Z52" s="76">
        <v>0</v>
      </c>
      <c r="AA52" s="565"/>
      <c r="AB52" s="28">
        <v>44197</v>
      </c>
      <c r="AC52" s="54">
        <v>365</v>
      </c>
      <c r="AD52" s="26" t="s">
        <v>60</v>
      </c>
      <c r="AE52" s="26" t="s">
        <v>60</v>
      </c>
      <c r="AF52" s="74">
        <v>5.8000000000000003E-2</v>
      </c>
      <c r="AG52" s="446"/>
      <c r="AH52" s="446"/>
      <c r="AI52" s="446"/>
      <c r="AJ52" s="434"/>
      <c r="AK52" s="434"/>
      <c r="AL52" s="434"/>
      <c r="AM52" s="431"/>
      <c r="AN52" s="446"/>
      <c r="AO52" s="446"/>
      <c r="AP52" s="440"/>
      <c r="AQ52" s="437"/>
      <c r="AR52" s="443"/>
      <c r="AS52" s="19" t="s">
        <v>66</v>
      </c>
      <c r="AT52" s="25" t="s">
        <v>67</v>
      </c>
      <c r="AU52" s="26" t="s">
        <v>68</v>
      </c>
      <c r="AV52" s="25"/>
      <c r="AW52" s="25"/>
    </row>
    <row r="53" spans="1:49" ht="43.5" thickBot="1" x14ac:dyDescent="0.3">
      <c r="A53" s="531"/>
      <c r="B53" s="470"/>
      <c r="C53" s="473"/>
      <c r="D53" s="652"/>
      <c r="E53" s="473"/>
      <c r="F53" s="531"/>
      <c r="G53" s="535"/>
      <c r="H53" s="535"/>
      <c r="I53" s="535"/>
      <c r="J53" s="535"/>
      <c r="K53" s="471"/>
      <c r="L53" s="471"/>
      <c r="M53" s="471"/>
      <c r="N53" s="471"/>
      <c r="O53" s="471"/>
      <c r="P53" s="471"/>
      <c r="Q53" s="459"/>
      <c r="R53" s="459"/>
      <c r="S53" s="470"/>
      <c r="T53" s="437"/>
      <c r="U53" s="437"/>
      <c r="V53" s="43" t="s">
        <v>158</v>
      </c>
      <c r="W53" s="77">
        <v>1</v>
      </c>
      <c r="X53" s="77">
        <v>0</v>
      </c>
      <c r="Y53" s="78">
        <v>0</v>
      </c>
      <c r="Z53" s="76">
        <f t="shared" si="5"/>
        <v>0</v>
      </c>
      <c r="AA53" s="566"/>
      <c r="AB53" s="57">
        <v>44197</v>
      </c>
      <c r="AC53" s="46">
        <v>365</v>
      </c>
      <c r="AD53" s="44" t="s">
        <v>60</v>
      </c>
      <c r="AE53" s="44" t="s">
        <v>60</v>
      </c>
      <c r="AF53" s="79">
        <v>5.8000000000000003E-2</v>
      </c>
      <c r="AG53" s="447"/>
      <c r="AH53" s="447"/>
      <c r="AI53" s="447"/>
      <c r="AJ53" s="435"/>
      <c r="AK53" s="435"/>
      <c r="AL53" s="435"/>
      <c r="AM53" s="459"/>
      <c r="AN53" s="447"/>
      <c r="AO53" s="447"/>
      <c r="AP53" s="440"/>
      <c r="AQ53" s="437"/>
      <c r="AR53" s="443"/>
      <c r="AS53" s="19" t="s">
        <v>66</v>
      </c>
      <c r="AT53" s="43" t="s">
        <v>67</v>
      </c>
      <c r="AU53" s="44" t="s">
        <v>68</v>
      </c>
      <c r="AV53" s="43"/>
      <c r="AW53" s="43"/>
    </row>
    <row r="54" spans="1:49" ht="43.5" thickBot="1" x14ac:dyDescent="0.3">
      <c r="A54" s="531"/>
      <c r="B54" s="470"/>
      <c r="C54" s="473"/>
      <c r="D54" s="652"/>
      <c r="E54" s="473"/>
      <c r="F54" s="531"/>
      <c r="G54" s="533" t="s">
        <v>159</v>
      </c>
      <c r="H54" s="533" t="s">
        <v>54</v>
      </c>
      <c r="I54" s="533" t="s">
        <v>81</v>
      </c>
      <c r="J54" s="533" t="s">
        <v>160</v>
      </c>
      <c r="K54" s="469">
        <v>3</v>
      </c>
      <c r="L54" s="469">
        <v>1</v>
      </c>
      <c r="M54" s="469">
        <v>1.2</v>
      </c>
      <c r="N54" s="610">
        <v>0.8</v>
      </c>
      <c r="O54" s="610">
        <v>0.11</v>
      </c>
      <c r="P54" s="610">
        <f>M54+N54+O54</f>
        <v>2.11</v>
      </c>
      <c r="Q54" s="430">
        <f>(N54+O54)/L54</f>
        <v>0.91</v>
      </c>
      <c r="R54" s="613">
        <f>+P54/K54</f>
        <v>0.70333333333333325</v>
      </c>
      <c r="S54" s="619" t="s">
        <v>161</v>
      </c>
      <c r="T54" s="494">
        <v>2021130010200</v>
      </c>
      <c r="U54" s="445" t="s">
        <v>162</v>
      </c>
      <c r="V54" s="80" t="s">
        <v>163</v>
      </c>
      <c r="W54" s="81">
        <v>1</v>
      </c>
      <c r="X54" s="82">
        <v>1</v>
      </c>
      <c r="Y54" s="83">
        <v>0</v>
      </c>
      <c r="Z54" s="83">
        <f>X54+Y54</f>
        <v>1</v>
      </c>
      <c r="AA54" s="607">
        <f>AVERAGE(Z54:Z67)</f>
        <v>0.63642857142857145</v>
      </c>
      <c r="AB54" s="84">
        <v>44197</v>
      </c>
      <c r="AC54" s="85">
        <v>365</v>
      </c>
      <c r="AD54" s="41" t="s">
        <v>60</v>
      </c>
      <c r="AE54" s="86" t="s">
        <v>60</v>
      </c>
      <c r="AF54" s="40">
        <v>7.1400000000000005E-2</v>
      </c>
      <c r="AG54" s="494" t="s">
        <v>61</v>
      </c>
      <c r="AH54" s="445" t="s">
        <v>62</v>
      </c>
      <c r="AI54" s="445" t="s">
        <v>63</v>
      </c>
      <c r="AJ54" s="433">
        <v>183000000</v>
      </c>
      <c r="AK54" s="433">
        <v>250000000</v>
      </c>
      <c r="AL54" s="433">
        <v>164500000</v>
      </c>
      <c r="AM54" s="430">
        <f>+AL54/AJ54</f>
        <v>0.89890710382513661</v>
      </c>
      <c r="AN54" s="433" t="s">
        <v>63</v>
      </c>
      <c r="AO54" s="445" t="s">
        <v>64</v>
      </c>
      <c r="AP54" s="544"/>
      <c r="AQ54" s="445" t="s">
        <v>65</v>
      </c>
      <c r="AR54" s="433">
        <f>AL54</f>
        <v>164500000</v>
      </c>
      <c r="AS54" s="19" t="s">
        <v>66</v>
      </c>
      <c r="AT54" s="49" t="s">
        <v>67</v>
      </c>
      <c r="AU54" s="41" t="s">
        <v>68</v>
      </c>
      <c r="AV54" s="49"/>
      <c r="AW54" s="49"/>
    </row>
    <row r="55" spans="1:49" ht="29.25" thickBot="1" x14ac:dyDescent="0.3">
      <c r="A55" s="531"/>
      <c r="B55" s="470"/>
      <c r="C55" s="473"/>
      <c r="D55" s="652"/>
      <c r="E55" s="473"/>
      <c r="F55" s="531"/>
      <c r="G55" s="534"/>
      <c r="H55" s="534"/>
      <c r="I55" s="534"/>
      <c r="J55" s="534"/>
      <c r="K55" s="470"/>
      <c r="L55" s="470"/>
      <c r="M55" s="470"/>
      <c r="N55" s="611"/>
      <c r="O55" s="611"/>
      <c r="P55" s="470"/>
      <c r="Q55" s="431"/>
      <c r="R55" s="614"/>
      <c r="S55" s="619"/>
      <c r="T55" s="579"/>
      <c r="U55" s="446"/>
      <c r="V55" s="87" t="s">
        <v>164</v>
      </c>
      <c r="W55" s="88">
        <v>1</v>
      </c>
      <c r="X55" s="89">
        <v>0.8</v>
      </c>
      <c r="Y55" s="90">
        <v>0.09</v>
      </c>
      <c r="Z55" s="83">
        <f t="shared" ref="Z55:Z67" si="6">X55+Y55</f>
        <v>0.89</v>
      </c>
      <c r="AA55" s="608"/>
      <c r="AB55" s="91">
        <v>44197</v>
      </c>
      <c r="AC55" s="92">
        <v>365</v>
      </c>
      <c r="AD55" s="26" t="s">
        <v>60</v>
      </c>
      <c r="AE55" s="93" t="s">
        <v>60</v>
      </c>
      <c r="AF55" s="55">
        <v>7.1400000000000005E-2</v>
      </c>
      <c r="AG55" s="579"/>
      <c r="AH55" s="446"/>
      <c r="AI55" s="446"/>
      <c r="AJ55" s="434"/>
      <c r="AK55" s="434"/>
      <c r="AL55" s="434"/>
      <c r="AM55" s="431"/>
      <c r="AN55" s="434"/>
      <c r="AO55" s="446"/>
      <c r="AP55" s="545"/>
      <c r="AQ55" s="446"/>
      <c r="AR55" s="434"/>
      <c r="AS55" s="19" t="s">
        <v>66</v>
      </c>
      <c r="AT55" s="25" t="s">
        <v>67</v>
      </c>
      <c r="AU55" s="26" t="s">
        <v>68</v>
      </c>
      <c r="AV55" s="25"/>
      <c r="AW55" s="25"/>
    </row>
    <row r="56" spans="1:49" ht="29.25" thickBot="1" x14ac:dyDescent="0.3">
      <c r="A56" s="531"/>
      <c r="B56" s="470"/>
      <c r="C56" s="473"/>
      <c r="D56" s="652"/>
      <c r="E56" s="473"/>
      <c r="F56" s="531"/>
      <c r="G56" s="535"/>
      <c r="H56" s="535"/>
      <c r="I56" s="535"/>
      <c r="J56" s="535"/>
      <c r="K56" s="471"/>
      <c r="L56" s="471"/>
      <c r="M56" s="471"/>
      <c r="N56" s="612"/>
      <c r="O56" s="612"/>
      <c r="P56" s="471"/>
      <c r="Q56" s="459"/>
      <c r="R56" s="618"/>
      <c r="S56" s="619"/>
      <c r="T56" s="579"/>
      <c r="U56" s="446"/>
      <c r="V56" s="87" t="s">
        <v>165</v>
      </c>
      <c r="W56" s="88">
        <v>1</v>
      </c>
      <c r="X56" s="89">
        <v>0.6</v>
      </c>
      <c r="Y56" s="90">
        <v>0.22</v>
      </c>
      <c r="Z56" s="83">
        <f t="shared" si="6"/>
        <v>0.82</v>
      </c>
      <c r="AA56" s="608"/>
      <c r="AB56" s="91">
        <v>44197</v>
      </c>
      <c r="AC56" s="92">
        <v>365</v>
      </c>
      <c r="AD56" s="26" t="s">
        <v>60</v>
      </c>
      <c r="AE56" s="93" t="s">
        <v>60</v>
      </c>
      <c r="AF56" s="55">
        <v>7.1400000000000005E-2</v>
      </c>
      <c r="AG56" s="579"/>
      <c r="AH56" s="446"/>
      <c r="AI56" s="446"/>
      <c r="AJ56" s="434"/>
      <c r="AK56" s="434"/>
      <c r="AL56" s="434"/>
      <c r="AM56" s="431"/>
      <c r="AN56" s="434"/>
      <c r="AO56" s="446"/>
      <c r="AP56" s="545"/>
      <c r="AQ56" s="446"/>
      <c r="AR56" s="434"/>
      <c r="AS56" s="19" t="s">
        <v>66</v>
      </c>
      <c r="AT56" s="25" t="s">
        <v>67</v>
      </c>
      <c r="AU56" s="26" t="s">
        <v>68</v>
      </c>
      <c r="AV56" s="25"/>
      <c r="AW56" s="25"/>
    </row>
    <row r="57" spans="1:49" ht="86.25" thickBot="1" x14ac:dyDescent="0.3">
      <c r="A57" s="531"/>
      <c r="B57" s="470"/>
      <c r="C57" s="473"/>
      <c r="D57" s="652"/>
      <c r="E57" s="473"/>
      <c r="F57" s="531"/>
      <c r="G57" s="533" t="s">
        <v>166</v>
      </c>
      <c r="H57" s="533" t="s">
        <v>54</v>
      </c>
      <c r="I57" s="533" t="s">
        <v>81</v>
      </c>
      <c r="J57" s="533" t="s">
        <v>167</v>
      </c>
      <c r="K57" s="469">
        <v>3</v>
      </c>
      <c r="L57" s="469">
        <v>1</v>
      </c>
      <c r="M57" s="469">
        <v>1.1000000000000001</v>
      </c>
      <c r="N57" s="469">
        <v>0.52</v>
      </c>
      <c r="O57" s="469">
        <v>0.28000000000000003</v>
      </c>
      <c r="P57" s="469">
        <f>M57+N57+O57</f>
        <v>1.9000000000000001</v>
      </c>
      <c r="Q57" s="430">
        <f>(N57+O57)/L57</f>
        <v>0.8</v>
      </c>
      <c r="R57" s="613">
        <f>+P57/K57</f>
        <v>0.63333333333333341</v>
      </c>
      <c r="S57" s="619"/>
      <c r="T57" s="579"/>
      <c r="U57" s="446"/>
      <c r="V57" s="87" t="s">
        <v>168</v>
      </c>
      <c r="W57" s="94">
        <v>8</v>
      </c>
      <c r="X57" s="95">
        <v>6</v>
      </c>
      <c r="Y57" s="96">
        <v>0</v>
      </c>
      <c r="Z57" s="83">
        <f>(X57+Y57)/W57</f>
        <v>0.75</v>
      </c>
      <c r="AA57" s="608"/>
      <c r="AB57" s="91">
        <v>44197</v>
      </c>
      <c r="AC57" s="92">
        <v>365</v>
      </c>
      <c r="AD57" s="26" t="s">
        <v>60</v>
      </c>
      <c r="AE57" s="93" t="s">
        <v>60</v>
      </c>
      <c r="AF57" s="55">
        <v>7.1400000000000005E-2</v>
      </c>
      <c r="AG57" s="579"/>
      <c r="AH57" s="446"/>
      <c r="AI57" s="446"/>
      <c r="AJ57" s="434"/>
      <c r="AK57" s="434"/>
      <c r="AL57" s="434"/>
      <c r="AM57" s="431"/>
      <c r="AN57" s="434"/>
      <c r="AO57" s="446"/>
      <c r="AP57" s="545"/>
      <c r="AQ57" s="446"/>
      <c r="AR57" s="434"/>
      <c r="AS57" s="19" t="s">
        <v>66</v>
      </c>
      <c r="AT57" s="25" t="s">
        <v>137</v>
      </c>
      <c r="AU57" s="26" t="s">
        <v>169</v>
      </c>
      <c r="AV57" s="25"/>
      <c r="AW57" s="25"/>
    </row>
    <row r="58" spans="1:49" ht="29.25" thickBot="1" x14ac:dyDescent="0.3">
      <c r="A58" s="531"/>
      <c r="B58" s="470"/>
      <c r="C58" s="473"/>
      <c r="D58" s="652"/>
      <c r="E58" s="473"/>
      <c r="F58" s="531"/>
      <c r="G58" s="534"/>
      <c r="H58" s="534"/>
      <c r="I58" s="534"/>
      <c r="J58" s="534"/>
      <c r="K58" s="470"/>
      <c r="L58" s="470"/>
      <c r="M58" s="470"/>
      <c r="N58" s="470"/>
      <c r="O58" s="470"/>
      <c r="P58" s="470"/>
      <c r="Q58" s="431"/>
      <c r="R58" s="614"/>
      <c r="S58" s="619"/>
      <c r="T58" s="579"/>
      <c r="U58" s="446"/>
      <c r="V58" s="87" t="s">
        <v>170</v>
      </c>
      <c r="W58" s="94">
        <v>8</v>
      </c>
      <c r="X58" s="95">
        <v>6</v>
      </c>
      <c r="Y58" s="96">
        <v>0</v>
      </c>
      <c r="Z58" s="83">
        <f>(X58+Y58)/W58</f>
        <v>0.75</v>
      </c>
      <c r="AA58" s="608"/>
      <c r="AB58" s="91">
        <v>44197</v>
      </c>
      <c r="AC58" s="92">
        <v>365</v>
      </c>
      <c r="AD58" s="26" t="s">
        <v>60</v>
      </c>
      <c r="AE58" s="93" t="s">
        <v>60</v>
      </c>
      <c r="AF58" s="55">
        <v>7.1400000000000005E-2</v>
      </c>
      <c r="AG58" s="579"/>
      <c r="AH58" s="446"/>
      <c r="AI58" s="446"/>
      <c r="AJ58" s="434"/>
      <c r="AK58" s="434"/>
      <c r="AL58" s="434"/>
      <c r="AM58" s="431"/>
      <c r="AN58" s="434"/>
      <c r="AO58" s="446"/>
      <c r="AP58" s="545"/>
      <c r="AQ58" s="446"/>
      <c r="AR58" s="434"/>
      <c r="AS58" s="19" t="s">
        <v>66</v>
      </c>
      <c r="AT58" s="25" t="s">
        <v>67</v>
      </c>
      <c r="AU58" s="26" t="s">
        <v>68</v>
      </c>
      <c r="AV58" s="25"/>
      <c r="AW58" s="25"/>
    </row>
    <row r="59" spans="1:49" ht="43.5" thickBot="1" x14ac:dyDescent="0.3">
      <c r="A59" s="531"/>
      <c r="B59" s="470"/>
      <c r="C59" s="473"/>
      <c r="D59" s="652"/>
      <c r="E59" s="473"/>
      <c r="F59" s="531"/>
      <c r="G59" s="534"/>
      <c r="H59" s="534"/>
      <c r="I59" s="534"/>
      <c r="J59" s="534"/>
      <c r="K59" s="470"/>
      <c r="L59" s="470"/>
      <c r="M59" s="470"/>
      <c r="N59" s="470"/>
      <c r="O59" s="470"/>
      <c r="P59" s="470"/>
      <c r="Q59" s="431"/>
      <c r="R59" s="614"/>
      <c r="S59" s="619"/>
      <c r="T59" s="579"/>
      <c r="U59" s="446"/>
      <c r="V59" s="87" t="s">
        <v>171</v>
      </c>
      <c r="W59" s="94">
        <v>8</v>
      </c>
      <c r="X59" s="95">
        <v>6</v>
      </c>
      <c r="Y59" s="96">
        <v>2</v>
      </c>
      <c r="Z59" s="83">
        <f t="shared" ref="Z59:Z62" si="7">(X59+Y59)/W59</f>
        <v>1</v>
      </c>
      <c r="AA59" s="608"/>
      <c r="AB59" s="91">
        <v>44197</v>
      </c>
      <c r="AC59" s="92">
        <v>365</v>
      </c>
      <c r="AD59" s="26" t="s">
        <v>60</v>
      </c>
      <c r="AE59" s="93" t="s">
        <v>60</v>
      </c>
      <c r="AF59" s="55">
        <v>7.1400000000000005E-2</v>
      </c>
      <c r="AG59" s="579"/>
      <c r="AH59" s="446"/>
      <c r="AI59" s="446"/>
      <c r="AJ59" s="434"/>
      <c r="AK59" s="434"/>
      <c r="AL59" s="434"/>
      <c r="AM59" s="431"/>
      <c r="AN59" s="434"/>
      <c r="AO59" s="446"/>
      <c r="AP59" s="545"/>
      <c r="AQ59" s="446"/>
      <c r="AR59" s="434"/>
      <c r="AS59" s="19" t="s">
        <v>66</v>
      </c>
      <c r="AT59" s="25" t="s">
        <v>67</v>
      </c>
      <c r="AU59" s="26" t="s">
        <v>68</v>
      </c>
      <c r="AV59" s="25"/>
      <c r="AW59" s="25"/>
    </row>
    <row r="60" spans="1:49" ht="43.5" thickBot="1" x14ac:dyDescent="0.3">
      <c r="A60" s="531"/>
      <c r="B60" s="470"/>
      <c r="C60" s="473"/>
      <c r="D60" s="652"/>
      <c r="E60" s="473"/>
      <c r="F60" s="531"/>
      <c r="G60" s="534"/>
      <c r="H60" s="534"/>
      <c r="I60" s="534"/>
      <c r="J60" s="534"/>
      <c r="K60" s="470"/>
      <c r="L60" s="470"/>
      <c r="M60" s="470"/>
      <c r="N60" s="470"/>
      <c r="O60" s="470"/>
      <c r="P60" s="470"/>
      <c r="Q60" s="431"/>
      <c r="R60" s="614"/>
      <c r="S60" s="619"/>
      <c r="T60" s="579"/>
      <c r="U60" s="446"/>
      <c r="V60" s="87" t="s">
        <v>172</v>
      </c>
      <c r="W60" s="94">
        <v>8</v>
      </c>
      <c r="X60" s="95">
        <v>0</v>
      </c>
      <c r="Y60" s="96">
        <v>0</v>
      </c>
      <c r="Z60" s="83">
        <f t="shared" si="7"/>
        <v>0</v>
      </c>
      <c r="AA60" s="608"/>
      <c r="AB60" s="91">
        <v>44197</v>
      </c>
      <c r="AC60" s="92">
        <v>365</v>
      </c>
      <c r="AD60" s="26" t="s">
        <v>60</v>
      </c>
      <c r="AE60" s="93" t="s">
        <v>60</v>
      </c>
      <c r="AF60" s="55">
        <v>7.1400000000000005E-2</v>
      </c>
      <c r="AG60" s="579"/>
      <c r="AH60" s="446"/>
      <c r="AI60" s="446"/>
      <c r="AJ60" s="434"/>
      <c r="AK60" s="434"/>
      <c r="AL60" s="434"/>
      <c r="AM60" s="431"/>
      <c r="AN60" s="434"/>
      <c r="AO60" s="446"/>
      <c r="AP60" s="545"/>
      <c r="AQ60" s="446"/>
      <c r="AR60" s="434"/>
      <c r="AS60" s="19" t="s">
        <v>66</v>
      </c>
      <c r="AT60" s="25" t="s">
        <v>67</v>
      </c>
      <c r="AU60" s="26" t="s">
        <v>68</v>
      </c>
      <c r="AV60" s="25"/>
      <c r="AW60" s="25"/>
    </row>
    <row r="61" spans="1:49" ht="43.5" thickBot="1" x14ac:dyDescent="0.3">
      <c r="A61" s="531"/>
      <c r="B61" s="470"/>
      <c r="C61" s="473"/>
      <c r="D61" s="652"/>
      <c r="E61" s="473"/>
      <c r="F61" s="531"/>
      <c r="G61" s="534"/>
      <c r="H61" s="534"/>
      <c r="I61" s="534"/>
      <c r="J61" s="534"/>
      <c r="K61" s="470"/>
      <c r="L61" s="470"/>
      <c r="M61" s="470"/>
      <c r="N61" s="470"/>
      <c r="O61" s="470"/>
      <c r="P61" s="470"/>
      <c r="Q61" s="431"/>
      <c r="R61" s="614"/>
      <c r="S61" s="619"/>
      <c r="T61" s="579"/>
      <c r="U61" s="446"/>
      <c r="V61" s="87" t="s">
        <v>173</v>
      </c>
      <c r="W61" s="94">
        <v>8</v>
      </c>
      <c r="X61" s="95">
        <v>4</v>
      </c>
      <c r="Y61" s="96">
        <v>0</v>
      </c>
      <c r="Z61" s="83">
        <f t="shared" si="7"/>
        <v>0.5</v>
      </c>
      <c r="AA61" s="608"/>
      <c r="AB61" s="91">
        <v>44197</v>
      </c>
      <c r="AC61" s="92">
        <v>365</v>
      </c>
      <c r="AD61" s="26" t="s">
        <v>60</v>
      </c>
      <c r="AE61" s="93" t="s">
        <v>60</v>
      </c>
      <c r="AF61" s="55">
        <v>7.1400000000000005E-2</v>
      </c>
      <c r="AG61" s="579"/>
      <c r="AH61" s="446"/>
      <c r="AI61" s="446"/>
      <c r="AJ61" s="434"/>
      <c r="AK61" s="434"/>
      <c r="AL61" s="434"/>
      <c r="AM61" s="431"/>
      <c r="AN61" s="434"/>
      <c r="AO61" s="446"/>
      <c r="AP61" s="545"/>
      <c r="AQ61" s="446"/>
      <c r="AR61" s="434"/>
      <c r="AS61" s="19" t="s">
        <v>66</v>
      </c>
      <c r="AT61" s="25" t="s">
        <v>67</v>
      </c>
      <c r="AU61" s="26" t="s">
        <v>68</v>
      </c>
      <c r="AV61" s="25"/>
      <c r="AW61" s="25"/>
    </row>
    <row r="62" spans="1:49" ht="29.25" thickBot="1" x14ac:dyDescent="0.3">
      <c r="A62" s="531"/>
      <c r="B62" s="470"/>
      <c r="C62" s="473"/>
      <c r="D62" s="652"/>
      <c r="E62" s="473"/>
      <c r="F62" s="531"/>
      <c r="G62" s="535"/>
      <c r="H62" s="535"/>
      <c r="I62" s="535"/>
      <c r="J62" s="535"/>
      <c r="K62" s="471"/>
      <c r="L62" s="471"/>
      <c r="M62" s="471"/>
      <c r="N62" s="471"/>
      <c r="O62" s="471"/>
      <c r="P62" s="471"/>
      <c r="Q62" s="459"/>
      <c r="R62" s="618"/>
      <c r="S62" s="619"/>
      <c r="T62" s="579"/>
      <c r="U62" s="446"/>
      <c r="V62" s="87" t="s">
        <v>74</v>
      </c>
      <c r="W62" s="94">
        <v>8</v>
      </c>
      <c r="X62" s="95">
        <v>3</v>
      </c>
      <c r="Y62" s="96">
        <v>3</v>
      </c>
      <c r="Z62" s="83">
        <f t="shared" si="7"/>
        <v>0.75</v>
      </c>
      <c r="AA62" s="608"/>
      <c r="AB62" s="91">
        <v>44197</v>
      </c>
      <c r="AC62" s="92">
        <v>365</v>
      </c>
      <c r="AD62" s="26" t="s">
        <v>60</v>
      </c>
      <c r="AE62" s="93" t="s">
        <v>60</v>
      </c>
      <c r="AF62" s="55">
        <v>7.1400000000000005E-2</v>
      </c>
      <c r="AG62" s="579"/>
      <c r="AH62" s="446"/>
      <c r="AI62" s="446"/>
      <c r="AJ62" s="434"/>
      <c r="AK62" s="434"/>
      <c r="AL62" s="434"/>
      <c r="AM62" s="431"/>
      <c r="AN62" s="434"/>
      <c r="AO62" s="446"/>
      <c r="AP62" s="545"/>
      <c r="AQ62" s="446"/>
      <c r="AR62" s="434"/>
      <c r="AS62" s="19" t="s">
        <v>66</v>
      </c>
      <c r="AT62" s="25" t="s">
        <v>67</v>
      </c>
      <c r="AU62" s="26" t="s">
        <v>68</v>
      </c>
      <c r="AV62" s="25"/>
      <c r="AW62" s="25"/>
    </row>
    <row r="63" spans="1:49" ht="45.75" thickBot="1" x14ac:dyDescent="0.3">
      <c r="A63" s="531"/>
      <c r="B63" s="470"/>
      <c r="C63" s="473"/>
      <c r="D63" s="652"/>
      <c r="E63" s="473"/>
      <c r="F63" s="531"/>
      <c r="G63" s="533" t="s">
        <v>174</v>
      </c>
      <c r="H63" s="533" t="s">
        <v>54</v>
      </c>
      <c r="I63" s="533" t="s">
        <v>81</v>
      </c>
      <c r="J63" s="533" t="s">
        <v>175</v>
      </c>
      <c r="K63" s="469">
        <v>3</v>
      </c>
      <c r="L63" s="469">
        <v>1</v>
      </c>
      <c r="M63" s="469">
        <v>0.5</v>
      </c>
      <c r="N63" s="469">
        <v>0.33</v>
      </c>
      <c r="O63" s="469">
        <v>0</v>
      </c>
      <c r="P63" s="469">
        <f>M63+N63+O63</f>
        <v>0.83000000000000007</v>
      </c>
      <c r="Q63" s="430">
        <f>+N63/L63</f>
        <v>0.33</v>
      </c>
      <c r="R63" s="613">
        <f>+P63/K63</f>
        <v>0.27666666666666667</v>
      </c>
      <c r="S63" s="619"/>
      <c r="T63" s="579"/>
      <c r="U63" s="446"/>
      <c r="V63" s="97" t="s">
        <v>176</v>
      </c>
      <c r="W63" s="88">
        <v>1</v>
      </c>
      <c r="X63" s="89">
        <v>0.4</v>
      </c>
      <c r="Y63" s="90">
        <v>0.2</v>
      </c>
      <c r="Z63" s="83">
        <f t="shared" si="6"/>
        <v>0.60000000000000009</v>
      </c>
      <c r="AA63" s="608"/>
      <c r="AB63" s="91">
        <v>44197</v>
      </c>
      <c r="AC63" s="92">
        <v>365</v>
      </c>
      <c r="AD63" s="26" t="s">
        <v>60</v>
      </c>
      <c r="AE63" s="93" t="s">
        <v>60</v>
      </c>
      <c r="AF63" s="55">
        <v>7.1400000000000005E-2</v>
      </c>
      <c r="AG63" s="579"/>
      <c r="AH63" s="446"/>
      <c r="AI63" s="446"/>
      <c r="AJ63" s="434"/>
      <c r="AK63" s="434"/>
      <c r="AL63" s="434"/>
      <c r="AM63" s="431"/>
      <c r="AN63" s="434"/>
      <c r="AO63" s="446"/>
      <c r="AP63" s="545"/>
      <c r="AQ63" s="446"/>
      <c r="AR63" s="434"/>
      <c r="AS63" s="19" t="s">
        <v>66</v>
      </c>
      <c r="AT63" s="25" t="s">
        <v>67</v>
      </c>
      <c r="AU63" s="98" t="s">
        <v>68</v>
      </c>
      <c r="AV63" s="99"/>
      <c r="AW63" s="99"/>
    </row>
    <row r="64" spans="1:49" ht="45.75" thickBot="1" x14ac:dyDescent="0.3">
      <c r="A64" s="531"/>
      <c r="B64" s="470"/>
      <c r="C64" s="473"/>
      <c r="D64" s="652"/>
      <c r="E64" s="473"/>
      <c r="F64" s="531"/>
      <c r="G64" s="534"/>
      <c r="H64" s="534"/>
      <c r="I64" s="534"/>
      <c r="J64" s="534"/>
      <c r="K64" s="470"/>
      <c r="L64" s="470"/>
      <c r="M64" s="470"/>
      <c r="N64" s="470"/>
      <c r="O64" s="470"/>
      <c r="P64" s="470"/>
      <c r="Q64" s="431"/>
      <c r="R64" s="614"/>
      <c r="S64" s="619"/>
      <c r="T64" s="579"/>
      <c r="U64" s="446"/>
      <c r="V64" s="97" t="s">
        <v>177</v>
      </c>
      <c r="W64" s="88">
        <v>1</v>
      </c>
      <c r="X64" s="89">
        <v>0.25</v>
      </c>
      <c r="Y64" s="90">
        <v>0.4</v>
      </c>
      <c r="Z64" s="83">
        <f t="shared" si="6"/>
        <v>0.65</v>
      </c>
      <c r="AA64" s="608"/>
      <c r="AB64" s="91">
        <v>44197</v>
      </c>
      <c r="AC64" s="92">
        <v>365</v>
      </c>
      <c r="AD64" s="26" t="s">
        <v>60</v>
      </c>
      <c r="AE64" s="93" t="s">
        <v>60</v>
      </c>
      <c r="AF64" s="55">
        <v>7.1400000000000005E-2</v>
      </c>
      <c r="AG64" s="579"/>
      <c r="AH64" s="446"/>
      <c r="AI64" s="446"/>
      <c r="AJ64" s="434"/>
      <c r="AK64" s="434"/>
      <c r="AL64" s="434"/>
      <c r="AM64" s="431"/>
      <c r="AN64" s="434"/>
      <c r="AO64" s="446"/>
      <c r="AP64" s="545"/>
      <c r="AQ64" s="446"/>
      <c r="AR64" s="434"/>
      <c r="AS64" s="19" t="s">
        <v>66</v>
      </c>
      <c r="AT64" s="25" t="s">
        <v>67</v>
      </c>
      <c r="AU64" s="98" t="s">
        <v>68</v>
      </c>
      <c r="AV64" s="99"/>
      <c r="AW64" s="99"/>
    </row>
    <row r="65" spans="1:49" ht="45.75" thickBot="1" x14ac:dyDescent="0.3">
      <c r="A65" s="531"/>
      <c r="B65" s="470"/>
      <c r="C65" s="473"/>
      <c r="D65" s="652"/>
      <c r="E65" s="473"/>
      <c r="F65" s="531"/>
      <c r="G65" s="534"/>
      <c r="H65" s="534"/>
      <c r="I65" s="534"/>
      <c r="J65" s="534"/>
      <c r="K65" s="470"/>
      <c r="L65" s="470"/>
      <c r="M65" s="470"/>
      <c r="N65" s="470"/>
      <c r="O65" s="470"/>
      <c r="P65" s="470"/>
      <c r="Q65" s="431"/>
      <c r="R65" s="614"/>
      <c r="S65" s="619"/>
      <c r="T65" s="579"/>
      <c r="U65" s="446"/>
      <c r="V65" s="97" t="s">
        <v>178</v>
      </c>
      <c r="W65" s="88">
        <v>1</v>
      </c>
      <c r="X65" s="89">
        <v>0</v>
      </c>
      <c r="Y65" s="90">
        <v>0</v>
      </c>
      <c r="Z65" s="83">
        <f t="shared" si="6"/>
        <v>0</v>
      </c>
      <c r="AA65" s="608"/>
      <c r="AB65" s="91">
        <v>44197</v>
      </c>
      <c r="AC65" s="92">
        <v>365</v>
      </c>
      <c r="AD65" s="26" t="s">
        <v>60</v>
      </c>
      <c r="AE65" s="93" t="s">
        <v>60</v>
      </c>
      <c r="AF65" s="55">
        <v>7.1400000000000005E-2</v>
      </c>
      <c r="AG65" s="579"/>
      <c r="AH65" s="446"/>
      <c r="AI65" s="446"/>
      <c r="AJ65" s="434"/>
      <c r="AK65" s="434"/>
      <c r="AL65" s="434"/>
      <c r="AM65" s="431"/>
      <c r="AN65" s="434"/>
      <c r="AO65" s="446"/>
      <c r="AP65" s="545"/>
      <c r="AQ65" s="446"/>
      <c r="AR65" s="434"/>
      <c r="AS65" s="19" t="s">
        <v>66</v>
      </c>
      <c r="AT65" s="25" t="s">
        <v>67</v>
      </c>
      <c r="AU65" s="98" t="s">
        <v>68</v>
      </c>
      <c r="AV65" s="99"/>
      <c r="AW65" s="99"/>
    </row>
    <row r="66" spans="1:49" ht="60.75" thickBot="1" x14ac:dyDescent="0.3">
      <c r="A66" s="531"/>
      <c r="B66" s="470"/>
      <c r="C66" s="473"/>
      <c r="D66" s="652"/>
      <c r="E66" s="473"/>
      <c r="F66" s="531"/>
      <c r="G66" s="534"/>
      <c r="H66" s="534"/>
      <c r="I66" s="534"/>
      <c r="J66" s="534"/>
      <c r="K66" s="470"/>
      <c r="L66" s="470"/>
      <c r="M66" s="470"/>
      <c r="N66" s="470"/>
      <c r="O66" s="470"/>
      <c r="P66" s="470"/>
      <c r="Q66" s="431"/>
      <c r="R66" s="614"/>
      <c r="S66" s="619"/>
      <c r="T66" s="579"/>
      <c r="U66" s="446"/>
      <c r="V66" s="97" t="s">
        <v>179</v>
      </c>
      <c r="W66" s="88">
        <v>1</v>
      </c>
      <c r="X66" s="89">
        <v>0.8</v>
      </c>
      <c r="Y66" s="90">
        <v>0.2</v>
      </c>
      <c r="Z66" s="83">
        <f t="shared" si="6"/>
        <v>1</v>
      </c>
      <c r="AA66" s="608"/>
      <c r="AB66" s="91">
        <v>44197</v>
      </c>
      <c r="AC66" s="92">
        <v>365</v>
      </c>
      <c r="AD66" s="26" t="s">
        <v>60</v>
      </c>
      <c r="AE66" s="93" t="s">
        <v>60</v>
      </c>
      <c r="AF66" s="55">
        <v>7.1400000000000005E-2</v>
      </c>
      <c r="AG66" s="579"/>
      <c r="AH66" s="446"/>
      <c r="AI66" s="446"/>
      <c r="AJ66" s="434"/>
      <c r="AK66" s="434"/>
      <c r="AL66" s="434"/>
      <c r="AM66" s="431"/>
      <c r="AN66" s="434"/>
      <c r="AO66" s="446"/>
      <c r="AP66" s="545"/>
      <c r="AQ66" s="446"/>
      <c r="AR66" s="434"/>
      <c r="AS66" s="19" t="s">
        <v>66</v>
      </c>
      <c r="AT66" s="25" t="s">
        <v>67</v>
      </c>
      <c r="AU66" s="98" t="s">
        <v>68</v>
      </c>
      <c r="AV66" s="99"/>
      <c r="AW66" s="99"/>
    </row>
    <row r="67" spans="1:49" ht="30.75" thickBot="1" x14ac:dyDescent="0.3">
      <c r="A67" s="531"/>
      <c r="B67" s="470"/>
      <c r="C67" s="473"/>
      <c r="D67" s="652"/>
      <c r="E67" s="473"/>
      <c r="F67" s="531"/>
      <c r="G67" s="535"/>
      <c r="H67" s="535"/>
      <c r="I67" s="535"/>
      <c r="J67" s="535"/>
      <c r="K67" s="471"/>
      <c r="L67" s="471"/>
      <c r="M67" s="471"/>
      <c r="N67" s="471"/>
      <c r="O67" s="471"/>
      <c r="P67" s="471"/>
      <c r="Q67" s="431"/>
      <c r="R67" s="614"/>
      <c r="S67" s="619"/>
      <c r="T67" s="580"/>
      <c r="U67" s="447"/>
      <c r="V67" s="100" t="s">
        <v>74</v>
      </c>
      <c r="W67" s="101">
        <v>1</v>
      </c>
      <c r="X67" s="102">
        <v>0.2</v>
      </c>
      <c r="Y67" s="103">
        <v>0</v>
      </c>
      <c r="Z67" s="83">
        <f t="shared" si="6"/>
        <v>0.2</v>
      </c>
      <c r="AA67" s="609"/>
      <c r="AB67" s="104">
        <v>44197</v>
      </c>
      <c r="AC67" s="105">
        <v>365</v>
      </c>
      <c r="AD67" s="44" t="s">
        <v>60</v>
      </c>
      <c r="AE67" s="106" t="s">
        <v>60</v>
      </c>
      <c r="AF67" s="107">
        <v>7.1400000000000005E-2</v>
      </c>
      <c r="AG67" s="579"/>
      <c r="AH67" s="446"/>
      <c r="AI67" s="447"/>
      <c r="AJ67" s="435"/>
      <c r="AK67" s="435"/>
      <c r="AL67" s="435"/>
      <c r="AM67" s="459"/>
      <c r="AN67" s="435"/>
      <c r="AO67" s="447"/>
      <c r="AP67" s="546"/>
      <c r="AQ67" s="447"/>
      <c r="AR67" s="435"/>
      <c r="AS67" s="71" t="s">
        <v>66</v>
      </c>
      <c r="AT67" s="108" t="s">
        <v>67</v>
      </c>
      <c r="AU67" s="109" t="s">
        <v>68</v>
      </c>
      <c r="AV67" s="108"/>
      <c r="AW67" s="108"/>
    </row>
    <row r="68" spans="1:49" ht="119.25" customHeight="1" thickBot="1" x14ac:dyDescent="0.3">
      <c r="A68" s="531"/>
      <c r="B68" s="470"/>
      <c r="C68" s="473"/>
      <c r="D68" s="652"/>
      <c r="E68" s="473"/>
      <c r="F68" s="532"/>
      <c r="G68" s="551" t="s">
        <v>180</v>
      </c>
      <c r="H68" s="552"/>
      <c r="I68" s="552"/>
      <c r="J68" s="552"/>
      <c r="K68" s="552"/>
      <c r="L68" s="552"/>
      <c r="M68" s="552"/>
      <c r="N68" s="552"/>
      <c r="O68" s="552"/>
      <c r="P68" s="552"/>
      <c r="Q68" s="224">
        <f>AVERAGE(Q33:Q67)</f>
        <v>0.31666666666666671</v>
      </c>
      <c r="R68" s="224">
        <f>AVERAGE(R33:R67)</f>
        <v>0.48842592592592587</v>
      </c>
      <c r="S68" s="619"/>
      <c r="T68" s="615" t="s">
        <v>181</v>
      </c>
      <c r="U68" s="616"/>
      <c r="V68" s="616"/>
      <c r="W68" s="616"/>
      <c r="X68" s="616"/>
      <c r="Y68" s="616"/>
      <c r="Z68" s="617"/>
      <c r="AA68" s="110">
        <f>AVERAGE(AA33:AA67)</f>
        <v>0.37782967032967035</v>
      </c>
      <c r="AB68" s="111"/>
      <c r="AC68" s="112"/>
      <c r="AD68" s="62"/>
      <c r="AE68" s="62"/>
      <c r="AF68" s="113"/>
      <c r="AG68" s="580"/>
      <c r="AH68" s="447"/>
      <c r="AI68" s="66"/>
      <c r="AJ68" s="115"/>
      <c r="AK68" s="115"/>
      <c r="AL68" s="115"/>
      <c r="AM68" s="115"/>
      <c r="AN68" s="66"/>
      <c r="AO68" s="66"/>
      <c r="AP68" s="116"/>
      <c r="AQ68" s="66"/>
      <c r="AR68" s="115"/>
      <c r="AS68" s="71"/>
      <c r="AT68" s="117"/>
      <c r="AU68" s="118"/>
      <c r="AV68" s="117"/>
      <c r="AW68" s="117"/>
    </row>
    <row r="69" spans="1:49" ht="42.75" customHeight="1" x14ac:dyDescent="0.25">
      <c r="A69" s="531"/>
      <c r="B69" s="470"/>
      <c r="C69" s="473"/>
      <c r="D69" s="652"/>
      <c r="E69" s="473"/>
      <c r="F69" s="523" t="s">
        <v>182</v>
      </c>
      <c r="G69" s="472" t="s">
        <v>183</v>
      </c>
      <c r="H69" s="472" t="s">
        <v>54</v>
      </c>
      <c r="I69" s="486" t="s">
        <v>184</v>
      </c>
      <c r="J69" s="472" t="s">
        <v>185</v>
      </c>
      <c r="K69" s="488">
        <v>10</v>
      </c>
      <c r="L69" s="488">
        <v>2</v>
      </c>
      <c r="M69" s="598">
        <v>3</v>
      </c>
      <c r="N69" s="488">
        <v>2</v>
      </c>
      <c r="O69" s="488">
        <v>2</v>
      </c>
      <c r="P69" s="488">
        <f>M69+N69</f>
        <v>5</v>
      </c>
      <c r="Q69" s="430">
        <f>+N69/L69</f>
        <v>1</v>
      </c>
      <c r="R69" s="430">
        <f>+P69/K69</f>
        <v>0.5</v>
      </c>
      <c r="S69" s="583" t="s">
        <v>186</v>
      </c>
      <c r="T69" s="586">
        <v>2020130010183</v>
      </c>
      <c r="U69" s="503" t="s">
        <v>187</v>
      </c>
      <c r="V69" s="63" t="s">
        <v>188</v>
      </c>
      <c r="W69" s="62">
        <v>1</v>
      </c>
      <c r="X69" s="62">
        <v>0</v>
      </c>
      <c r="Y69" s="119">
        <v>0.6</v>
      </c>
      <c r="Z69" s="120">
        <f>(X69+Y69)/W69</f>
        <v>0.6</v>
      </c>
      <c r="AA69" s="595">
        <f>AVERAGE(Z69:Z86)</f>
        <v>0.36712962962962969</v>
      </c>
      <c r="AB69" s="60">
        <v>44197</v>
      </c>
      <c r="AC69" s="61">
        <v>365</v>
      </c>
      <c r="AD69" s="121" t="s">
        <v>60</v>
      </c>
      <c r="AE69" s="121" t="s">
        <v>60</v>
      </c>
      <c r="AF69" s="122">
        <v>5.5E-2</v>
      </c>
      <c r="AG69" s="445" t="s">
        <v>61</v>
      </c>
      <c r="AH69" s="445" t="s">
        <v>62</v>
      </c>
      <c r="AI69" s="445" t="s">
        <v>63</v>
      </c>
      <c r="AJ69" s="433">
        <v>496800000</v>
      </c>
      <c r="AK69" s="433">
        <v>300000000</v>
      </c>
      <c r="AL69" s="433">
        <v>496800000</v>
      </c>
      <c r="AM69" s="430">
        <f>+AL69/AJ69</f>
        <v>1</v>
      </c>
      <c r="AN69" s="445" t="s">
        <v>63</v>
      </c>
      <c r="AO69" s="445" t="s">
        <v>64</v>
      </c>
      <c r="AP69" s="603"/>
      <c r="AQ69" s="445" t="s">
        <v>65</v>
      </c>
      <c r="AR69" s="433">
        <f>AL69</f>
        <v>496800000</v>
      </c>
      <c r="AS69" s="41" t="s">
        <v>66</v>
      </c>
      <c r="AT69" s="18" t="s">
        <v>67</v>
      </c>
      <c r="AU69" s="19" t="s">
        <v>68</v>
      </c>
      <c r="AV69" s="18"/>
      <c r="AW69" s="18"/>
    </row>
    <row r="70" spans="1:49" ht="57" x14ac:dyDescent="0.25">
      <c r="A70" s="531"/>
      <c r="B70" s="470"/>
      <c r="C70" s="473"/>
      <c r="D70" s="652"/>
      <c r="E70" s="473"/>
      <c r="F70" s="485"/>
      <c r="G70" s="473"/>
      <c r="H70" s="473"/>
      <c r="I70" s="487"/>
      <c r="J70" s="473"/>
      <c r="K70" s="489"/>
      <c r="L70" s="489"/>
      <c r="M70" s="599"/>
      <c r="N70" s="489"/>
      <c r="O70" s="489"/>
      <c r="P70" s="489"/>
      <c r="Q70" s="431"/>
      <c r="R70" s="431"/>
      <c r="S70" s="584"/>
      <c r="T70" s="587"/>
      <c r="U70" s="587"/>
      <c r="V70" s="25" t="s">
        <v>189</v>
      </c>
      <c r="W70" s="26">
        <v>12</v>
      </c>
      <c r="X70" s="26">
        <v>3</v>
      </c>
      <c r="Y70" s="27">
        <v>3</v>
      </c>
      <c r="Z70" s="120">
        <f t="shared" ref="Z70:Z86" si="8">(X70+Y70)/W70</f>
        <v>0.5</v>
      </c>
      <c r="AA70" s="596"/>
      <c r="AB70" s="28">
        <v>44197</v>
      </c>
      <c r="AC70" s="92">
        <v>365</v>
      </c>
      <c r="AD70" s="26" t="s">
        <v>60</v>
      </c>
      <c r="AE70" s="123" t="s">
        <v>60</v>
      </c>
      <c r="AF70" s="122">
        <v>5.5E-2</v>
      </c>
      <c r="AG70" s="446"/>
      <c r="AH70" s="446"/>
      <c r="AI70" s="446"/>
      <c r="AJ70" s="434"/>
      <c r="AK70" s="434"/>
      <c r="AL70" s="434"/>
      <c r="AM70" s="431"/>
      <c r="AN70" s="446"/>
      <c r="AO70" s="446"/>
      <c r="AP70" s="604"/>
      <c r="AQ70" s="446"/>
      <c r="AR70" s="434"/>
      <c r="AS70" s="19" t="s">
        <v>66</v>
      </c>
      <c r="AT70" s="25" t="s">
        <v>67</v>
      </c>
      <c r="AU70" s="26" t="s">
        <v>68</v>
      </c>
      <c r="AV70" s="25"/>
      <c r="AW70" s="25"/>
    </row>
    <row r="71" spans="1:49" ht="28.5" x14ac:dyDescent="0.25">
      <c r="A71" s="531"/>
      <c r="B71" s="470"/>
      <c r="C71" s="473"/>
      <c r="D71" s="652"/>
      <c r="E71" s="473"/>
      <c r="F71" s="485"/>
      <c r="G71" s="473"/>
      <c r="H71" s="473"/>
      <c r="I71" s="487"/>
      <c r="J71" s="473"/>
      <c r="K71" s="489"/>
      <c r="L71" s="489"/>
      <c r="M71" s="599"/>
      <c r="N71" s="489"/>
      <c r="O71" s="489"/>
      <c r="P71" s="489"/>
      <c r="Q71" s="431"/>
      <c r="R71" s="431"/>
      <c r="S71" s="584"/>
      <c r="T71" s="587"/>
      <c r="U71" s="587"/>
      <c r="V71" s="25" t="s">
        <v>190</v>
      </c>
      <c r="W71" s="26">
        <v>3</v>
      </c>
      <c r="X71" s="26">
        <v>3</v>
      </c>
      <c r="Y71" s="27">
        <v>0</v>
      </c>
      <c r="Z71" s="120">
        <f t="shared" si="8"/>
        <v>1</v>
      </c>
      <c r="AA71" s="596"/>
      <c r="AB71" s="28">
        <v>44197</v>
      </c>
      <c r="AC71" s="92">
        <v>365</v>
      </c>
      <c r="AD71" s="26" t="s">
        <v>60</v>
      </c>
      <c r="AE71" s="123" t="s">
        <v>60</v>
      </c>
      <c r="AF71" s="122">
        <v>5.5E-2</v>
      </c>
      <c r="AG71" s="446"/>
      <c r="AH71" s="446"/>
      <c r="AI71" s="446"/>
      <c r="AJ71" s="434"/>
      <c r="AK71" s="434"/>
      <c r="AL71" s="434"/>
      <c r="AM71" s="431"/>
      <c r="AN71" s="446"/>
      <c r="AO71" s="446"/>
      <c r="AP71" s="604"/>
      <c r="AQ71" s="446"/>
      <c r="AR71" s="434"/>
      <c r="AS71" s="19" t="s">
        <v>66</v>
      </c>
      <c r="AT71" s="25" t="s">
        <v>76</v>
      </c>
      <c r="AU71" s="26" t="s">
        <v>77</v>
      </c>
      <c r="AV71" s="25"/>
      <c r="AW71" s="25"/>
    </row>
    <row r="72" spans="1:49" ht="42.75" x14ac:dyDescent="0.25">
      <c r="A72" s="531"/>
      <c r="B72" s="470"/>
      <c r="C72" s="473"/>
      <c r="D72" s="652"/>
      <c r="E72" s="473"/>
      <c r="F72" s="485"/>
      <c r="G72" s="473"/>
      <c r="H72" s="473"/>
      <c r="I72" s="487"/>
      <c r="J72" s="473"/>
      <c r="K72" s="489"/>
      <c r="L72" s="489"/>
      <c r="M72" s="599"/>
      <c r="N72" s="489"/>
      <c r="O72" s="489"/>
      <c r="P72" s="489"/>
      <c r="Q72" s="431"/>
      <c r="R72" s="431"/>
      <c r="S72" s="584"/>
      <c r="T72" s="587"/>
      <c r="U72" s="587"/>
      <c r="V72" s="25" t="s">
        <v>191</v>
      </c>
      <c r="W72" s="26">
        <v>1</v>
      </c>
      <c r="X72" s="26">
        <v>0.19</v>
      </c>
      <c r="Y72" s="27">
        <v>0.26</v>
      </c>
      <c r="Z72" s="120">
        <f t="shared" si="8"/>
        <v>0.45</v>
      </c>
      <c r="AA72" s="596"/>
      <c r="AB72" s="28">
        <v>44197</v>
      </c>
      <c r="AC72" s="92">
        <v>365</v>
      </c>
      <c r="AD72" s="26" t="s">
        <v>60</v>
      </c>
      <c r="AE72" s="123" t="s">
        <v>60</v>
      </c>
      <c r="AF72" s="122">
        <v>5.5E-2</v>
      </c>
      <c r="AG72" s="446"/>
      <c r="AH72" s="446"/>
      <c r="AI72" s="446"/>
      <c r="AJ72" s="434"/>
      <c r="AK72" s="434"/>
      <c r="AL72" s="434"/>
      <c r="AM72" s="431"/>
      <c r="AN72" s="446"/>
      <c r="AO72" s="446"/>
      <c r="AP72" s="604"/>
      <c r="AQ72" s="446"/>
      <c r="AR72" s="434"/>
      <c r="AS72" s="19" t="s">
        <v>66</v>
      </c>
      <c r="AT72" s="25" t="s">
        <v>67</v>
      </c>
      <c r="AU72" s="26" t="s">
        <v>68</v>
      </c>
      <c r="AV72" s="25"/>
      <c r="AW72" s="25"/>
    </row>
    <row r="73" spans="1:49" ht="29.25" thickBot="1" x14ac:dyDescent="0.3">
      <c r="A73" s="531"/>
      <c r="B73" s="470"/>
      <c r="C73" s="473"/>
      <c r="D73" s="652"/>
      <c r="E73" s="473"/>
      <c r="F73" s="485"/>
      <c r="G73" s="473"/>
      <c r="H73" s="473"/>
      <c r="I73" s="487"/>
      <c r="J73" s="473"/>
      <c r="K73" s="489"/>
      <c r="L73" s="495"/>
      <c r="M73" s="600"/>
      <c r="N73" s="495"/>
      <c r="O73" s="495"/>
      <c r="P73" s="495"/>
      <c r="Q73" s="459"/>
      <c r="R73" s="459"/>
      <c r="S73" s="584"/>
      <c r="T73" s="587"/>
      <c r="U73" s="587"/>
      <c r="V73" s="25" t="s">
        <v>74</v>
      </c>
      <c r="W73" s="26">
        <v>3</v>
      </c>
      <c r="X73" s="26">
        <v>0</v>
      </c>
      <c r="Y73" s="27">
        <v>1</v>
      </c>
      <c r="Z73" s="120">
        <f t="shared" si="8"/>
        <v>0.33333333333333331</v>
      </c>
      <c r="AA73" s="596"/>
      <c r="AB73" s="28">
        <v>44197</v>
      </c>
      <c r="AC73" s="92">
        <v>365</v>
      </c>
      <c r="AD73" s="26" t="s">
        <v>60</v>
      </c>
      <c r="AE73" s="123" t="s">
        <v>60</v>
      </c>
      <c r="AF73" s="122">
        <v>5.5E-2</v>
      </c>
      <c r="AG73" s="446"/>
      <c r="AH73" s="446"/>
      <c r="AI73" s="446"/>
      <c r="AJ73" s="434"/>
      <c r="AK73" s="434"/>
      <c r="AL73" s="434"/>
      <c r="AM73" s="431"/>
      <c r="AN73" s="446"/>
      <c r="AO73" s="446"/>
      <c r="AP73" s="604"/>
      <c r="AQ73" s="446"/>
      <c r="AR73" s="434"/>
      <c r="AS73" s="19" t="s">
        <v>66</v>
      </c>
      <c r="AT73" s="25" t="s">
        <v>67</v>
      </c>
      <c r="AU73" s="26" t="s">
        <v>68</v>
      </c>
      <c r="AV73" s="25"/>
      <c r="AW73" s="25"/>
    </row>
    <row r="74" spans="1:49" ht="28.5" x14ac:dyDescent="0.25">
      <c r="A74" s="531"/>
      <c r="B74" s="470"/>
      <c r="C74" s="473"/>
      <c r="D74" s="652"/>
      <c r="E74" s="473"/>
      <c r="F74" s="485"/>
      <c r="G74" s="472" t="s">
        <v>192</v>
      </c>
      <c r="H74" s="472" t="s">
        <v>54</v>
      </c>
      <c r="I74" s="472" t="s">
        <v>193</v>
      </c>
      <c r="J74" s="472" t="s">
        <v>194</v>
      </c>
      <c r="K74" s="488">
        <v>1</v>
      </c>
      <c r="L74" s="463">
        <v>0.05</v>
      </c>
      <c r="M74" s="463">
        <v>100</v>
      </c>
      <c r="N74" s="601">
        <v>2.5000000000000001E-3</v>
      </c>
      <c r="O74" s="601">
        <v>5.0000000000000001E-3</v>
      </c>
      <c r="P74" s="463">
        <f>M74+N74</f>
        <v>100.0025</v>
      </c>
      <c r="Q74" s="430">
        <f>(N74+O74)/L74</f>
        <v>0.15</v>
      </c>
      <c r="R74" s="430">
        <v>1</v>
      </c>
      <c r="S74" s="584"/>
      <c r="T74" s="587"/>
      <c r="U74" s="587"/>
      <c r="V74" s="25" t="s">
        <v>195</v>
      </c>
      <c r="W74" s="26">
        <v>4</v>
      </c>
      <c r="X74" s="26">
        <v>0.4</v>
      </c>
      <c r="Y74" s="27">
        <v>1.4</v>
      </c>
      <c r="Z74" s="120">
        <f t="shared" si="8"/>
        <v>0.44999999999999996</v>
      </c>
      <c r="AA74" s="596"/>
      <c r="AB74" s="28">
        <v>44197</v>
      </c>
      <c r="AC74" s="92">
        <v>365</v>
      </c>
      <c r="AD74" s="26" t="s">
        <v>60</v>
      </c>
      <c r="AE74" s="123" t="s">
        <v>60</v>
      </c>
      <c r="AF74" s="122">
        <v>5.5E-2</v>
      </c>
      <c r="AG74" s="446"/>
      <c r="AH74" s="446"/>
      <c r="AI74" s="446"/>
      <c r="AJ74" s="434"/>
      <c r="AK74" s="434"/>
      <c r="AL74" s="434"/>
      <c r="AM74" s="431"/>
      <c r="AN74" s="446"/>
      <c r="AO74" s="446"/>
      <c r="AP74" s="604"/>
      <c r="AQ74" s="446"/>
      <c r="AR74" s="434"/>
      <c r="AS74" s="19" t="s">
        <v>66</v>
      </c>
      <c r="AT74" s="25" t="s">
        <v>67</v>
      </c>
      <c r="AU74" s="26" t="s">
        <v>68</v>
      </c>
      <c r="AV74" s="25"/>
      <c r="AW74" s="25"/>
    </row>
    <row r="75" spans="1:49" ht="83.25" customHeight="1" thickBot="1" x14ac:dyDescent="0.3">
      <c r="A75" s="531"/>
      <c r="B75" s="470"/>
      <c r="C75" s="473"/>
      <c r="D75" s="652"/>
      <c r="E75" s="473"/>
      <c r="F75" s="485"/>
      <c r="G75" s="474"/>
      <c r="H75" s="474"/>
      <c r="I75" s="474"/>
      <c r="J75" s="474"/>
      <c r="K75" s="495"/>
      <c r="L75" s="465"/>
      <c r="M75" s="465"/>
      <c r="N75" s="602"/>
      <c r="O75" s="602"/>
      <c r="P75" s="465"/>
      <c r="Q75" s="459"/>
      <c r="R75" s="459"/>
      <c r="S75" s="584"/>
      <c r="T75" s="587"/>
      <c r="U75" s="587"/>
      <c r="V75" s="25" t="s">
        <v>74</v>
      </c>
      <c r="W75" s="26">
        <v>4</v>
      </c>
      <c r="X75" s="26">
        <v>0</v>
      </c>
      <c r="Y75" s="27">
        <v>1</v>
      </c>
      <c r="Z75" s="120">
        <f t="shared" si="8"/>
        <v>0.25</v>
      </c>
      <c r="AA75" s="596"/>
      <c r="AB75" s="28">
        <v>44197</v>
      </c>
      <c r="AC75" s="92">
        <v>365</v>
      </c>
      <c r="AD75" s="26" t="s">
        <v>60</v>
      </c>
      <c r="AE75" s="123" t="s">
        <v>60</v>
      </c>
      <c r="AF75" s="122">
        <v>5.5E-2</v>
      </c>
      <c r="AG75" s="446"/>
      <c r="AH75" s="446"/>
      <c r="AI75" s="446"/>
      <c r="AJ75" s="434"/>
      <c r="AK75" s="434"/>
      <c r="AL75" s="434"/>
      <c r="AM75" s="431"/>
      <c r="AN75" s="446"/>
      <c r="AO75" s="446"/>
      <c r="AP75" s="604"/>
      <c r="AQ75" s="446"/>
      <c r="AR75" s="434"/>
      <c r="AS75" s="19" t="s">
        <v>66</v>
      </c>
      <c r="AT75" s="25" t="s">
        <v>67</v>
      </c>
      <c r="AU75" s="26" t="s">
        <v>68</v>
      </c>
      <c r="AV75" s="25"/>
      <c r="AW75" s="25"/>
    </row>
    <row r="76" spans="1:49" ht="57" x14ac:dyDescent="0.25">
      <c r="A76" s="531"/>
      <c r="B76" s="470"/>
      <c r="C76" s="473"/>
      <c r="D76" s="652"/>
      <c r="E76" s="473"/>
      <c r="F76" s="485"/>
      <c r="G76" s="472" t="s">
        <v>196</v>
      </c>
      <c r="H76" s="472" t="s">
        <v>54</v>
      </c>
      <c r="I76" s="472" t="s">
        <v>81</v>
      </c>
      <c r="J76" s="472" t="s">
        <v>197</v>
      </c>
      <c r="K76" s="488">
        <v>4</v>
      </c>
      <c r="L76" s="488">
        <v>1</v>
      </c>
      <c r="M76" s="488">
        <v>2</v>
      </c>
      <c r="N76" s="463">
        <v>0.19</v>
      </c>
      <c r="O76" s="463">
        <v>0.19</v>
      </c>
      <c r="P76" s="463">
        <f>M76+N76+O76</f>
        <v>2.38</v>
      </c>
      <c r="Q76" s="430">
        <f>(N76+O76)/L76</f>
        <v>0.38</v>
      </c>
      <c r="R76" s="430">
        <f>+P76/K76</f>
        <v>0.59499999999999997</v>
      </c>
      <c r="S76" s="584"/>
      <c r="T76" s="587"/>
      <c r="U76" s="587"/>
      <c r="V76" s="25" t="s">
        <v>198</v>
      </c>
      <c r="W76" s="26">
        <v>12</v>
      </c>
      <c r="X76" s="26">
        <v>3</v>
      </c>
      <c r="Y76" s="27">
        <v>3</v>
      </c>
      <c r="Z76" s="120">
        <f t="shared" si="8"/>
        <v>0.5</v>
      </c>
      <c r="AA76" s="596"/>
      <c r="AB76" s="28">
        <v>44197</v>
      </c>
      <c r="AC76" s="92">
        <v>365</v>
      </c>
      <c r="AD76" s="26" t="s">
        <v>60</v>
      </c>
      <c r="AE76" s="123" t="s">
        <v>60</v>
      </c>
      <c r="AF76" s="122">
        <v>5.5E-2</v>
      </c>
      <c r="AG76" s="446"/>
      <c r="AH76" s="446"/>
      <c r="AI76" s="446"/>
      <c r="AJ76" s="434"/>
      <c r="AK76" s="434"/>
      <c r="AL76" s="434"/>
      <c r="AM76" s="431"/>
      <c r="AN76" s="446"/>
      <c r="AO76" s="446"/>
      <c r="AP76" s="604"/>
      <c r="AQ76" s="446"/>
      <c r="AR76" s="434"/>
      <c r="AS76" s="19" t="s">
        <v>66</v>
      </c>
      <c r="AT76" s="25" t="s">
        <v>67</v>
      </c>
      <c r="AU76" s="26" t="s">
        <v>68</v>
      </c>
      <c r="AV76" s="25"/>
      <c r="AW76" s="25"/>
    </row>
    <row r="77" spans="1:49" ht="86.25" thickBot="1" x14ac:dyDescent="0.3">
      <c r="A77" s="531"/>
      <c r="B77" s="470"/>
      <c r="C77" s="473"/>
      <c r="D77" s="652"/>
      <c r="E77" s="473"/>
      <c r="F77" s="485"/>
      <c r="G77" s="473"/>
      <c r="H77" s="473"/>
      <c r="I77" s="473"/>
      <c r="J77" s="473"/>
      <c r="K77" s="489"/>
      <c r="L77" s="489"/>
      <c r="M77" s="489"/>
      <c r="N77" s="464"/>
      <c r="O77" s="464"/>
      <c r="P77" s="464"/>
      <c r="Q77" s="431"/>
      <c r="R77" s="431"/>
      <c r="S77" s="584"/>
      <c r="T77" s="587"/>
      <c r="U77" s="587"/>
      <c r="V77" s="25" t="s">
        <v>199</v>
      </c>
      <c r="W77" s="26">
        <v>12</v>
      </c>
      <c r="X77" s="26">
        <v>3</v>
      </c>
      <c r="Y77" s="27">
        <v>3</v>
      </c>
      <c r="Z77" s="120">
        <f t="shared" si="8"/>
        <v>0.5</v>
      </c>
      <c r="AA77" s="596"/>
      <c r="AB77" s="28">
        <v>44197</v>
      </c>
      <c r="AC77" s="92">
        <v>365</v>
      </c>
      <c r="AD77" s="26" t="s">
        <v>60</v>
      </c>
      <c r="AE77" s="123" t="s">
        <v>60</v>
      </c>
      <c r="AF77" s="122">
        <v>5.5E-2</v>
      </c>
      <c r="AG77" s="446"/>
      <c r="AH77" s="446"/>
      <c r="AI77" s="447"/>
      <c r="AJ77" s="435"/>
      <c r="AK77" s="435"/>
      <c r="AL77" s="435"/>
      <c r="AM77" s="459"/>
      <c r="AN77" s="447"/>
      <c r="AO77" s="447"/>
      <c r="AP77" s="604"/>
      <c r="AQ77" s="447"/>
      <c r="AR77" s="435"/>
      <c r="AS77" s="19" t="s">
        <v>66</v>
      </c>
      <c r="AT77" s="25" t="s">
        <v>67</v>
      </c>
      <c r="AU77" s="26" t="s">
        <v>68</v>
      </c>
      <c r="AV77" s="25"/>
      <c r="AW77" s="25"/>
    </row>
    <row r="78" spans="1:49" ht="42" customHeight="1" x14ac:dyDescent="0.25">
      <c r="A78" s="531"/>
      <c r="B78" s="470"/>
      <c r="C78" s="473"/>
      <c r="D78" s="652"/>
      <c r="E78" s="473"/>
      <c r="F78" s="485"/>
      <c r="G78" s="473"/>
      <c r="H78" s="473"/>
      <c r="I78" s="473"/>
      <c r="J78" s="473"/>
      <c r="K78" s="489"/>
      <c r="L78" s="489"/>
      <c r="M78" s="489"/>
      <c r="N78" s="464"/>
      <c r="O78" s="464"/>
      <c r="P78" s="464"/>
      <c r="Q78" s="431"/>
      <c r="R78" s="431"/>
      <c r="S78" s="584"/>
      <c r="T78" s="587"/>
      <c r="U78" s="587"/>
      <c r="V78" s="25" t="s">
        <v>200</v>
      </c>
      <c r="W78" s="26">
        <v>12</v>
      </c>
      <c r="X78" s="26">
        <v>3</v>
      </c>
      <c r="Y78" s="27">
        <v>3</v>
      </c>
      <c r="Z78" s="120">
        <f t="shared" si="8"/>
        <v>0.5</v>
      </c>
      <c r="AA78" s="596"/>
      <c r="AB78" s="28">
        <v>44197</v>
      </c>
      <c r="AC78" s="92">
        <v>365</v>
      </c>
      <c r="AD78" s="26" t="s">
        <v>60</v>
      </c>
      <c r="AE78" s="123" t="s">
        <v>60</v>
      </c>
      <c r="AF78" s="122">
        <v>5.5E-2</v>
      </c>
      <c r="AG78" s="446"/>
      <c r="AH78" s="446"/>
      <c r="AI78" s="446" t="s">
        <v>73</v>
      </c>
      <c r="AJ78" s="434">
        <v>703200000</v>
      </c>
      <c r="AK78" s="434">
        <v>900000000</v>
      </c>
      <c r="AL78" s="434">
        <v>540400000</v>
      </c>
      <c r="AM78" s="431">
        <f>+AL78/AJ78</f>
        <v>0.76848691695108073</v>
      </c>
      <c r="AN78" s="446" t="s">
        <v>73</v>
      </c>
      <c r="AO78" s="446" t="s">
        <v>64</v>
      </c>
      <c r="AP78" s="604"/>
      <c r="AQ78" s="446" t="s">
        <v>65</v>
      </c>
      <c r="AR78" s="434">
        <f>AL78</f>
        <v>540400000</v>
      </c>
      <c r="AS78" s="19" t="s">
        <v>66</v>
      </c>
      <c r="AT78" s="25" t="s">
        <v>67</v>
      </c>
      <c r="AU78" s="26" t="s">
        <v>68</v>
      </c>
      <c r="AV78" s="25"/>
      <c r="AW78" s="25"/>
    </row>
    <row r="79" spans="1:49" ht="28.5" x14ac:dyDescent="0.25">
      <c r="A79" s="531"/>
      <c r="B79" s="470"/>
      <c r="C79" s="473"/>
      <c r="D79" s="652"/>
      <c r="E79" s="473"/>
      <c r="F79" s="485"/>
      <c r="G79" s="473"/>
      <c r="H79" s="473"/>
      <c r="I79" s="473"/>
      <c r="J79" s="473"/>
      <c r="K79" s="489"/>
      <c r="L79" s="489"/>
      <c r="M79" s="489"/>
      <c r="N79" s="464"/>
      <c r="O79" s="464"/>
      <c r="P79" s="464"/>
      <c r="Q79" s="431"/>
      <c r="R79" s="431"/>
      <c r="S79" s="584"/>
      <c r="T79" s="587"/>
      <c r="U79" s="587"/>
      <c r="V79" s="25" t="s">
        <v>201</v>
      </c>
      <c r="W79" s="26">
        <v>24</v>
      </c>
      <c r="X79" s="26">
        <v>4</v>
      </c>
      <c r="Y79" s="27">
        <v>11</v>
      </c>
      <c r="Z79" s="120">
        <f t="shared" si="8"/>
        <v>0.625</v>
      </c>
      <c r="AA79" s="596"/>
      <c r="AB79" s="28">
        <v>44197</v>
      </c>
      <c r="AC79" s="92">
        <v>365</v>
      </c>
      <c r="AD79" s="26" t="s">
        <v>60</v>
      </c>
      <c r="AE79" s="123" t="s">
        <v>60</v>
      </c>
      <c r="AF79" s="122">
        <v>5.5E-2</v>
      </c>
      <c r="AG79" s="446"/>
      <c r="AH79" s="446"/>
      <c r="AI79" s="446"/>
      <c r="AJ79" s="434"/>
      <c r="AK79" s="434"/>
      <c r="AL79" s="434"/>
      <c r="AM79" s="431"/>
      <c r="AN79" s="446"/>
      <c r="AO79" s="446"/>
      <c r="AP79" s="604"/>
      <c r="AQ79" s="446"/>
      <c r="AR79" s="434"/>
      <c r="AS79" s="19" t="s">
        <v>66</v>
      </c>
      <c r="AT79" s="25" t="s">
        <v>202</v>
      </c>
      <c r="AU79" s="26" t="s">
        <v>169</v>
      </c>
      <c r="AV79" s="25"/>
      <c r="AW79" s="25"/>
    </row>
    <row r="80" spans="1:49" ht="43.5" thickBot="1" x14ac:dyDescent="0.3">
      <c r="A80" s="531"/>
      <c r="B80" s="470"/>
      <c r="C80" s="473"/>
      <c r="D80" s="652"/>
      <c r="E80" s="473"/>
      <c r="F80" s="485"/>
      <c r="G80" s="473"/>
      <c r="H80" s="473"/>
      <c r="I80" s="473"/>
      <c r="J80" s="473"/>
      <c r="K80" s="489"/>
      <c r="L80" s="495"/>
      <c r="M80" s="495"/>
      <c r="N80" s="465"/>
      <c r="O80" s="465"/>
      <c r="P80" s="464"/>
      <c r="Q80" s="431"/>
      <c r="R80" s="431"/>
      <c r="S80" s="584"/>
      <c r="T80" s="587"/>
      <c r="U80" s="587"/>
      <c r="V80" s="25" t="s">
        <v>203</v>
      </c>
      <c r="W80" s="26">
        <v>1</v>
      </c>
      <c r="X80" s="26">
        <v>0</v>
      </c>
      <c r="Y80" s="27">
        <v>0</v>
      </c>
      <c r="Z80" s="120">
        <f t="shared" si="8"/>
        <v>0</v>
      </c>
      <c r="AA80" s="596"/>
      <c r="AB80" s="28">
        <v>44197</v>
      </c>
      <c r="AC80" s="92">
        <v>365</v>
      </c>
      <c r="AD80" s="26" t="s">
        <v>60</v>
      </c>
      <c r="AE80" s="123" t="s">
        <v>60</v>
      </c>
      <c r="AF80" s="122">
        <v>5.5E-2</v>
      </c>
      <c r="AG80" s="446"/>
      <c r="AH80" s="446"/>
      <c r="AI80" s="446"/>
      <c r="AJ80" s="434"/>
      <c r="AK80" s="434"/>
      <c r="AL80" s="434"/>
      <c r="AM80" s="431"/>
      <c r="AN80" s="446"/>
      <c r="AO80" s="446"/>
      <c r="AP80" s="604"/>
      <c r="AQ80" s="446"/>
      <c r="AR80" s="434"/>
      <c r="AS80" s="19" t="s">
        <v>66</v>
      </c>
      <c r="AT80" s="25" t="s">
        <v>67</v>
      </c>
      <c r="AU80" s="26" t="s">
        <v>68</v>
      </c>
      <c r="AV80" s="25"/>
      <c r="AW80" s="25"/>
    </row>
    <row r="81" spans="1:49" ht="28.5" x14ac:dyDescent="0.25">
      <c r="A81" s="531"/>
      <c r="B81" s="470"/>
      <c r="C81" s="473"/>
      <c r="D81" s="652"/>
      <c r="E81" s="473"/>
      <c r="F81" s="485"/>
      <c r="G81" s="472" t="s">
        <v>204</v>
      </c>
      <c r="H81" s="472" t="s">
        <v>54</v>
      </c>
      <c r="I81" s="472" t="s">
        <v>81</v>
      </c>
      <c r="J81" s="472" t="s">
        <v>205</v>
      </c>
      <c r="K81" s="488">
        <v>3</v>
      </c>
      <c r="L81" s="488">
        <v>3</v>
      </c>
      <c r="M81" s="488">
        <v>0</v>
      </c>
      <c r="N81" s="518">
        <v>0.23</v>
      </c>
      <c r="O81" s="518">
        <v>0.46</v>
      </c>
      <c r="P81" s="606">
        <f>M81+N81+O81</f>
        <v>0.69000000000000006</v>
      </c>
      <c r="Q81" s="490">
        <f>(N81+O81)/L81</f>
        <v>0.23</v>
      </c>
      <c r="R81" s="490">
        <f>+P81/K81</f>
        <v>0.23</v>
      </c>
      <c r="S81" s="585"/>
      <c r="T81" s="587"/>
      <c r="U81" s="587"/>
      <c r="V81" s="25" t="s">
        <v>206</v>
      </c>
      <c r="W81" s="26">
        <v>1</v>
      </c>
      <c r="X81" s="26">
        <v>0.2</v>
      </c>
      <c r="Y81" s="27">
        <v>0</v>
      </c>
      <c r="Z81" s="120">
        <f t="shared" si="8"/>
        <v>0.2</v>
      </c>
      <c r="AA81" s="596"/>
      <c r="AB81" s="28">
        <v>44197</v>
      </c>
      <c r="AC81" s="92">
        <v>365</v>
      </c>
      <c r="AD81" s="26" t="s">
        <v>60</v>
      </c>
      <c r="AE81" s="123" t="s">
        <v>60</v>
      </c>
      <c r="AF81" s="122">
        <v>5.5E-2</v>
      </c>
      <c r="AG81" s="446"/>
      <c r="AH81" s="446"/>
      <c r="AI81" s="446"/>
      <c r="AJ81" s="434"/>
      <c r="AK81" s="434"/>
      <c r="AL81" s="434"/>
      <c r="AM81" s="431"/>
      <c r="AN81" s="446"/>
      <c r="AO81" s="446"/>
      <c r="AP81" s="604"/>
      <c r="AQ81" s="446"/>
      <c r="AR81" s="434"/>
      <c r="AS81" s="19" t="s">
        <v>66</v>
      </c>
      <c r="AT81" s="25" t="s">
        <v>67</v>
      </c>
      <c r="AU81" s="26" t="s">
        <v>68</v>
      </c>
      <c r="AV81" s="25"/>
      <c r="AW81" s="25"/>
    </row>
    <row r="82" spans="1:49" ht="28.5" x14ac:dyDescent="0.25">
      <c r="A82" s="531"/>
      <c r="B82" s="470"/>
      <c r="C82" s="473"/>
      <c r="D82" s="652"/>
      <c r="E82" s="473"/>
      <c r="F82" s="485"/>
      <c r="G82" s="473"/>
      <c r="H82" s="473"/>
      <c r="I82" s="473"/>
      <c r="J82" s="473"/>
      <c r="K82" s="489"/>
      <c r="L82" s="489"/>
      <c r="M82" s="489"/>
      <c r="N82" s="519"/>
      <c r="O82" s="519"/>
      <c r="P82" s="606"/>
      <c r="Q82" s="490"/>
      <c r="R82" s="490"/>
      <c r="S82" s="585"/>
      <c r="T82" s="587"/>
      <c r="U82" s="587"/>
      <c r="V82" s="25" t="s">
        <v>207</v>
      </c>
      <c r="W82" s="26">
        <v>1</v>
      </c>
      <c r="X82" s="26">
        <v>0.2</v>
      </c>
      <c r="Y82" s="27">
        <v>0</v>
      </c>
      <c r="Z82" s="120">
        <f t="shared" si="8"/>
        <v>0.2</v>
      </c>
      <c r="AA82" s="596"/>
      <c r="AB82" s="28">
        <v>44197</v>
      </c>
      <c r="AC82" s="92">
        <v>365</v>
      </c>
      <c r="AD82" s="26" t="s">
        <v>60</v>
      </c>
      <c r="AE82" s="123" t="s">
        <v>60</v>
      </c>
      <c r="AF82" s="122">
        <v>5.5E-2</v>
      </c>
      <c r="AG82" s="446"/>
      <c r="AH82" s="446"/>
      <c r="AI82" s="446"/>
      <c r="AJ82" s="434"/>
      <c r="AK82" s="434"/>
      <c r="AL82" s="434"/>
      <c r="AM82" s="431"/>
      <c r="AN82" s="446"/>
      <c r="AO82" s="446"/>
      <c r="AP82" s="604"/>
      <c r="AQ82" s="446"/>
      <c r="AR82" s="434"/>
      <c r="AS82" s="19" t="s">
        <v>66</v>
      </c>
      <c r="AT82" s="25" t="s">
        <v>67</v>
      </c>
      <c r="AU82" s="26" t="s">
        <v>68</v>
      </c>
      <c r="AV82" s="25"/>
      <c r="AW82" s="25"/>
    </row>
    <row r="83" spans="1:49" ht="29.25" thickBot="1" x14ac:dyDescent="0.3">
      <c r="A83" s="531"/>
      <c r="B83" s="470"/>
      <c r="C83" s="473"/>
      <c r="D83" s="652"/>
      <c r="E83" s="473"/>
      <c r="F83" s="485"/>
      <c r="G83" s="473"/>
      <c r="H83" s="473"/>
      <c r="I83" s="473"/>
      <c r="J83" s="473"/>
      <c r="K83" s="489"/>
      <c r="L83" s="489"/>
      <c r="M83" s="489"/>
      <c r="N83" s="519"/>
      <c r="O83" s="519"/>
      <c r="P83" s="606"/>
      <c r="Q83" s="490"/>
      <c r="R83" s="490"/>
      <c r="S83" s="585"/>
      <c r="T83" s="587"/>
      <c r="U83" s="587"/>
      <c r="V83" s="25" t="s">
        <v>208</v>
      </c>
      <c r="W83" s="26">
        <v>4</v>
      </c>
      <c r="X83" s="26">
        <v>2</v>
      </c>
      <c r="Y83" s="27">
        <v>0</v>
      </c>
      <c r="Z83" s="120">
        <f t="shared" si="8"/>
        <v>0.5</v>
      </c>
      <c r="AA83" s="596"/>
      <c r="AB83" s="28">
        <v>44197</v>
      </c>
      <c r="AC83" s="92">
        <v>365</v>
      </c>
      <c r="AD83" s="26" t="s">
        <v>60</v>
      </c>
      <c r="AE83" s="123" t="s">
        <v>60</v>
      </c>
      <c r="AF83" s="122">
        <v>5.5E-2</v>
      </c>
      <c r="AG83" s="446"/>
      <c r="AH83" s="446"/>
      <c r="AI83" s="446"/>
      <c r="AJ83" s="434"/>
      <c r="AK83" s="434"/>
      <c r="AL83" s="434"/>
      <c r="AM83" s="431"/>
      <c r="AN83" s="446"/>
      <c r="AO83" s="446"/>
      <c r="AP83" s="604"/>
      <c r="AQ83" s="446"/>
      <c r="AR83" s="434"/>
      <c r="AS83" s="19" t="s">
        <v>66</v>
      </c>
      <c r="AT83" s="25" t="s">
        <v>67</v>
      </c>
      <c r="AU83" s="26" t="s">
        <v>68</v>
      </c>
      <c r="AV83" s="25"/>
      <c r="AW83" s="25"/>
    </row>
    <row r="84" spans="1:49" ht="28.5" x14ac:dyDescent="0.25">
      <c r="A84" s="531"/>
      <c r="B84" s="470"/>
      <c r="C84" s="473"/>
      <c r="D84" s="652"/>
      <c r="E84" s="473"/>
      <c r="F84" s="485"/>
      <c r="G84" s="460" t="s">
        <v>209</v>
      </c>
      <c r="H84" s="460" t="s">
        <v>54</v>
      </c>
      <c r="I84" s="460" t="s">
        <v>81</v>
      </c>
      <c r="J84" s="460" t="s">
        <v>210</v>
      </c>
      <c r="K84" s="590">
        <v>1</v>
      </c>
      <c r="L84" s="592">
        <v>0.25</v>
      </c>
      <c r="M84" s="430">
        <v>0.46</v>
      </c>
      <c r="N84" s="515">
        <v>0</v>
      </c>
      <c r="O84" s="515">
        <v>0</v>
      </c>
      <c r="P84" s="516">
        <f>M84+N84+O84</f>
        <v>0.46</v>
      </c>
      <c r="Q84" s="431">
        <v>0</v>
      </c>
      <c r="R84" s="431">
        <f>+P84/K84</f>
        <v>0.46</v>
      </c>
      <c r="S84" s="584"/>
      <c r="T84" s="587"/>
      <c r="U84" s="587"/>
      <c r="V84" s="25" t="s">
        <v>211</v>
      </c>
      <c r="W84" s="26">
        <v>1</v>
      </c>
      <c r="X84" s="26">
        <v>0</v>
      </c>
      <c r="Y84" s="27">
        <v>0</v>
      </c>
      <c r="Z84" s="120">
        <f>(X84+Y84)/W84</f>
        <v>0</v>
      </c>
      <c r="AA84" s="596"/>
      <c r="AB84" s="28">
        <v>44197</v>
      </c>
      <c r="AC84" s="92">
        <v>365</v>
      </c>
      <c r="AD84" s="26" t="s">
        <v>60</v>
      </c>
      <c r="AE84" s="123" t="s">
        <v>60</v>
      </c>
      <c r="AF84" s="122">
        <v>5.5E-2</v>
      </c>
      <c r="AG84" s="446"/>
      <c r="AH84" s="446"/>
      <c r="AI84" s="446"/>
      <c r="AJ84" s="434"/>
      <c r="AK84" s="434"/>
      <c r="AL84" s="434"/>
      <c r="AM84" s="431"/>
      <c r="AN84" s="446"/>
      <c r="AO84" s="446"/>
      <c r="AP84" s="604"/>
      <c r="AQ84" s="446"/>
      <c r="AR84" s="434"/>
      <c r="AS84" s="19" t="s">
        <v>66</v>
      </c>
      <c r="AT84" s="25" t="s">
        <v>67</v>
      </c>
      <c r="AU84" s="26" t="s">
        <v>68</v>
      </c>
      <c r="AV84" s="25"/>
      <c r="AW84" s="25"/>
    </row>
    <row r="85" spans="1:49" ht="28.5" x14ac:dyDescent="0.25">
      <c r="A85" s="531"/>
      <c r="B85" s="470"/>
      <c r="C85" s="473"/>
      <c r="D85" s="652"/>
      <c r="E85" s="473"/>
      <c r="F85" s="485"/>
      <c r="G85" s="460"/>
      <c r="H85" s="460"/>
      <c r="I85" s="460"/>
      <c r="J85" s="460"/>
      <c r="K85" s="590"/>
      <c r="L85" s="593"/>
      <c r="M85" s="431"/>
      <c r="N85" s="516"/>
      <c r="O85" s="516"/>
      <c r="P85" s="516"/>
      <c r="Q85" s="431"/>
      <c r="R85" s="431"/>
      <c r="S85" s="584"/>
      <c r="T85" s="587"/>
      <c r="U85" s="587"/>
      <c r="V85" s="25" t="s">
        <v>212</v>
      </c>
      <c r="W85" s="26">
        <v>1</v>
      </c>
      <c r="X85" s="26">
        <v>0</v>
      </c>
      <c r="Y85" s="27">
        <v>0</v>
      </c>
      <c r="Z85" s="120">
        <f t="shared" si="8"/>
        <v>0</v>
      </c>
      <c r="AA85" s="596"/>
      <c r="AB85" s="28">
        <v>44197</v>
      </c>
      <c r="AC85" s="92">
        <v>365</v>
      </c>
      <c r="AD85" s="26" t="s">
        <v>60</v>
      </c>
      <c r="AE85" s="123" t="s">
        <v>60</v>
      </c>
      <c r="AF85" s="122">
        <v>5.5E-2</v>
      </c>
      <c r="AG85" s="446"/>
      <c r="AH85" s="446"/>
      <c r="AI85" s="446"/>
      <c r="AJ85" s="434"/>
      <c r="AK85" s="434"/>
      <c r="AL85" s="434"/>
      <c r="AM85" s="431"/>
      <c r="AN85" s="446"/>
      <c r="AO85" s="446"/>
      <c r="AP85" s="604"/>
      <c r="AQ85" s="446"/>
      <c r="AR85" s="434"/>
      <c r="AS85" s="19" t="s">
        <v>66</v>
      </c>
      <c r="AT85" s="25" t="s">
        <v>67</v>
      </c>
      <c r="AU85" s="26" t="s">
        <v>68</v>
      </c>
      <c r="AV85" s="25"/>
      <c r="AW85" s="25"/>
    </row>
    <row r="86" spans="1:49" ht="29.25" thickBot="1" x14ac:dyDescent="0.3">
      <c r="A86" s="531"/>
      <c r="B86" s="470"/>
      <c r="C86" s="473"/>
      <c r="D86" s="652"/>
      <c r="E86" s="473"/>
      <c r="F86" s="485"/>
      <c r="G86" s="589"/>
      <c r="H86" s="589"/>
      <c r="I86" s="589"/>
      <c r="J86" s="589"/>
      <c r="K86" s="591"/>
      <c r="L86" s="593"/>
      <c r="M86" s="431"/>
      <c r="N86" s="516"/>
      <c r="O86" s="516"/>
      <c r="P86" s="516"/>
      <c r="Q86" s="431"/>
      <c r="R86" s="431"/>
      <c r="S86" s="584"/>
      <c r="T86" s="588"/>
      <c r="U86" s="594"/>
      <c r="V86" s="63" t="s">
        <v>213</v>
      </c>
      <c r="W86" s="62">
        <v>1</v>
      </c>
      <c r="X86" s="62">
        <v>0</v>
      </c>
      <c r="Y86" s="119">
        <v>0</v>
      </c>
      <c r="Z86" s="120">
        <f t="shared" si="8"/>
        <v>0</v>
      </c>
      <c r="AA86" s="597"/>
      <c r="AB86" s="124">
        <v>44197</v>
      </c>
      <c r="AC86" s="125">
        <v>365</v>
      </c>
      <c r="AD86" s="44" t="s">
        <v>60</v>
      </c>
      <c r="AE86" s="126" t="s">
        <v>60</v>
      </c>
      <c r="AF86" s="127">
        <v>5.5E-2</v>
      </c>
      <c r="AG86" s="447"/>
      <c r="AH86" s="447"/>
      <c r="AI86" s="447"/>
      <c r="AJ86" s="435"/>
      <c r="AK86" s="435"/>
      <c r="AL86" s="435"/>
      <c r="AM86" s="459"/>
      <c r="AN86" s="447"/>
      <c r="AO86" s="447"/>
      <c r="AP86" s="605"/>
      <c r="AQ86" s="447"/>
      <c r="AR86" s="435"/>
      <c r="AS86" s="38" t="s">
        <v>66</v>
      </c>
      <c r="AT86" s="43" t="s">
        <v>67</v>
      </c>
      <c r="AU86" s="44" t="s">
        <v>68</v>
      </c>
      <c r="AV86" s="43"/>
      <c r="AW86" s="43"/>
    </row>
    <row r="87" spans="1:49" ht="113.25" customHeight="1" thickBot="1" x14ac:dyDescent="0.3">
      <c r="A87" s="531"/>
      <c r="B87" s="470"/>
      <c r="C87" s="473"/>
      <c r="D87" s="652"/>
      <c r="E87" s="473"/>
      <c r="F87" s="524"/>
      <c r="G87" s="428" t="s">
        <v>214</v>
      </c>
      <c r="H87" s="428"/>
      <c r="I87" s="428"/>
      <c r="J87" s="428"/>
      <c r="K87" s="428"/>
      <c r="L87" s="428"/>
      <c r="M87" s="428"/>
      <c r="N87" s="428"/>
      <c r="O87" s="428"/>
      <c r="P87" s="428"/>
      <c r="Q87" s="225">
        <f>AVERAGE(Q69:Q86)</f>
        <v>0.35199999999999998</v>
      </c>
      <c r="R87" s="225">
        <f>AVERAGE(R69:R86)</f>
        <v>0.55699999999999994</v>
      </c>
      <c r="S87" s="128"/>
      <c r="T87" s="67"/>
      <c r="U87" s="67"/>
      <c r="V87" s="70"/>
      <c r="W87" s="71"/>
      <c r="X87" s="71"/>
      <c r="Y87" s="71"/>
      <c r="Z87" s="71"/>
      <c r="AA87" s="70"/>
      <c r="AB87" s="129"/>
      <c r="AC87" s="130"/>
      <c r="AD87" s="71"/>
      <c r="AE87" s="131"/>
      <c r="AF87" s="127"/>
      <c r="AG87" s="239"/>
      <c r="AH87" s="66"/>
      <c r="AI87" s="66"/>
      <c r="AJ87" s="115"/>
      <c r="AK87" s="115"/>
      <c r="AL87" s="115"/>
      <c r="AM87" s="115"/>
      <c r="AN87" s="66"/>
      <c r="AO87" s="66"/>
      <c r="AP87" s="68"/>
      <c r="AQ87" s="66"/>
      <c r="AR87" s="115"/>
      <c r="AS87" s="71"/>
      <c r="AT87" s="70"/>
      <c r="AU87" s="71"/>
      <c r="AV87" s="70"/>
      <c r="AW87" s="70"/>
    </row>
    <row r="88" spans="1:49" ht="42.75" customHeight="1" x14ac:dyDescent="0.25">
      <c r="A88" s="531"/>
      <c r="B88" s="470"/>
      <c r="C88" s="473"/>
      <c r="D88" s="652"/>
      <c r="E88" s="473"/>
      <c r="F88" s="530" t="s">
        <v>215</v>
      </c>
      <c r="G88" s="573" t="s">
        <v>216</v>
      </c>
      <c r="H88" s="573" t="s">
        <v>54</v>
      </c>
      <c r="I88" s="582" t="s">
        <v>81</v>
      </c>
      <c r="J88" s="534" t="s">
        <v>217</v>
      </c>
      <c r="K88" s="479">
        <v>25</v>
      </c>
      <c r="L88" s="470">
        <v>7</v>
      </c>
      <c r="M88" s="470">
        <v>11</v>
      </c>
      <c r="N88" s="470">
        <v>7</v>
      </c>
      <c r="O88" s="470">
        <v>7</v>
      </c>
      <c r="P88" s="470">
        <f>M88+N88</f>
        <v>18</v>
      </c>
      <c r="Q88" s="431">
        <f>+N88/L88</f>
        <v>1</v>
      </c>
      <c r="R88" s="431">
        <f>+P88/K88</f>
        <v>0.72</v>
      </c>
      <c r="S88" s="470" t="s">
        <v>218</v>
      </c>
      <c r="T88" s="437">
        <v>2020130010201</v>
      </c>
      <c r="U88" s="437" t="s">
        <v>219</v>
      </c>
      <c r="V88" s="49" t="s">
        <v>220</v>
      </c>
      <c r="W88" s="41">
        <v>7</v>
      </c>
      <c r="X88" s="81">
        <v>0.4</v>
      </c>
      <c r="Y88" s="51">
        <v>0.4</v>
      </c>
      <c r="Z88" s="120">
        <f>(X88+Y88)</f>
        <v>0.8</v>
      </c>
      <c r="AA88" s="574">
        <f>AVERAGE(Z88:Z103)</f>
        <v>0.57676250000000018</v>
      </c>
      <c r="AB88" s="39">
        <v>44197</v>
      </c>
      <c r="AC88" s="85">
        <v>365</v>
      </c>
      <c r="AD88" s="41" t="s">
        <v>60</v>
      </c>
      <c r="AE88" s="86" t="s">
        <v>60</v>
      </c>
      <c r="AF88" s="235">
        <v>6.25E-2</v>
      </c>
      <c r="AG88" s="577" t="s">
        <v>221</v>
      </c>
      <c r="AH88" s="494" t="s">
        <v>62</v>
      </c>
      <c r="AI88" s="445" t="s">
        <v>63</v>
      </c>
      <c r="AJ88" s="433">
        <v>200600000</v>
      </c>
      <c r="AK88" s="433"/>
      <c r="AL88" s="433">
        <v>195300000</v>
      </c>
      <c r="AM88" s="430">
        <f>AL88/AJ88</f>
        <v>0.97357926221335989</v>
      </c>
      <c r="AN88" s="445" t="s">
        <v>63</v>
      </c>
      <c r="AO88" s="445" t="s">
        <v>64</v>
      </c>
      <c r="AP88" s="440"/>
      <c r="AQ88" s="445" t="s">
        <v>65</v>
      </c>
      <c r="AR88" s="433">
        <f>AL88</f>
        <v>195300000</v>
      </c>
      <c r="AS88" s="19" t="s">
        <v>66</v>
      </c>
      <c r="AT88" s="49" t="s">
        <v>67</v>
      </c>
      <c r="AU88" s="41" t="s">
        <v>68</v>
      </c>
      <c r="AV88" s="49"/>
      <c r="AW88" s="425" t="s">
        <v>414</v>
      </c>
    </row>
    <row r="89" spans="1:49" ht="81" customHeight="1" thickBot="1" x14ac:dyDescent="0.3">
      <c r="A89" s="531"/>
      <c r="B89" s="470"/>
      <c r="C89" s="473"/>
      <c r="D89" s="652"/>
      <c r="E89" s="473"/>
      <c r="F89" s="531"/>
      <c r="G89" s="573"/>
      <c r="H89" s="573"/>
      <c r="I89" s="582"/>
      <c r="J89" s="534"/>
      <c r="K89" s="479"/>
      <c r="L89" s="471"/>
      <c r="M89" s="471"/>
      <c r="N89" s="471"/>
      <c r="O89" s="471"/>
      <c r="P89" s="471"/>
      <c r="Q89" s="459"/>
      <c r="R89" s="459"/>
      <c r="S89" s="470"/>
      <c r="T89" s="437"/>
      <c r="U89" s="437"/>
      <c r="V89" s="25" t="s">
        <v>222</v>
      </c>
      <c r="W89" s="26">
        <v>1</v>
      </c>
      <c r="X89" s="26">
        <v>0</v>
      </c>
      <c r="Y89" s="133">
        <v>0.4</v>
      </c>
      <c r="Z89" s="120">
        <f t="shared" ref="Z89:Z91" si="9">(X89+Y89)</f>
        <v>0.4</v>
      </c>
      <c r="AA89" s="575"/>
      <c r="AB89" s="28">
        <v>44197</v>
      </c>
      <c r="AC89" s="92">
        <v>365</v>
      </c>
      <c r="AD89" s="26" t="s">
        <v>60</v>
      </c>
      <c r="AE89" s="93" t="s">
        <v>60</v>
      </c>
      <c r="AF89" s="236">
        <v>6.25E-2</v>
      </c>
      <c r="AG89" s="578"/>
      <c r="AH89" s="579"/>
      <c r="AI89" s="446"/>
      <c r="AJ89" s="434"/>
      <c r="AK89" s="434"/>
      <c r="AL89" s="434"/>
      <c r="AM89" s="431"/>
      <c r="AN89" s="446"/>
      <c r="AO89" s="446"/>
      <c r="AP89" s="440"/>
      <c r="AQ89" s="446"/>
      <c r="AR89" s="434"/>
      <c r="AS89" s="19" t="s">
        <v>66</v>
      </c>
      <c r="AT89" s="25" t="s">
        <v>67</v>
      </c>
      <c r="AU89" s="26" t="s">
        <v>68</v>
      </c>
      <c r="AV89" s="25"/>
      <c r="AW89" s="426"/>
    </row>
    <row r="90" spans="1:49" ht="42" customHeight="1" x14ac:dyDescent="0.25">
      <c r="A90" s="531"/>
      <c r="B90" s="470"/>
      <c r="C90" s="473"/>
      <c r="D90" s="652"/>
      <c r="E90" s="473"/>
      <c r="F90" s="531"/>
      <c r="G90" s="572" t="s">
        <v>223</v>
      </c>
      <c r="H90" s="572" t="s">
        <v>54</v>
      </c>
      <c r="I90" s="581" t="s">
        <v>81</v>
      </c>
      <c r="J90" s="533" t="s">
        <v>224</v>
      </c>
      <c r="K90" s="478">
        <v>20</v>
      </c>
      <c r="L90" s="523">
        <v>6</v>
      </c>
      <c r="M90" s="469">
        <v>9</v>
      </c>
      <c r="N90" s="469">
        <v>6</v>
      </c>
      <c r="O90" s="469">
        <v>6</v>
      </c>
      <c r="P90" s="469">
        <f>M90+N90</f>
        <v>15</v>
      </c>
      <c r="Q90" s="430">
        <f>+N90/L90</f>
        <v>1</v>
      </c>
      <c r="R90" s="430">
        <f>+P90/K90</f>
        <v>0.75</v>
      </c>
      <c r="S90" s="470"/>
      <c r="T90" s="437"/>
      <c r="U90" s="437"/>
      <c r="V90" s="25" t="s">
        <v>225</v>
      </c>
      <c r="W90" s="26">
        <v>6</v>
      </c>
      <c r="X90" s="88">
        <v>0.4</v>
      </c>
      <c r="Y90" s="133">
        <v>0.4</v>
      </c>
      <c r="Z90" s="120">
        <f t="shared" si="9"/>
        <v>0.8</v>
      </c>
      <c r="AA90" s="575"/>
      <c r="AB90" s="28">
        <v>44197</v>
      </c>
      <c r="AC90" s="92">
        <v>365</v>
      </c>
      <c r="AD90" s="26" t="s">
        <v>60</v>
      </c>
      <c r="AE90" s="93" t="s">
        <v>60</v>
      </c>
      <c r="AF90" s="236">
        <v>6.25E-2</v>
      </c>
      <c r="AG90" s="578"/>
      <c r="AH90" s="579"/>
      <c r="AI90" s="446"/>
      <c r="AJ90" s="434"/>
      <c r="AK90" s="434"/>
      <c r="AL90" s="434"/>
      <c r="AM90" s="431"/>
      <c r="AN90" s="446"/>
      <c r="AO90" s="446"/>
      <c r="AP90" s="440"/>
      <c r="AQ90" s="446"/>
      <c r="AR90" s="434"/>
      <c r="AS90" s="19" t="s">
        <v>66</v>
      </c>
      <c r="AT90" s="25" t="s">
        <v>67</v>
      </c>
      <c r="AU90" s="26" t="s">
        <v>68</v>
      </c>
      <c r="AV90" s="25"/>
      <c r="AW90" s="425" t="s">
        <v>415</v>
      </c>
    </row>
    <row r="91" spans="1:49" ht="81" customHeight="1" thickBot="1" x14ac:dyDescent="0.3">
      <c r="A91" s="531"/>
      <c r="B91" s="470"/>
      <c r="C91" s="473"/>
      <c r="D91" s="652"/>
      <c r="E91" s="473"/>
      <c r="F91" s="531"/>
      <c r="G91" s="573"/>
      <c r="H91" s="573"/>
      <c r="I91" s="582"/>
      <c r="J91" s="534"/>
      <c r="K91" s="479"/>
      <c r="L91" s="524"/>
      <c r="M91" s="471"/>
      <c r="N91" s="471"/>
      <c r="O91" s="471"/>
      <c r="P91" s="471"/>
      <c r="Q91" s="459"/>
      <c r="R91" s="459"/>
      <c r="S91" s="470"/>
      <c r="T91" s="437"/>
      <c r="U91" s="437"/>
      <c r="V91" s="25" t="s">
        <v>226</v>
      </c>
      <c r="W91" s="26">
        <v>1</v>
      </c>
      <c r="X91" s="26">
        <v>0</v>
      </c>
      <c r="Y91" s="133">
        <v>0.4</v>
      </c>
      <c r="Z91" s="120">
        <f t="shared" si="9"/>
        <v>0.4</v>
      </c>
      <c r="AA91" s="575"/>
      <c r="AB91" s="28">
        <v>44197</v>
      </c>
      <c r="AC91" s="92">
        <v>365</v>
      </c>
      <c r="AD91" s="26" t="s">
        <v>60</v>
      </c>
      <c r="AE91" s="93" t="s">
        <v>60</v>
      </c>
      <c r="AF91" s="236">
        <v>6.25E-2</v>
      </c>
      <c r="AG91" s="578"/>
      <c r="AH91" s="579"/>
      <c r="AI91" s="446"/>
      <c r="AJ91" s="434"/>
      <c r="AK91" s="434"/>
      <c r="AL91" s="434"/>
      <c r="AM91" s="431"/>
      <c r="AN91" s="446"/>
      <c r="AO91" s="446"/>
      <c r="AP91" s="440"/>
      <c r="AQ91" s="446"/>
      <c r="AR91" s="434"/>
      <c r="AS91" s="19" t="s">
        <v>66</v>
      </c>
      <c r="AT91" s="25" t="s">
        <v>67</v>
      </c>
      <c r="AU91" s="26" t="s">
        <v>68</v>
      </c>
      <c r="AV91" s="25"/>
      <c r="AW91" s="426"/>
    </row>
    <row r="92" spans="1:49" ht="71.25" x14ac:dyDescent="0.25">
      <c r="A92" s="531"/>
      <c r="B92" s="470"/>
      <c r="C92" s="473"/>
      <c r="D92" s="652"/>
      <c r="E92" s="473"/>
      <c r="F92" s="531"/>
      <c r="G92" s="572" t="s">
        <v>227</v>
      </c>
      <c r="H92" s="572" t="s">
        <v>54</v>
      </c>
      <c r="I92" s="581" t="s">
        <v>228</v>
      </c>
      <c r="J92" s="533" t="s">
        <v>229</v>
      </c>
      <c r="K92" s="523">
        <v>120</v>
      </c>
      <c r="L92" s="469">
        <v>35</v>
      </c>
      <c r="M92" s="469">
        <v>52</v>
      </c>
      <c r="N92" s="469">
        <v>27</v>
      </c>
      <c r="O92" s="469">
        <v>8</v>
      </c>
      <c r="P92" s="469">
        <f>M92+N92+O92</f>
        <v>87</v>
      </c>
      <c r="Q92" s="430">
        <f>(O92+N92)/L92</f>
        <v>1</v>
      </c>
      <c r="R92" s="430">
        <f>+P92/K92</f>
        <v>0.72499999999999998</v>
      </c>
      <c r="S92" s="470"/>
      <c r="T92" s="437"/>
      <c r="U92" s="437"/>
      <c r="V92" s="25" t="s">
        <v>230</v>
      </c>
      <c r="W92" s="26">
        <v>35</v>
      </c>
      <c r="X92" s="88">
        <v>0.31</v>
      </c>
      <c r="Y92" s="134">
        <v>0.54710000000000003</v>
      </c>
      <c r="Z92" s="135">
        <f>X92+Y92</f>
        <v>0.85709999999999997</v>
      </c>
      <c r="AA92" s="575"/>
      <c r="AB92" s="28">
        <v>44197</v>
      </c>
      <c r="AC92" s="92">
        <v>365</v>
      </c>
      <c r="AD92" s="26" t="s">
        <v>60</v>
      </c>
      <c r="AE92" s="93" t="s">
        <v>60</v>
      </c>
      <c r="AF92" s="236">
        <v>6.25E-2</v>
      </c>
      <c r="AG92" s="578"/>
      <c r="AH92" s="579"/>
      <c r="AI92" s="446"/>
      <c r="AJ92" s="434"/>
      <c r="AK92" s="434"/>
      <c r="AL92" s="434"/>
      <c r="AM92" s="431"/>
      <c r="AN92" s="446"/>
      <c r="AO92" s="446"/>
      <c r="AP92" s="440"/>
      <c r="AQ92" s="446"/>
      <c r="AR92" s="434"/>
      <c r="AS92" s="19" t="s">
        <v>66</v>
      </c>
      <c r="AT92" s="25" t="s">
        <v>67</v>
      </c>
      <c r="AU92" s="26" t="s">
        <v>68</v>
      </c>
      <c r="AV92" s="25"/>
      <c r="AW92" s="427" t="s">
        <v>418</v>
      </c>
    </row>
    <row r="93" spans="1:49" ht="85.5" x14ac:dyDescent="0.25">
      <c r="A93" s="531"/>
      <c r="B93" s="470"/>
      <c r="C93" s="473"/>
      <c r="D93" s="652"/>
      <c r="E93" s="473"/>
      <c r="F93" s="531"/>
      <c r="G93" s="573"/>
      <c r="H93" s="573"/>
      <c r="I93" s="582"/>
      <c r="J93" s="534"/>
      <c r="K93" s="485"/>
      <c r="L93" s="470"/>
      <c r="M93" s="470"/>
      <c r="N93" s="470"/>
      <c r="O93" s="470"/>
      <c r="P93" s="470"/>
      <c r="Q93" s="431"/>
      <c r="R93" s="431"/>
      <c r="S93" s="470"/>
      <c r="T93" s="437"/>
      <c r="U93" s="437"/>
      <c r="V93" s="25" t="s">
        <v>231</v>
      </c>
      <c r="W93" s="26">
        <v>1</v>
      </c>
      <c r="X93" s="88">
        <v>0.31</v>
      </c>
      <c r="Y93" s="134">
        <v>0.54710000000000003</v>
      </c>
      <c r="Z93" s="135">
        <f>X93+Y93</f>
        <v>0.85709999999999997</v>
      </c>
      <c r="AA93" s="575"/>
      <c r="AB93" s="28">
        <v>44197</v>
      </c>
      <c r="AC93" s="92">
        <v>365</v>
      </c>
      <c r="AD93" s="26" t="s">
        <v>60</v>
      </c>
      <c r="AE93" s="93" t="s">
        <v>60</v>
      </c>
      <c r="AF93" s="236">
        <v>6.25E-2</v>
      </c>
      <c r="AG93" s="578"/>
      <c r="AH93" s="579"/>
      <c r="AI93" s="446"/>
      <c r="AJ93" s="434"/>
      <c r="AK93" s="434"/>
      <c r="AL93" s="434"/>
      <c r="AM93" s="431"/>
      <c r="AN93" s="446"/>
      <c r="AO93" s="446"/>
      <c r="AP93" s="440"/>
      <c r="AQ93" s="446"/>
      <c r="AR93" s="434"/>
      <c r="AS93" s="19" t="s">
        <v>66</v>
      </c>
      <c r="AT93" s="25" t="s">
        <v>67</v>
      </c>
      <c r="AU93" s="26" t="s">
        <v>68</v>
      </c>
      <c r="AV93" s="25"/>
      <c r="AW93" s="425"/>
    </row>
    <row r="94" spans="1:49" ht="95.25" customHeight="1" thickBot="1" x14ac:dyDescent="0.3">
      <c r="A94" s="531"/>
      <c r="B94" s="470"/>
      <c r="C94" s="473"/>
      <c r="D94" s="652"/>
      <c r="E94" s="473"/>
      <c r="F94" s="531"/>
      <c r="G94" s="573"/>
      <c r="H94" s="573"/>
      <c r="I94" s="582"/>
      <c r="J94" s="534"/>
      <c r="K94" s="485"/>
      <c r="L94" s="471"/>
      <c r="M94" s="471"/>
      <c r="N94" s="471"/>
      <c r="O94" s="471"/>
      <c r="P94" s="471"/>
      <c r="Q94" s="459"/>
      <c r="R94" s="459"/>
      <c r="S94" s="470"/>
      <c r="T94" s="437"/>
      <c r="U94" s="437"/>
      <c r="V94" s="25" t="s">
        <v>232</v>
      </c>
      <c r="W94" s="26">
        <v>12</v>
      </c>
      <c r="X94" s="26">
        <v>0</v>
      </c>
      <c r="Y94" s="136">
        <v>0.71399999999999997</v>
      </c>
      <c r="Z94" s="135">
        <f>X94+Y94</f>
        <v>0.71399999999999997</v>
      </c>
      <c r="AA94" s="575"/>
      <c r="AB94" s="28">
        <v>44197</v>
      </c>
      <c r="AC94" s="92">
        <v>365</v>
      </c>
      <c r="AD94" s="26" t="s">
        <v>60</v>
      </c>
      <c r="AE94" s="93" t="s">
        <v>60</v>
      </c>
      <c r="AF94" s="236">
        <v>6.25E-2</v>
      </c>
      <c r="AG94" s="578"/>
      <c r="AH94" s="579"/>
      <c r="AI94" s="446"/>
      <c r="AJ94" s="434"/>
      <c r="AK94" s="434"/>
      <c r="AL94" s="434"/>
      <c r="AM94" s="431"/>
      <c r="AN94" s="446"/>
      <c r="AO94" s="446"/>
      <c r="AP94" s="440"/>
      <c r="AQ94" s="446"/>
      <c r="AR94" s="434"/>
      <c r="AS94" s="19" t="s">
        <v>66</v>
      </c>
      <c r="AT94" s="25" t="s">
        <v>67</v>
      </c>
      <c r="AU94" s="26" t="s">
        <v>68</v>
      </c>
      <c r="AV94" s="25"/>
      <c r="AW94" s="426"/>
    </row>
    <row r="95" spans="1:49" ht="85.5" customHeight="1" x14ac:dyDescent="0.25">
      <c r="A95" s="531"/>
      <c r="B95" s="470"/>
      <c r="C95" s="473"/>
      <c r="D95" s="652"/>
      <c r="E95" s="473"/>
      <c r="F95" s="531"/>
      <c r="G95" s="572" t="s">
        <v>233</v>
      </c>
      <c r="H95" s="572" t="s">
        <v>54</v>
      </c>
      <c r="I95" s="533" t="s">
        <v>234</v>
      </c>
      <c r="J95" s="572" t="s">
        <v>235</v>
      </c>
      <c r="K95" s="469">
        <v>9</v>
      </c>
      <c r="L95" s="469">
        <v>1</v>
      </c>
      <c r="M95" s="469">
        <v>8</v>
      </c>
      <c r="N95" s="469">
        <v>1</v>
      </c>
      <c r="O95" s="469">
        <v>1</v>
      </c>
      <c r="P95" s="469">
        <f>M95+N95</f>
        <v>9</v>
      </c>
      <c r="Q95" s="430">
        <f>+N95/L95</f>
        <v>1</v>
      </c>
      <c r="R95" s="430">
        <f>+P95/K95</f>
        <v>1</v>
      </c>
      <c r="S95" s="470"/>
      <c r="T95" s="437"/>
      <c r="U95" s="437"/>
      <c r="V95" s="25" t="s">
        <v>236</v>
      </c>
      <c r="W95" s="26">
        <v>2</v>
      </c>
      <c r="X95" s="88">
        <v>0.37</v>
      </c>
      <c r="Y95" s="133">
        <v>0.4</v>
      </c>
      <c r="Z95" s="120">
        <f t="shared" ref="Z95:Z122" si="10">X95+Y95</f>
        <v>0.77</v>
      </c>
      <c r="AA95" s="575"/>
      <c r="AB95" s="28">
        <v>44197</v>
      </c>
      <c r="AC95" s="92">
        <v>365</v>
      </c>
      <c r="AD95" s="26" t="s">
        <v>60</v>
      </c>
      <c r="AE95" s="93" t="s">
        <v>60</v>
      </c>
      <c r="AF95" s="236">
        <v>6.25E-2</v>
      </c>
      <c r="AG95" s="578"/>
      <c r="AH95" s="579"/>
      <c r="AI95" s="446"/>
      <c r="AJ95" s="434"/>
      <c r="AK95" s="434"/>
      <c r="AL95" s="434"/>
      <c r="AM95" s="431"/>
      <c r="AN95" s="446"/>
      <c r="AO95" s="446"/>
      <c r="AP95" s="440"/>
      <c r="AQ95" s="446"/>
      <c r="AR95" s="434"/>
      <c r="AS95" s="19" t="s">
        <v>66</v>
      </c>
      <c r="AT95" s="25" t="s">
        <v>67</v>
      </c>
      <c r="AU95" s="26" t="s">
        <v>68</v>
      </c>
      <c r="AV95" s="25"/>
      <c r="AW95" s="427" t="s">
        <v>419</v>
      </c>
    </row>
    <row r="96" spans="1:49" ht="84.75" customHeight="1" thickBot="1" x14ac:dyDescent="0.3">
      <c r="A96" s="531"/>
      <c r="B96" s="470"/>
      <c r="C96" s="473"/>
      <c r="D96" s="652"/>
      <c r="E96" s="473"/>
      <c r="F96" s="531"/>
      <c r="G96" s="573"/>
      <c r="H96" s="573"/>
      <c r="I96" s="534"/>
      <c r="J96" s="573"/>
      <c r="K96" s="470"/>
      <c r="L96" s="470"/>
      <c r="M96" s="470"/>
      <c r="N96" s="470"/>
      <c r="O96" s="470"/>
      <c r="P96" s="470"/>
      <c r="Q96" s="431"/>
      <c r="R96" s="431"/>
      <c r="S96" s="470"/>
      <c r="T96" s="437"/>
      <c r="U96" s="437"/>
      <c r="V96" s="25" t="s">
        <v>231</v>
      </c>
      <c r="W96" s="26">
        <v>2</v>
      </c>
      <c r="X96" s="88">
        <v>0.15</v>
      </c>
      <c r="Y96" s="133">
        <v>0.55000000000000004</v>
      </c>
      <c r="Z96" s="120">
        <f t="shared" si="10"/>
        <v>0.70000000000000007</v>
      </c>
      <c r="AA96" s="575"/>
      <c r="AB96" s="28">
        <v>44197</v>
      </c>
      <c r="AC96" s="92">
        <v>365</v>
      </c>
      <c r="AD96" s="26" t="s">
        <v>60</v>
      </c>
      <c r="AE96" s="93" t="s">
        <v>60</v>
      </c>
      <c r="AF96" s="236">
        <v>6.25E-2</v>
      </c>
      <c r="AG96" s="578"/>
      <c r="AH96" s="579"/>
      <c r="AI96" s="447"/>
      <c r="AJ96" s="435"/>
      <c r="AK96" s="435"/>
      <c r="AL96" s="435"/>
      <c r="AM96" s="459"/>
      <c r="AN96" s="447"/>
      <c r="AO96" s="447"/>
      <c r="AP96" s="440"/>
      <c r="AQ96" s="447"/>
      <c r="AR96" s="435"/>
      <c r="AS96" s="19" t="s">
        <v>66</v>
      </c>
      <c r="AT96" s="25" t="s">
        <v>67</v>
      </c>
      <c r="AU96" s="26" t="s">
        <v>68</v>
      </c>
      <c r="AV96" s="25"/>
      <c r="AW96" s="425"/>
    </row>
    <row r="97" spans="1:49" ht="43.5" thickBot="1" x14ac:dyDescent="0.3">
      <c r="A97" s="531"/>
      <c r="B97" s="470"/>
      <c r="C97" s="473"/>
      <c r="D97" s="652"/>
      <c r="E97" s="473"/>
      <c r="F97" s="531"/>
      <c r="G97" s="573"/>
      <c r="H97" s="573"/>
      <c r="I97" s="535"/>
      <c r="J97" s="573"/>
      <c r="K97" s="471"/>
      <c r="L97" s="471"/>
      <c r="M97" s="471"/>
      <c r="N97" s="471"/>
      <c r="O97" s="471"/>
      <c r="P97" s="471"/>
      <c r="Q97" s="459"/>
      <c r="R97" s="459"/>
      <c r="S97" s="470"/>
      <c r="T97" s="437"/>
      <c r="U97" s="437"/>
      <c r="V97" s="25" t="s">
        <v>237</v>
      </c>
      <c r="W97" s="26">
        <v>7</v>
      </c>
      <c r="X97" s="88">
        <v>0.4</v>
      </c>
      <c r="Y97" s="133">
        <v>0.35</v>
      </c>
      <c r="Z97" s="120">
        <f t="shared" si="10"/>
        <v>0.75</v>
      </c>
      <c r="AA97" s="575"/>
      <c r="AB97" s="28">
        <v>44197</v>
      </c>
      <c r="AC97" s="92">
        <v>365</v>
      </c>
      <c r="AD97" s="26" t="s">
        <v>60</v>
      </c>
      <c r="AE97" s="93" t="s">
        <v>60</v>
      </c>
      <c r="AF97" s="236">
        <v>6.25E-2</v>
      </c>
      <c r="AG97" s="578"/>
      <c r="AH97" s="579"/>
      <c r="AI97" s="446" t="s">
        <v>238</v>
      </c>
      <c r="AJ97" s="433">
        <v>78799999</v>
      </c>
      <c r="AK97" s="433">
        <v>78799999</v>
      </c>
      <c r="AL97" s="433">
        <v>0</v>
      </c>
      <c r="AM97" s="430">
        <f>+AL97/AK97</f>
        <v>0</v>
      </c>
      <c r="AN97" s="446" t="s">
        <v>238</v>
      </c>
      <c r="AO97" s="446" t="s">
        <v>64</v>
      </c>
      <c r="AP97" s="440"/>
      <c r="AQ97" s="446" t="s">
        <v>65</v>
      </c>
      <c r="AR97" s="446">
        <f>AL97</f>
        <v>0</v>
      </c>
      <c r="AS97" s="19" t="s">
        <v>66</v>
      </c>
      <c r="AT97" s="25" t="s">
        <v>67</v>
      </c>
      <c r="AU97" s="26" t="s">
        <v>68</v>
      </c>
      <c r="AV97" s="25"/>
      <c r="AW97" s="426"/>
    </row>
    <row r="98" spans="1:49" ht="65.45" customHeight="1" x14ac:dyDescent="0.25">
      <c r="A98" s="531"/>
      <c r="B98" s="470"/>
      <c r="C98" s="473"/>
      <c r="D98" s="652"/>
      <c r="E98" s="473"/>
      <c r="F98" s="531"/>
      <c r="G98" s="533" t="s">
        <v>239</v>
      </c>
      <c r="H98" s="533" t="s">
        <v>54</v>
      </c>
      <c r="I98" s="533" t="s">
        <v>240</v>
      </c>
      <c r="J98" s="533" t="s">
        <v>241</v>
      </c>
      <c r="K98" s="470">
        <v>6</v>
      </c>
      <c r="L98" s="469">
        <v>1</v>
      </c>
      <c r="M98" s="469">
        <v>3</v>
      </c>
      <c r="N98" s="469">
        <v>0</v>
      </c>
      <c r="O98" s="427">
        <v>9.2999999999999999E-2</v>
      </c>
      <c r="P98" s="469">
        <f>M98+N98</f>
        <v>3</v>
      </c>
      <c r="Q98" s="430">
        <v>0</v>
      </c>
      <c r="R98" s="430">
        <f>+P98/K98</f>
        <v>0.5</v>
      </c>
      <c r="S98" s="470"/>
      <c r="T98" s="437"/>
      <c r="U98" s="437"/>
      <c r="V98" s="25" t="s">
        <v>242</v>
      </c>
      <c r="W98" s="26">
        <v>1</v>
      </c>
      <c r="X98" s="26">
        <v>0.1</v>
      </c>
      <c r="Y98" s="27">
        <v>0.18</v>
      </c>
      <c r="Z98" s="120">
        <f t="shared" si="10"/>
        <v>0.28000000000000003</v>
      </c>
      <c r="AA98" s="575"/>
      <c r="AB98" s="28">
        <v>44197</v>
      </c>
      <c r="AC98" s="92">
        <v>365</v>
      </c>
      <c r="AD98" s="26" t="s">
        <v>60</v>
      </c>
      <c r="AE98" s="93" t="s">
        <v>60</v>
      </c>
      <c r="AF98" s="236">
        <v>6.25E-2</v>
      </c>
      <c r="AG98" s="578"/>
      <c r="AH98" s="579"/>
      <c r="AI98" s="446"/>
      <c r="AJ98" s="434"/>
      <c r="AK98" s="434"/>
      <c r="AL98" s="434"/>
      <c r="AM98" s="431"/>
      <c r="AN98" s="446"/>
      <c r="AO98" s="446"/>
      <c r="AP98" s="440"/>
      <c r="AQ98" s="446"/>
      <c r="AR98" s="446"/>
      <c r="AS98" s="19" t="s">
        <v>66</v>
      </c>
      <c r="AT98" s="25" t="s">
        <v>67</v>
      </c>
      <c r="AU98" s="26" t="s">
        <v>68</v>
      </c>
      <c r="AV98" s="25"/>
      <c r="AW98" s="427" t="s">
        <v>416</v>
      </c>
    </row>
    <row r="99" spans="1:49" ht="39" customHeight="1" x14ac:dyDescent="0.25">
      <c r="A99" s="531"/>
      <c r="B99" s="470"/>
      <c r="C99" s="473"/>
      <c r="D99" s="652"/>
      <c r="E99" s="473"/>
      <c r="F99" s="531"/>
      <c r="G99" s="534"/>
      <c r="H99" s="534"/>
      <c r="I99" s="534"/>
      <c r="J99" s="534"/>
      <c r="K99" s="470"/>
      <c r="L99" s="470"/>
      <c r="M99" s="470"/>
      <c r="N99" s="470"/>
      <c r="O99" s="425"/>
      <c r="P99" s="470"/>
      <c r="Q99" s="431"/>
      <c r="R99" s="431"/>
      <c r="S99" s="470"/>
      <c r="T99" s="437"/>
      <c r="U99" s="437"/>
      <c r="V99" s="25" t="s">
        <v>243</v>
      </c>
      <c r="W99" s="26">
        <v>1</v>
      </c>
      <c r="X99" s="26">
        <v>0</v>
      </c>
      <c r="Y99" s="27">
        <v>0</v>
      </c>
      <c r="Z99" s="120">
        <f t="shared" si="10"/>
        <v>0</v>
      </c>
      <c r="AA99" s="575"/>
      <c r="AB99" s="28">
        <v>44197</v>
      </c>
      <c r="AC99" s="92">
        <v>365</v>
      </c>
      <c r="AD99" s="26" t="s">
        <v>60</v>
      </c>
      <c r="AE99" s="93" t="s">
        <v>60</v>
      </c>
      <c r="AF99" s="236">
        <v>6.25E-2</v>
      </c>
      <c r="AG99" s="578"/>
      <c r="AH99" s="579"/>
      <c r="AI99" s="446"/>
      <c r="AJ99" s="434"/>
      <c r="AK99" s="434"/>
      <c r="AL99" s="434"/>
      <c r="AM99" s="431"/>
      <c r="AN99" s="446"/>
      <c r="AO99" s="446"/>
      <c r="AP99" s="440"/>
      <c r="AQ99" s="446"/>
      <c r="AR99" s="446"/>
      <c r="AS99" s="19" t="s">
        <v>66</v>
      </c>
      <c r="AT99" s="25" t="s">
        <v>67</v>
      </c>
      <c r="AU99" s="26" t="s">
        <v>68</v>
      </c>
      <c r="AV99" s="25"/>
      <c r="AW99" s="425"/>
    </row>
    <row r="100" spans="1:49" ht="62.45" customHeight="1" thickBot="1" x14ac:dyDescent="0.3">
      <c r="A100" s="531"/>
      <c r="B100" s="470"/>
      <c r="C100" s="473"/>
      <c r="D100" s="652"/>
      <c r="E100" s="473"/>
      <c r="F100" s="531"/>
      <c r="G100" s="535"/>
      <c r="H100" s="535"/>
      <c r="I100" s="535"/>
      <c r="J100" s="535"/>
      <c r="K100" s="471"/>
      <c r="L100" s="471"/>
      <c r="M100" s="471"/>
      <c r="N100" s="471"/>
      <c r="O100" s="426"/>
      <c r="P100" s="471"/>
      <c r="Q100" s="459"/>
      <c r="R100" s="459"/>
      <c r="S100" s="470"/>
      <c r="T100" s="437"/>
      <c r="U100" s="437"/>
      <c r="V100" s="25" t="s">
        <v>244</v>
      </c>
      <c r="W100" s="26">
        <v>1</v>
      </c>
      <c r="X100" s="26">
        <v>0</v>
      </c>
      <c r="Y100" s="27">
        <v>0</v>
      </c>
      <c r="Z100" s="120">
        <f t="shared" si="10"/>
        <v>0</v>
      </c>
      <c r="AA100" s="575"/>
      <c r="AB100" s="28">
        <v>44197</v>
      </c>
      <c r="AC100" s="92">
        <v>365</v>
      </c>
      <c r="AD100" s="26" t="s">
        <v>60</v>
      </c>
      <c r="AE100" s="93" t="s">
        <v>60</v>
      </c>
      <c r="AF100" s="236">
        <v>6.25E-2</v>
      </c>
      <c r="AG100" s="578"/>
      <c r="AH100" s="579"/>
      <c r="AI100" s="446"/>
      <c r="AJ100" s="434"/>
      <c r="AK100" s="434"/>
      <c r="AL100" s="434"/>
      <c r="AM100" s="431"/>
      <c r="AN100" s="446"/>
      <c r="AO100" s="446"/>
      <c r="AP100" s="440"/>
      <c r="AQ100" s="446"/>
      <c r="AR100" s="446"/>
      <c r="AS100" s="19" t="s">
        <v>66</v>
      </c>
      <c r="AT100" s="25" t="s">
        <v>67</v>
      </c>
      <c r="AU100" s="26" t="s">
        <v>68</v>
      </c>
      <c r="AV100" s="25"/>
      <c r="AW100" s="426"/>
    </row>
    <row r="101" spans="1:49" ht="86.25" thickBot="1" x14ac:dyDescent="0.3">
      <c r="A101" s="531"/>
      <c r="B101" s="470"/>
      <c r="C101" s="473"/>
      <c r="D101" s="652"/>
      <c r="E101" s="473"/>
      <c r="F101" s="531"/>
      <c r="G101" s="138" t="s">
        <v>245</v>
      </c>
      <c r="H101" s="138" t="s">
        <v>54</v>
      </c>
      <c r="I101" s="138" t="s">
        <v>246</v>
      </c>
      <c r="J101" s="138" t="s">
        <v>247</v>
      </c>
      <c r="K101" s="139">
        <v>20</v>
      </c>
      <c r="L101" s="140">
        <v>5</v>
      </c>
      <c r="M101" s="140">
        <v>10</v>
      </c>
      <c r="N101" s="140">
        <v>5</v>
      </c>
      <c r="O101" s="140">
        <v>5</v>
      </c>
      <c r="P101" s="140">
        <f>M101+O101</f>
        <v>15</v>
      </c>
      <c r="Q101" s="231">
        <f>+N101/L101</f>
        <v>1</v>
      </c>
      <c r="R101" s="231">
        <f>+P101/K101</f>
        <v>0.75</v>
      </c>
      <c r="S101" s="470"/>
      <c r="T101" s="437"/>
      <c r="U101" s="437"/>
      <c r="V101" s="25" t="s">
        <v>248</v>
      </c>
      <c r="W101" s="26">
        <v>5</v>
      </c>
      <c r="X101" s="88">
        <v>0.3</v>
      </c>
      <c r="Y101" s="133">
        <v>0.5</v>
      </c>
      <c r="Z101" s="120">
        <f t="shared" si="10"/>
        <v>0.8</v>
      </c>
      <c r="AA101" s="575"/>
      <c r="AB101" s="28">
        <v>44197</v>
      </c>
      <c r="AC101" s="92">
        <v>365</v>
      </c>
      <c r="AD101" s="26" t="s">
        <v>60</v>
      </c>
      <c r="AE101" s="93" t="s">
        <v>60</v>
      </c>
      <c r="AF101" s="236">
        <v>6.25E-2</v>
      </c>
      <c r="AG101" s="578"/>
      <c r="AH101" s="579"/>
      <c r="AI101" s="446"/>
      <c r="AJ101" s="434"/>
      <c r="AK101" s="434"/>
      <c r="AL101" s="434"/>
      <c r="AM101" s="431"/>
      <c r="AN101" s="446"/>
      <c r="AO101" s="446"/>
      <c r="AP101" s="440"/>
      <c r="AQ101" s="446"/>
      <c r="AR101" s="446"/>
      <c r="AS101" s="19" t="s">
        <v>66</v>
      </c>
      <c r="AT101" s="25" t="s">
        <v>67</v>
      </c>
      <c r="AU101" s="26" t="s">
        <v>68</v>
      </c>
      <c r="AV101" s="25"/>
      <c r="AW101" s="141" t="s">
        <v>420</v>
      </c>
    </row>
    <row r="102" spans="1:49" ht="71.25" x14ac:dyDescent="0.25">
      <c r="A102" s="531"/>
      <c r="B102" s="470"/>
      <c r="C102" s="473"/>
      <c r="D102" s="652"/>
      <c r="E102" s="473"/>
      <c r="F102" s="531"/>
      <c r="G102" s="533" t="s">
        <v>249</v>
      </c>
      <c r="H102" s="533" t="s">
        <v>54</v>
      </c>
      <c r="I102" s="533" t="s">
        <v>250</v>
      </c>
      <c r="J102" s="533" t="s">
        <v>251</v>
      </c>
      <c r="K102" s="469">
        <v>5</v>
      </c>
      <c r="L102" s="469">
        <v>2</v>
      </c>
      <c r="M102" s="469">
        <v>2</v>
      </c>
      <c r="N102" s="469">
        <v>3</v>
      </c>
      <c r="O102" s="469">
        <v>3</v>
      </c>
      <c r="P102" s="469">
        <f>M102+O102</f>
        <v>5</v>
      </c>
      <c r="Q102" s="430">
        <v>1</v>
      </c>
      <c r="R102" s="430">
        <f>+P102/K102</f>
        <v>1</v>
      </c>
      <c r="S102" s="485"/>
      <c r="T102" s="437"/>
      <c r="U102" s="437"/>
      <c r="V102" s="25" t="s">
        <v>252</v>
      </c>
      <c r="W102" s="26">
        <v>2</v>
      </c>
      <c r="X102" s="88">
        <v>0.4</v>
      </c>
      <c r="Y102" s="133">
        <v>0.4</v>
      </c>
      <c r="Z102" s="120">
        <f t="shared" si="10"/>
        <v>0.8</v>
      </c>
      <c r="AA102" s="575"/>
      <c r="AB102" s="28">
        <v>44197</v>
      </c>
      <c r="AC102" s="92">
        <v>365</v>
      </c>
      <c r="AD102" s="26" t="s">
        <v>60</v>
      </c>
      <c r="AE102" s="93" t="s">
        <v>60</v>
      </c>
      <c r="AF102" s="236">
        <v>6.25E-2</v>
      </c>
      <c r="AG102" s="578"/>
      <c r="AH102" s="579"/>
      <c r="AI102" s="446"/>
      <c r="AJ102" s="434"/>
      <c r="AK102" s="434"/>
      <c r="AL102" s="434"/>
      <c r="AM102" s="431"/>
      <c r="AN102" s="446"/>
      <c r="AO102" s="446"/>
      <c r="AP102" s="440"/>
      <c r="AQ102" s="446"/>
      <c r="AR102" s="446"/>
      <c r="AS102" s="19" t="s">
        <v>66</v>
      </c>
      <c r="AT102" s="25" t="s">
        <v>67</v>
      </c>
      <c r="AU102" s="26" t="s">
        <v>68</v>
      </c>
      <c r="AV102" s="25"/>
      <c r="AW102" s="427" t="s">
        <v>417</v>
      </c>
    </row>
    <row r="103" spans="1:49" ht="29.25" thickBot="1" x14ac:dyDescent="0.3">
      <c r="A103" s="531"/>
      <c r="B103" s="470"/>
      <c r="C103" s="473"/>
      <c r="D103" s="652"/>
      <c r="E103" s="473"/>
      <c r="F103" s="531"/>
      <c r="G103" s="535"/>
      <c r="H103" s="535"/>
      <c r="I103" s="535"/>
      <c r="J103" s="535"/>
      <c r="K103" s="471"/>
      <c r="L103" s="471"/>
      <c r="M103" s="471"/>
      <c r="N103" s="471"/>
      <c r="O103" s="471"/>
      <c r="P103" s="471"/>
      <c r="Q103" s="459"/>
      <c r="R103" s="459"/>
      <c r="S103" s="485"/>
      <c r="T103" s="437"/>
      <c r="U103" s="437"/>
      <c r="V103" s="32" t="s">
        <v>253</v>
      </c>
      <c r="W103" s="33">
        <v>1</v>
      </c>
      <c r="X103" s="33">
        <v>0</v>
      </c>
      <c r="Y103" s="142">
        <v>0.3</v>
      </c>
      <c r="Z103" s="120">
        <f t="shared" si="10"/>
        <v>0.3</v>
      </c>
      <c r="AA103" s="576"/>
      <c r="AB103" s="35">
        <v>44197</v>
      </c>
      <c r="AC103" s="143">
        <v>365</v>
      </c>
      <c r="AD103" s="44" t="s">
        <v>60</v>
      </c>
      <c r="AE103" s="106" t="s">
        <v>60</v>
      </c>
      <c r="AF103" s="237">
        <v>6.25E-2</v>
      </c>
      <c r="AG103" s="578"/>
      <c r="AH103" s="580"/>
      <c r="AI103" s="447"/>
      <c r="AJ103" s="435"/>
      <c r="AK103" s="435"/>
      <c r="AL103" s="435"/>
      <c r="AM103" s="459"/>
      <c r="AN103" s="447"/>
      <c r="AO103" s="447"/>
      <c r="AP103" s="440"/>
      <c r="AQ103" s="447"/>
      <c r="AR103" s="447"/>
      <c r="AS103" s="19" t="s">
        <v>66</v>
      </c>
      <c r="AT103" s="32" t="s">
        <v>67</v>
      </c>
      <c r="AU103" s="33" t="s">
        <v>68</v>
      </c>
      <c r="AV103" s="32"/>
      <c r="AW103" s="426"/>
    </row>
    <row r="104" spans="1:49" ht="42.75" customHeight="1" x14ac:dyDescent="0.25">
      <c r="A104" s="531"/>
      <c r="B104" s="470"/>
      <c r="C104" s="473"/>
      <c r="D104" s="652"/>
      <c r="E104" s="473"/>
      <c r="F104" s="531"/>
      <c r="G104" s="533" t="s">
        <v>254</v>
      </c>
      <c r="H104" s="533" t="s">
        <v>54</v>
      </c>
      <c r="I104" s="533" t="s">
        <v>250</v>
      </c>
      <c r="J104" s="533" t="s">
        <v>255</v>
      </c>
      <c r="K104" s="469">
        <v>4</v>
      </c>
      <c r="L104" s="469">
        <v>1</v>
      </c>
      <c r="M104" s="469">
        <v>2</v>
      </c>
      <c r="N104" s="469">
        <v>1</v>
      </c>
      <c r="O104" s="469">
        <v>0</v>
      </c>
      <c r="P104" s="469">
        <f>M104+N104</f>
        <v>3</v>
      </c>
      <c r="Q104" s="430">
        <f>+N104/L104</f>
        <v>1</v>
      </c>
      <c r="R104" s="430">
        <f>+P104/K104</f>
        <v>0.75</v>
      </c>
      <c r="S104" s="563" t="s">
        <v>256</v>
      </c>
      <c r="T104" s="503">
        <v>2021130010223</v>
      </c>
      <c r="U104" s="503" t="s">
        <v>257</v>
      </c>
      <c r="V104" s="18" t="s">
        <v>258</v>
      </c>
      <c r="W104" s="19">
        <v>1</v>
      </c>
      <c r="X104" s="19">
        <v>0.2</v>
      </c>
      <c r="Y104" s="20">
        <v>0.42499999999999999</v>
      </c>
      <c r="Z104" s="144">
        <f t="shared" si="10"/>
        <v>0.625</v>
      </c>
      <c r="AA104" s="564">
        <f>AVERAGE(Z104:Z122)</f>
        <v>0.35810526315789476</v>
      </c>
      <c r="AB104" s="22">
        <v>44197</v>
      </c>
      <c r="AC104" s="145">
        <v>365</v>
      </c>
      <c r="AD104" s="41" t="s">
        <v>60</v>
      </c>
      <c r="AE104" s="146" t="s">
        <v>60</v>
      </c>
      <c r="AF104" s="122">
        <v>5.2600000000000001E-2</v>
      </c>
      <c r="AG104" s="446" t="s">
        <v>221</v>
      </c>
      <c r="AH104" s="445" t="s">
        <v>62</v>
      </c>
      <c r="AI104" s="445" t="s">
        <v>63</v>
      </c>
      <c r="AJ104" s="433">
        <v>99400000</v>
      </c>
      <c r="AK104" s="132"/>
      <c r="AL104" s="433">
        <v>99400000</v>
      </c>
      <c r="AM104" s="430">
        <f>AL104/AJ104</f>
        <v>1</v>
      </c>
      <c r="AN104" s="445" t="s">
        <v>63</v>
      </c>
      <c r="AO104" s="445" t="s">
        <v>64</v>
      </c>
      <c r="AP104" s="544"/>
      <c r="AQ104" s="433" t="s">
        <v>65</v>
      </c>
      <c r="AR104" s="433">
        <f>AL104</f>
        <v>99400000</v>
      </c>
      <c r="AS104" s="19" t="s">
        <v>66</v>
      </c>
      <c r="AT104" s="18" t="s">
        <v>67</v>
      </c>
      <c r="AU104" s="19" t="s">
        <v>68</v>
      </c>
      <c r="AV104" s="18"/>
      <c r="AW104" s="427"/>
    </row>
    <row r="105" spans="1:49" ht="29.25" thickBot="1" x14ac:dyDescent="0.3">
      <c r="A105" s="531"/>
      <c r="B105" s="470"/>
      <c r="C105" s="473"/>
      <c r="D105" s="652"/>
      <c r="E105" s="473"/>
      <c r="F105" s="531"/>
      <c r="G105" s="534"/>
      <c r="H105" s="534"/>
      <c r="I105" s="534"/>
      <c r="J105" s="534"/>
      <c r="K105" s="470"/>
      <c r="L105" s="471"/>
      <c r="M105" s="471"/>
      <c r="N105" s="471"/>
      <c r="O105" s="471"/>
      <c r="P105" s="471"/>
      <c r="Q105" s="459"/>
      <c r="R105" s="459"/>
      <c r="S105" s="492"/>
      <c r="T105" s="504"/>
      <c r="U105" s="504"/>
      <c r="V105" s="25" t="s">
        <v>253</v>
      </c>
      <c r="W105" s="26">
        <v>1</v>
      </c>
      <c r="X105" s="26">
        <v>0</v>
      </c>
      <c r="Y105" s="133">
        <v>0.1</v>
      </c>
      <c r="Z105" s="120">
        <f t="shared" si="10"/>
        <v>0.1</v>
      </c>
      <c r="AA105" s="565"/>
      <c r="AB105" s="28">
        <v>44197</v>
      </c>
      <c r="AC105" s="92">
        <v>365</v>
      </c>
      <c r="AD105" s="26" t="s">
        <v>60</v>
      </c>
      <c r="AE105" s="123" t="s">
        <v>60</v>
      </c>
      <c r="AF105" s="122">
        <v>5.2600000000000001E-2</v>
      </c>
      <c r="AG105" s="446"/>
      <c r="AH105" s="446"/>
      <c r="AI105" s="446"/>
      <c r="AJ105" s="434"/>
      <c r="AK105" s="115"/>
      <c r="AL105" s="434"/>
      <c r="AM105" s="431"/>
      <c r="AN105" s="446"/>
      <c r="AO105" s="446"/>
      <c r="AP105" s="545"/>
      <c r="AQ105" s="434"/>
      <c r="AR105" s="434"/>
      <c r="AS105" s="19" t="s">
        <v>66</v>
      </c>
      <c r="AT105" s="25" t="s">
        <v>67</v>
      </c>
      <c r="AU105" s="26" t="s">
        <v>68</v>
      </c>
      <c r="AV105" s="25"/>
      <c r="AW105" s="426"/>
    </row>
    <row r="106" spans="1:49" ht="28.5" x14ac:dyDescent="0.25">
      <c r="A106" s="531"/>
      <c r="B106" s="470"/>
      <c r="C106" s="473"/>
      <c r="D106" s="652"/>
      <c r="E106" s="473"/>
      <c r="F106" s="531"/>
      <c r="G106" s="533" t="s">
        <v>259</v>
      </c>
      <c r="H106" s="533" t="s">
        <v>54</v>
      </c>
      <c r="I106" s="533" t="s">
        <v>260</v>
      </c>
      <c r="J106" s="533" t="s">
        <v>261</v>
      </c>
      <c r="K106" s="469">
        <v>4</v>
      </c>
      <c r="L106" s="469">
        <v>2</v>
      </c>
      <c r="M106" s="469">
        <v>2</v>
      </c>
      <c r="N106" s="469">
        <v>1</v>
      </c>
      <c r="O106" s="469">
        <v>0</v>
      </c>
      <c r="P106" s="469">
        <f>M106+N106+O106</f>
        <v>3</v>
      </c>
      <c r="Q106" s="430">
        <f>+N106/L106</f>
        <v>0.5</v>
      </c>
      <c r="R106" s="430">
        <f>+P106/K106</f>
        <v>0.75</v>
      </c>
      <c r="S106" s="492"/>
      <c r="T106" s="504"/>
      <c r="U106" s="504"/>
      <c r="V106" s="25" t="s">
        <v>262</v>
      </c>
      <c r="W106" s="26" t="s">
        <v>263</v>
      </c>
      <c r="X106" s="26">
        <v>0.2</v>
      </c>
      <c r="Y106" s="27">
        <v>0.2</v>
      </c>
      <c r="Z106" s="120">
        <f t="shared" si="10"/>
        <v>0.4</v>
      </c>
      <c r="AA106" s="565"/>
      <c r="AB106" s="28">
        <v>44197</v>
      </c>
      <c r="AC106" s="92">
        <v>365</v>
      </c>
      <c r="AD106" s="26" t="s">
        <v>60</v>
      </c>
      <c r="AE106" s="123" t="s">
        <v>60</v>
      </c>
      <c r="AF106" s="122">
        <v>5.2600000000000001E-2</v>
      </c>
      <c r="AG106" s="446"/>
      <c r="AH106" s="446"/>
      <c r="AI106" s="446"/>
      <c r="AJ106" s="434"/>
      <c r="AK106" s="115"/>
      <c r="AL106" s="434"/>
      <c r="AM106" s="431"/>
      <c r="AN106" s="446"/>
      <c r="AO106" s="446"/>
      <c r="AP106" s="545"/>
      <c r="AQ106" s="434"/>
      <c r="AR106" s="434"/>
      <c r="AS106" s="19" t="s">
        <v>66</v>
      </c>
      <c r="AT106" s="25" t="s">
        <v>67</v>
      </c>
      <c r="AU106" s="26" t="s">
        <v>68</v>
      </c>
      <c r="AV106" s="25"/>
      <c r="AW106" s="427"/>
    </row>
    <row r="107" spans="1:49" ht="57" x14ac:dyDescent="0.25">
      <c r="A107" s="531"/>
      <c r="B107" s="470"/>
      <c r="C107" s="473"/>
      <c r="D107" s="652"/>
      <c r="E107" s="473"/>
      <c r="F107" s="531"/>
      <c r="G107" s="534"/>
      <c r="H107" s="534"/>
      <c r="I107" s="534"/>
      <c r="J107" s="534"/>
      <c r="K107" s="470"/>
      <c r="L107" s="470"/>
      <c r="M107" s="470"/>
      <c r="N107" s="470"/>
      <c r="O107" s="470"/>
      <c r="P107" s="470"/>
      <c r="Q107" s="431"/>
      <c r="R107" s="431"/>
      <c r="S107" s="492"/>
      <c r="T107" s="504"/>
      <c r="U107" s="504"/>
      <c r="V107" s="25" t="s">
        <v>264</v>
      </c>
      <c r="W107" s="26">
        <v>1</v>
      </c>
      <c r="X107" s="26">
        <v>0</v>
      </c>
      <c r="Y107" s="27">
        <v>0</v>
      </c>
      <c r="Z107" s="120">
        <f t="shared" si="10"/>
        <v>0</v>
      </c>
      <c r="AA107" s="565"/>
      <c r="AB107" s="28">
        <v>44197</v>
      </c>
      <c r="AC107" s="92">
        <v>365</v>
      </c>
      <c r="AD107" s="26" t="s">
        <v>60</v>
      </c>
      <c r="AE107" s="123" t="s">
        <v>60</v>
      </c>
      <c r="AF107" s="122">
        <v>5.2600000000000001E-2</v>
      </c>
      <c r="AG107" s="446"/>
      <c r="AH107" s="446"/>
      <c r="AI107" s="446"/>
      <c r="AJ107" s="434"/>
      <c r="AK107" s="115"/>
      <c r="AL107" s="434"/>
      <c r="AM107" s="431"/>
      <c r="AN107" s="446"/>
      <c r="AO107" s="446"/>
      <c r="AP107" s="545"/>
      <c r="AQ107" s="434"/>
      <c r="AR107" s="434"/>
      <c r="AS107" s="19" t="s">
        <v>66</v>
      </c>
      <c r="AT107" s="25" t="s">
        <v>67</v>
      </c>
      <c r="AU107" s="26" t="s">
        <v>68</v>
      </c>
      <c r="AV107" s="25"/>
      <c r="AW107" s="425"/>
    </row>
    <row r="108" spans="1:49" ht="42.75" x14ac:dyDescent="0.25">
      <c r="A108" s="531"/>
      <c r="B108" s="470"/>
      <c r="C108" s="473"/>
      <c r="D108" s="652"/>
      <c r="E108" s="473"/>
      <c r="F108" s="531"/>
      <c r="G108" s="534"/>
      <c r="H108" s="534"/>
      <c r="I108" s="534"/>
      <c r="J108" s="534"/>
      <c r="K108" s="470"/>
      <c r="L108" s="470"/>
      <c r="M108" s="470"/>
      <c r="N108" s="470"/>
      <c r="O108" s="470"/>
      <c r="P108" s="470"/>
      <c r="Q108" s="431"/>
      <c r="R108" s="431"/>
      <c r="S108" s="492"/>
      <c r="T108" s="504"/>
      <c r="U108" s="504"/>
      <c r="V108" s="25" t="s">
        <v>265</v>
      </c>
      <c r="W108" s="26">
        <v>1</v>
      </c>
      <c r="X108" s="26">
        <v>0</v>
      </c>
      <c r="Y108" s="27">
        <v>0</v>
      </c>
      <c r="Z108" s="120">
        <f t="shared" si="10"/>
        <v>0</v>
      </c>
      <c r="AA108" s="565"/>
      <c r="AB108" s="28">
        <v>44197</v>
      </c>
      <c r="AC108" s="92">
        <v>365</v>
      </c>
      <c r="AD108" s="26" t="s">
        <v>60</v>
      </c>
      <c r="AE108" s="123" t="s">
        <v>60</v>
      </c>
      <c r="AF108" s="122">
        <v>5.2600000000000001E-2</v>
      </c>
      <c r="AG108" s="446"/>
      <c r="AH108" s="446"/>
      <c r="AI108" s="446"/>
      <c r="AJ108" s="434"/>
      <c r="AK108" s="115"/>
      <c r="AL108" s="434"/>
      <c r="AM108" s="431"/>
      <c r="AN108" s="446"/>
      <c r="AO108" s="446"/>
      <c r="AP108" s="545"/>
      <c r="AQ108" s="434"/>
      <c r="AR108" s="434"/>
      <c r="AS108" s="19" t="s">
        <v>66</v>
      </c>
      <c r="AT108" s="25" t="s">
        <v>67</v>
      </c>
      <c r="AU108" s="26" t="s">
        <v>68</v>
      </c>
      <c r="AV108" s="25"/>
      <c r="AW108" s="425"/>
    </row>
    <row r="109" spans="1:49" ht="114" x14ac:dyDescent="0.25">
      <c r="A109" s="531"/>
      <c r="B109" s="470"/>
      <c r="C109" s="473"/>
      <c r="D109" s="652"/>
      <c r="E109" s="473"/>
      <c r="F109" s="531"/>
      <c r="G109" s="534"/>
      <c r="H109" s="534"/>
      <c r="I109" s="534"/>
      <c r="J109" s="534"/>
      <c r="K109" s="470"/>
      <c r="L109" s="470"/>
      <c r="M109" s="470"/>
      <c r="N109" s="470"/>
      <c r="O109" s="470"/>
      <c r="P109" s="470"/>
      <c r="Q109" s="431"/>
      <c r="R109" s="431"/>
      <c r="S109" s="492"/>
      <c r="T109" s="504"/>
      <c r="U109" s="504"/>
      <c r="V109" s="25" t="s">
        <v>266</v>
      </c>
      <c r="W109" s="26">
        <v>1</v>
      </c>
      <c r="X109" s="26">
        <v>0.127</v>
      </c>
      <c r="Y109" s="27">
        <v>0.67700000000000005</v>
      </c>
      <c r="Z109" s="120">
        <f t="shared" si="10"/>
        <v>0.80400000000000005</v>
      </c>
      <c r="AA109" s="565"/>
      <c r="AB109" s="28">
        <v>44197</v>
      </c>
      <c r="AC109" s="92">
        <v>365</v>
      </c>
      <c r="AD109" s="26" t="s">
        <v>60</v>
      </c>
      <c r="AE109" s="123" t="s">
        <v>60</v>
      </c>
      <c r="AF109" s="122">
        <v>5.2600000000000001E-2</v>
      </c>
      <c r="AG109" s="446"/>
      <c r="AH109" s="446"/>
      <c r="AI109" s="446"/>
      <c r="AJ109" s="434"/>
      <c r="AK109" s="115"/>
      <c r="AL109" s="434"/>
      <c r="AM109" s="431"/>
      <c r="AN109" s="446"/>
      <c r="AO109" s="446"/>
      <c r="AP109" s="545"/>
      <c r="AQ109" s="434"/>
      <c r="AR109" s="434"/>
      <c r="AS109" s="19" t="s">
        <v>66</v>
      </c>
      <c r="AT109" s="25" t="s">
        <v>67</v>
      </c>
      <c r="AU109" s="26" t="s">
        <v>68</v>
      </c>
      <c r="AV109" s="25"/>
      <c r="AW109" s="425"/>
    </row>
    <row r="110" spans="1:49" ht="42" customHeight="1" x14ac:dyDescent="0.25">
      <c r="A110" s="531"/>
      <c r="B110" s="470"/>
      <c r="C110" s="473"/>
      <c r="D110" s="652"/>
      <c r="E110" s="473"/>
      <c r="F110" s="531"/>
      <c r="G110" s="534"/>
      <c r="H110" s="534"/>
      <c r="I110" s="534"/>
      <c r="J110" s="534"/>
      <c r="K110" s="470"/>
      <c r="L110" s="470"/>
      <c r="M110" s="470"/>
      <c r="N110" s="470"/>
      <c r="O110" s="470"/>
      <c r="P110" s="470"/>
      <c r="Q110" s="431"/>
      <c r="R110" s="431"/>
      <c r="S110" s="492"/>
      <c r="T110" s="504"/>
      <c r="U110" s="504"/>
      <c r="V110" s="25" t="s">
        <v>267</v>
      </c>
      <c r="W110" s="26">
        <v>1</v>
      </c>
      <c r="X110" s="26">
        <v>0</v>
      </c>
      <c r="Y110" s="27">
        <v>0</v>
      </c>
      <c r="Z110" s="120">
        <f t="shared" si="10"/>
        <v>0</v>
      </c>
      <c r="AA110" s="565"/>
      <c r="AB110" s="28">
        <v>44197</v>
      </c>
      <c r="AC110" s="92">
        <v>365</v>
      </c>
      <c r="AD110" s="26" t="s">
        <v>60</v>
      </c>
      <c r="AE110" s="123" t="s">
        <v>60</v>
      </c>
      <c r="AF110" s="122">
        <v>5.2600000000000001E-2</v>
      </c>
      <c r="AG110" s="446"/>
      <c r="AH110" s="446"/>
      <c r="AI110" s="446"/>
      <c r="AJ110" s="434"/>
      <c r="AK110" s="115"/>
      <c r="AL110" s="434"/>
      <c r="AM110" s="431"/>
      <c r="AN110" s="446"/>
      <c r="AO110" s="446"/>
      <c r="AP110" s="545"/>
      <c r="AQ110" s="434"/>
      <c r="AR110" s="434"/>
      <c r="AS110" s="19" t="s">
        <v>66</v>
      </c>
      <c r="AT110" s="25" t="s">
        <v>67</v>
      </c>
      <c r="AU110" s="26" t="s">
        <v>68</v>
      </c>
      <c r="AV110" s="25"/>
      <c r="AW110" s="425"/>
    </row>
    <row r="111" spans="1:49" ht="42.75" customHeight="1" thickBot="1" x14ac:dyDescent="0.3">
      <c r="A111" s="531"/>
      <c r="B111" s="470"/>
      <c r="C111" s="473"/>
      <c r="D111" s="652"/>
      <c r="E111" s="473"/>
      <c r="F111" s="531"/>
      <c r="G111" s="535"/>
      <c r="H111" s="535"/>
      <c r="I111" s="535"/>
      <c r="J111" s="535"/>
      <c r="K111" s="471"/>
      <c r="L111" s="471"/>
      <c r="M111" s="471"/>
      <c r="N111" s="471"/>
      <c r="O111" s="471"/>
      <c r="P111" s="471"/>
      <c r="Q111" s="459"/>
      <c r="R111" s="459"/>
      <c r="S111" s="492"/>
      <c r="T111" s="504"/>
      <c r="U111" s="504"/>
      <c r="V111" s="25" t="s">
        <v>268</v>
      </c>
      <c r="W111" s="26">
        <v>1</v>
      </c>
      <c r="X111" s="26">
        <v>0</v>
      </c>
      <c r="Y111" s="27">
        <v>0</v>
      </c>
      <c r="Z111" s="120">
        <f t="shared" si="10"/>
        <v>0</v>
      </c>
      <c r="AA111" s="565"/>
      <c r="AB111" s="28">
        <v>44197</v>
      </c>
      <c r="AC111" s="92">
        <v>365</v>
      </c>
      <c r="AD111" s="26" t="s">
        <v>60</v>
      </c>
      <c r="AE111" s="123" t="s">
        <v>60</v>
      </c>
      <c r="AF111" s="122">
        <v>5.2600000000000001E-2</v>
      </c>
      <c r="AG111" s="446"/>
      <c r="AH111" s="446"/>
      <c r="AI111" s="446"/>
      <c r="AJ111" s="434"/>
      <c r="AK111" s="115"/>
      <c r="AL111" s="434"/>
      <c r="AM111" s="431"/>
      <c r="AN111" s="446"/>
      <c r="AO111" s="446"/>
      <c r="AP111" s="545"/>
      <c r="AQ111" s="434"/>
      <c r="AR111" s="434"/>
      <c r="AS111" s="19" t="s">
        <v>66</v>
      </c>
      <c r="AT111" s="25" t="s">
        <v>67</v>
      </c>
      <c r="AU111" s="26" t="s">
        <v>68</v>
      </c>
      <c r="AV111" s="25"/>
      <c r="AW111" s="426"/>
    </row>
    <row r="112" spans="1:49" ht="114" x14ac:dyDescent="0.25">
      <c r="A112" s="531"/>
      <c r="B112" s="470"/>
      <c r="C112" s="473"/>
      <c r="D112" s="652"/>
      <c r="E112" s="473"/>
      <c r="F112" s="531"/>
      <c r="G112" s="533" t="s">
        <v>269</v>
      </c>
      <c r="H112" s="533" t="s">
        <v>54</v>
      </c>
      <c r="I112" s="533" t="s">
        <v>240</v>
      </c>
      <c r="J112" s="533" t="s">
        <v>270</v>
      </c>
      <c r="K112" s="469">
        <v>4</v>
      </c>
      <c r="L112" s="469">
        <v>2</v>
      </c>
      <c r="M112" s="469">
        <v>2</v>
      </c>
      <c r="N112" s="469">
        <v>1</v>
      </c>
      <c r="O112" s="469">
        <v>0</v>
      </c>
      <c r="P112" s="469">
        <f>M112+N112+O112</f>
        <v>3</v>
      </c>
      <c r="Q112" s="430">
        <f>+N112/L112</f>
        <v>0.5</v>
      </c>
      <c r="R112" s="430">
        <f>+P112/K112</f>
        <v>0.75</v>
      </c>
      <c r="S112" s="492"/>
      <c r="T112" s="504"/>
      <c r="U112" s="504"/>
      <c r="V112" s="25" t="s">
        <v>271</v>
      </c>
      <c r="W112" s="26">
        <v>1</v>
      </c>
      <c r="X112" s="26">
        <v>0.25</v>
      </c>
      <c r="Y112" s="27">
        <v>0.75</v>
      </c>
      <c r="Z112" s="120">
        <f t="shared" si="10"/>
        <v>1</v>
      </c>
      <c r="AA112" s="565"/>
      <c r="AB112" s="28">
        <v>44197</v>
      </c>
      <c r="AC112" s="92">
        <v>365</v>
      </c>
      <c r="AD112" s="26" t="s">
        <v>60</v>
      </c>
      <c r="AE112" s="123" t="s">
        <v>60</v>
      </c>
      <c r="AF112" s="122">
        <v>5.2600000000000001E-2</v>
      </c>
      <c r="AG112" s="446"/>
      <c r="AH112" s="446"/>
      <c r="AI112" s="446"/>
      <c r="AJ112" s="434"/>
      <c r="AK112" s="115"/>
      <c r="AL112" s="434"/>
      <c r="AM112" s="431"/>
      <c r="AN112" s="446"/>
      <c r="AO112" s="446"/>
      <c r="AP112" s="545"/>
      <c r="AQ112" s="434"/>
      <c r="AR112" s="434"/>
      <c r="AS112" s="19" t="s">
        <v>66</v>
      </c>
      <c r="AT112" s="25" t="s">
        <v>67</v>
      </c>
      <c r="AU112" s="26" t="s">
        <v>68</v>
      </c>
      <c r="AV112" s="25"/>
      <c r="AW112" s="427"/>
    </row>
    <row r="113" spans="1:49" ht="129" thickBot="1" x14ac:dyDescent="0.3">
      <c r="A113" s="531"/>
      <c r="B113" s="470"/>
      <c r="C113" s="473"/>
      <c r="D113" s="652"/>
      <c r="E113" s="473"/>
      <c r="F113" s="531"/>
      <c r="G113" s="534"/>
      <c r="H113" s="534"/>
      <c r="I113" s="534"/>
      <c r="J113" s="534"/>
      <c r="K113" s="470"/>
      <c r="L113" s="470"/>
      <c r="M113" s="470"/>
      <c r="N113" s="470"/>
      <c r="O113" s="470"/>
      <c r="P113" s="470"/>
      <c r="Q113" s="431"/>
      <c r="R113" s="431"/>
      <c r="S113" s="492"/>
      <c r="T113" s="504"/>
      <c r="U113" s="504"/>
      <c r="V113" s="25" t="s">
        <v>272</v>
      </c>
      <c r="W113" s="26">
        <v>1</v>
      </c>
      <c r="X113" s="26">
        <v>0</v>
      </c>
      <c r="Y113" s="133">
        <v>1</v>
      </c>
      <c r="Z113" s="120">
        <f t="shared" si="10"/>
        <v>1</v>
      </c>
      <c r="AA113" s="565"/>
      <c r="AB113" s="28">
        <v>44197</v>
      </c>
      <c r="AC113" s="92">
        <v>365</v>
      </c>
      <c r="AD113" s="26" t="s">
        <v>60</v>
      </c>
      <c r="AE113" s="123" t="s">
        <v>60</v>
      </c>
      <c r="AF113" s="122">
        <v>5.2600000000000001E-2</v>
      </c>
      <c r="AG113" s="446"/>
      <c r="AH113" s="446"/>
      <c r="AI113" s="447"/>
      <c r="AJ113" s="435"/>
      <c r="AK113" s="137"/>
      <c r="AL113" s="435"/>
      <c r="AM113" s="459"/>
      <c r="AN113" s="447"/>
      <c r="AO113" s="447"/>
      <c r="AP113" s="545"/>
      <c r="AQ113" s="435"/>
      <c r="AR113" s="435"/>
      <c r="AS113" s="19" t="s">
        <v>66</v>
      </c>
      <c r="AT113" s="25" t="s">
        <v>67</v>
      </c>
      <c r="AU113" s="26" t="s">
        <v>68</v>
      </c>
      <c r="AV113" s="25"/>
      <c r="AW113" s="425"/>
    </row>
    <row r="114" spans="1:49" ht="27.95" customHeight="1" x14ac:dyDescent="0.25">
      <c r="A114" s="531"/>
      <c r="B114" s="470"/>
      <c r="C114" s="473"/>
      <c r="D114" s="652"/>
      <c r="E114" s="473"/>
      <c r="F114" s="531"/>
      <c r="G114" s="534"/>
      <c r="H114" s="534"/>
      <c r="I114" s="534"/>
      <c r="J114" s="534"/>
      <c r="K114" s="470"/>
      <c r="L114" s="470"/>
      <c r="M114" s="470"/>
      <c r="N114" s="470"/>
      <c r="O114" s="470"/>
      <c r="P114" s="470"/>
      <c r="Q114" s="431"/>
      <c r="R114" s="431"/>
      <c r="S114" s="492"/>
      <c r="T114" s="504"/>
      <c r="U114" s="504"/>
      <c r="V114" s="25" t="s">
        <v>273</v>
      </c>
      <c r="W114" s="26">
        <v>1</v>
      </c>
      <c r="X114" s="26">
        <v>0.21</v>
      </c>
      <c r="Y114" s="27">
        <v>0.46500000000000002</v>
      </c>
      <c r="Z114" s="144">
        <f t="shared" si="10"/>
        <v>0.67500000000000004</v>
      </c>
      <c r="AA114" s="565"/>
      <c r="AB114" s="28">
        <v>44197</v>
      </c>
      <c r="AC114" s="92">
        <v>365</v>
      </c>
      <c r="AD114" s="26" t="s">
        <v>60</v>
      </c>
      <c r="AE114" s="123" t="s">
        <v>60</v>
      </c>
      <c r="AF114" s="122">
        <v>5.2600000000000001E-2</v>
      </c>
      <c r="AG114" s="446"/>
      <c r="AH114" s="446"/>
      <c r="AI114" s="445" t="s">
        <v>238</v>
      </c>
      <c r="AJ114" s="433">
        <v>1</v>
      </c>
      <c r="AK114" s="433"/>
      <c r="AL114" s="433">
        <v>0</v>
      </c>
      <c r="AM114" s="430">
        <v>0</v>
      </c>
      <c r="AN114" s="445" t="s">
        <v>238</v>
      </c>
      <c r="AO114" s="445" t="s">
        <v>64</v>
      </c>
      <c r="AP114" s="545"/>
      <c r="AQ114" s="433" t="s">
        <v>65</v>
      </c>
      <c r="AR114" s="445">
        <f>AL114</f>
        <v>0</v>
      </c>
      <c r="AS114" s="19" t="s">
        <v>66</v>
      </c>
      <c r="AT114" s="25" t="s">
        <v>67</v>
      </c>
      <c r="AU114" s="26" t="s">
        <v>68</v>
      </c>
      <c r="AV114" s="25"/>
      <c r="AW114" s="425"/>
    </row>
    <row r="115" spans="1:49" ht="84" customHeight="1" x14ac:dyDescent="0.25">
      <c r="A115" s="531"/>
      <c r="B115" s="470"/>
      <c r="C115" s="473"/>
      <c r="D115" s="652"/>
      <c r="E115" s="473"/>
      <c r="F115" s="531"/>
      <c r="G115" s="534"/>
      <c r="H115" s="534"/>
      <c r="I115" s="534"/>
      <c r="J115" s="534"/>
      <c r="K115" s="470"/>
      <c r="L115" s="470"/>
      <c r="M115" s="470"/>
      <c r="N115" s="470"/>
      <c r="O115" s="470"/>
      <c r="P115" s="470"/>
      <c r="Q115" s="431"/>
      <c r="R115" s="431"/>
      <c r="S115" s="492"/>
      <c r="T115" s="504"/>
      <c r="U115" s="504"/>
      <c r="V115" s="25" t="s">
        <v>274</v>
      </c>
      <c r="W115" s="26">
        <v>1</v>
      </c>
      <c r="X115" s="26">
        <v>0</v>
      </c>
      <c r="Y115" s="27">
        <v>0</v>
      </c>
      <c r="Z115" s="120">
        <f t="shared" si="10"/>
        <v>0</v>
      </c>
      <c r="AA115" s="565"/>
      <c r="AB115" s="28">
        <v>44197</v>
      </c>
      <c r="AC115" s="92">
        <v>365</v>
      </c>
      <c r="AD115" s="26" t="s">
        <v>60</v>
      </c>
      <c r="AE115" s="123" t="s">
        <v>60</v>
      </c>
      <c r="AF115" s="122">
        <v>5.2600000000000001E-2</v>
      </c>
      <c r="AG115" s="446"/>
      <c r="AH115" s="446"/>
      <c r="AI115" s="446"/>
      <c r="AJ115" s="434"/>
      <c r="AK115" s="434"/>
      <c r="AL115" s="434"/>
      <c r="AM115" s="431"/>
      <c r="AN115" s="446"/>
      <c r="AO115" s="446"/>
      <c r="AP115" s="545"/>
      <c r="AQ115" s="434"/>
      <c r="AR115" s="446"/>
      <c r="AS115" s="19" t="s">
        <v>66</v>
      </c>
      <c r="AT115" s="25" t="s">
        <v>67</v>
      </c>
      <c r="AU115" s="26" t="s">
        <v>68</v>
      </c>
      <c r="AV115" s="25"/>
      <c r="AW115" s="425"/>
    </row>
    <row r="116" spans="1:49" ht="84" customHeight="1" x14ac:dyDescent="0.25">
      <c r="A116" s="531"/>
      <c r="B116" s="470"/>
      <c r="C116" s="473"/>
      <c r="D116" s="652"/>
      <c r="E116" s="473"/>
      <c r="F116" s="531"/>
      <c r="G116" s="534"/>
      <c r="H116" s="534"/>
      <c r="I116" s="534"/>
      <c r="J116" s="534"/>
      <c r="K116" s="470"/>
      <c r="L116" s="470"/>
      <c r="M116" s="470"/>
      <c r="N116" s="470"/>
      <c r="O116" s="470"/>
      <c r="P116" s="470"/>
      <c r="Q116" s="431"/>
      <c r="R116" s="431"/>
      <c r="S116" s="492"/>
      <c r="T116" s="504"/>
      <c r="U116" s="504"/>
      <c r="V116" s="25" t="s">
        <v>275</v>
      </c>
      <c r="W116" s="26">
        <v>1</v>
      </c>
      <c r="X116" s="26">
        <v>0</v>
      </c>
      <c r="Y116" s="27">
        <v>0</v>
      </c>
      <c r="Z116" s="120">
        <f t="shared" si="10"/>
        <v>0</v>
      </c>
      <c r="AA116" s="565"/>
      <c r="AB116" s="28">
        <v>44197</v>
      </c>
      <c r="AC116" s="92">
        <v>365</v>
      </c>
      <c r="AD116" s="26" t="s">
        <v>60</v>
      </c>
      <c r="AE116" s="123" t="s">
        <v>60</v>
      </c>
      <c r="AF116" s="122">
        <v>5.2600000000000001E-2</v>
      </c>
      <c r="AG116" s="446"/>
      <c r="AH116" s="446"/>
      <c r="AI116" s="446"/>
      <c r="AJ116" s="434"/>
      <c r="AK116" s="434"/>
      <c r="AL116" s="434"/>
      <c r="AM116" s="431"/>
      <c r="AN116" s="446"/>
      <c r="AO116" s="446"/>
      <c r="AP116" s="545"/>
      <c r="AQ116" s="434"/>
      <c r="AR116" s="446"/>
      <c r="AS116" s="19" t="s">
        <v>66</v>
      </c>
      <c r="AT116" s="25" t="s">
        <v>67</v>
      </c>
      <c r="AU116" s="26" t="s">
        <v>68</v>
      </c>
      <c r="AV116" s="25"/>
      <c r="AW116" s="425"/>
    </row>
    <row r="117" spans="1:49" ht="86.25" thickBot="1" x14ac:dyDescent="0.3">
      <c r="A117" s="531"/>
      <c r="B117" s="470"/>
      <c r="C117" s="473"/>
      <c r="D117" s="652"/>
      <c r="E117" s="473"/>
      <c r="F117" s="531"/>
      <c r="G117" s="535"/>
      <c r="H117" s="535"/>
      <c r="I117" s="535"/>
      <c r="J117" s="535"/>
      <c r="K117" s="471"/>
      <c r="L117" s="471"/>
      <c r="M117" s="471"/>
      <c r="N117" s="471"/>
      <c r="O117" s="471"/>
      <c r="P117" s="471"/>
      <c r="Q117" s="459"/>
      <c r="R117" s="459"/>
      <c r="S117" s="492"/>
      <c r="T117" s="504"/>
      <c r="U117" s="504"/>
      <c r="V117" s="25" t="s">
        <v>276</v>
      </c>
      <c r="W117" s="26">
        <v>1</v>
      </c>
      <c r="X117" s="26">
        <v>0</v>
      </c>
      <c r="Y117" s="27">
        <v>0</v>
      </c>
      <c r="Z117" s="120">
        <f t="shared" si="10"/>
        <v>0</v>
      </c>
      <c r="AA117" s="565"/>
      <c r="AB117" s="28">
        <v>44197</v>
      </c>
      <c r="AC117" s="92">
        <v>365</v>
      </c>
      <c r="AD117" s="26" t="s">
        <v>60</v>
      </c>
      <c r="AE117" s="123" t="s">
        <v>60</v>
      </c>
      <c r="AF117" s="122">
        <v>5.2600000000000001E-2</v>
      </c>
      <c r="AG117" s="446"/>
      <c r="AH117" s="446"/>
      <c r="AI117" s="446"/>
      <c r="AJ117" s="434"/>
      <c r="AK117" s="434"/>
      <c r="AL117" s="434"/>
      <c r="AM117" s="431"/>
      <c r="AN117" s="446"/>
      <c r="AO117" s="446"/>
      <c r="AP117" s="545"/>
      <c r="AQ117" s="434"/>
      <c r="AR117" s="446"/>
      <c r="AS117" s="19" t="s">
        <v>66</v>
      </c>
      <c r="AT117" s="25" t="s">
        <v>67</v>
      </c>
      <c r="AU117" s="26" t="s">
        <v>68</v>
      </c>
      <c r="AV117" s="25"/>
      <c r="AW117" s="426"/>
    </row>
    <row r="118" spans="1:49" ht="42.75" x14ac:dyDescent="0.25">
      <c r="A118" s="531"/>
      <c r="B118" s="470"/>
      <c r="C118" s="473"/>
      <c r="D118" s="652"/>
      <c r="E118" s="473"/>
      <c r="F118" s="531"/>
      <c r="G118" s="533" t="s">
        <v>277</v>
      </c>
      <c r="H118" s="533" t="s">
        <v>54</v>
      </c>
      <c r="I118" s="533" t="s">
        <v>250</v>
      </c>
      <c r="J118" s="533" t="s">
        <v>278</v>
      </c>
      <c r="K118" s="469">
        <v>1</v>
      </c>
      <c r="L118" s="469">
        <v>1</v>
      </c>
      <c r="M118" s="469">
        <v>0</v>
      </c>
      <c r="N118" s="469">
        <v>0</v>
      </c>
      <c r="O118" s="512">
        <v>0</v>
      </c>
      <c r="P118" s="430">
        <f>M118+O118</f>
        <v>0</v>
      </c>
      <c r="Q118" s="430">
        <v>0</v>
      </c>
      <c r="R118" s="430"/>
      <c r="S118" s="492"/>
      <c r="T118" s="504"/>
      <c r="U118" s="504"/>
      <c r="V118" s="25" t="s">
        <v>279</v>
      </c>
      <c r="W118" s="26">
        <v>1</v>
      </c>
      <c r="X118" s="26">
        <v>0.2</v>
      </c>
      <c r="Y118" s="27">
        <v>0.8</v>
      </c>
      <c r="Z118" s="120">
        <f t="shared" si="10"/>
        <v>1</v>
      </c>
      <c r="AA118" s="565"/>
      <c r="AB118" s="28">
        <v>44197</v>
      </c>
      <c r="AC118" s="92">
        <v>365</v>
      </c>
      <c r="AD118" s="26" t="s">
        <v>60</v>
      </c>
      <c r="AE118" s="123" t="s">
        <v>60</v>
      </c>
      <c r="AF118" s="122">
        <v>5.2600000000000001E-2</v>
      </c>
      <c r="AG118" s="446"/>
      <c r="AH118" s="446"/>
      <c r="AI118" s="446"/>
      <c r="AJ118" s="434"/>
      <c r="AK118" s="434"/>
      <c r="AL118" s="434"/>
      <c r="AM118" s="431"/>
      <c r="AN118" s="446"/>
      <c r="AO118" s="446"/>
      <c r="AP118" s="545"/>
      <c r="AQ118" s="434"/>
      <c r="AR118" s="446"/>
      <c r="AS118" s="19" t="s">
        <v>66</v>
      </c>
      <c r="AT118" s="25" t="s">
        <v>67</v>
      </c>
      <c r="AU118" s="26" t="s">
        <v>68</v>
      </c>
      <c r="AV118" s="25"/>
      <c r="AW118" s="430"/>
    </row>
    <row r="119" spans="1:49" ht="43.5" x14ac:dyDescent="0.25">
      <c r="A119" s="531"/>
      <c r="B119" s="470"/>
      <c r="C119" s="473"/>
      <c r="D119" s="652"/>
      <c r="E119" s="473"/>
      <c r="F119" s="531"/>
      <c r="G119" s="534"/>
      <c r="H119" s="534"/>
      <c r="I119" s="534"/>
      <c r="J119" s="534"/>
      <c r="K119" s="470"/>
      <c r="L119" s="470"/>
      <c r="M119" s="470"/>
      <c r="N119" s="470"/>
      <c r="O119" s="513"/>
      <c r="P119" s="431"/>
      <c r="Q119" s="431"/>
      <c r="R119" s="431"/>
      <c r="S119" s="492"/>
      <c r="T119" s="504"/>
      <c r="U119" s="504"/>
      <c r="V119" s="147" t="s">
        <v>280</v>
      </c>
      <c r="W119" s="148">
        <v>1</v>
      </c>
      <c r="X119" s="148">
        <v>0</v>
      </c>
      <c r="Y119" s="149">
        <v>1</v>
      </c>
      <c r="Z119" s="120">
        <f t="shared" si="10"/>
        <v>1</v>
      </c>
      <c r="AA119" s="565"/>
      <c r="AB119" s="28">
        <v>44197</v>
      </c>
      <c r="AC119" s="92">
        <v>365</v>
      </c>
      <c r="AD119" s="26" t="s">
        <v>60</v>
      </c>
      <c r="AE119" s="123" t="s">
        <v>60</v>
      </c>
      <c r="AF119" s="122">
        <v>5.2600000000000001E-2</v>
      </c>
      <c r="AG119" s="446"/>
      <c r="AH119" s="446"/>
      <c r="AI119" s="446"/>
      <c r="AJ119" s="434"/>
      <c r="AK119" s="434"/>
      <c r="AL119" s="434"/>
      <c r="AM119" s="431"/>
      <c r="AN119" s="446"/>
      <c r="AO119" s="446"/>
      <c r="AP119" s="545"/>
      <c r="AQ119" s="434"/>
      <c r="AR119" s="446"/>
      <c r="AS119" s="19" t="s">
        <v>66</v>
      </c>
      <c r="AT119" s="25" t="s">
        <v>67</v>
      </c>
      <c r="AU119" s="148" t="s">
        <v>68</v>
      </c>
      <c r="AV119" s="147"/>
      <c r="AW119" s="431"/>
    </row>
    <row r="120" spans="1:49" ht="28.5" x14ac:dyDescent="0.25">
      <c r="A120" s="531"/>
      <c r="B120" s="470"/>
      <c r="C120" s="473"/>
      <c r="D120" s="652"/>
      <c r="E120" s="473"/>
      <c r="F120" s="531"/>
      <c r="G120" s="534"/>
      <c r="H120" s="534"/>
      <c r="I120" s="534"/>
      <c r="J120" s="534"/>
      <c r="K120" s="470"/>
      <c r="L120" s="470"/>
      <c r="M120" s="470"/>
      <c r="N120" s="470"/>
      <c r="O120" s="513"/>
      <c r="P120" s="431"/>
      <c r="Q120" s="431"/>
      <c r="R120" s="431"/>
      <c r="S120" s="492"/>
      <c r="T120" s="504"/>
      <c r="U120" s="504"/>
      <c r="V120" s="25" t="s">
        <v>281</v>
      </c>
      <c r="W120" s="26">
        <v>1</v>
      </c>
      <c r="X120" s="26">
        <v>0</v>
      </c>
      <c r="Y120" s="133">
        <v>0.2</v>
      </c>
      <c r="Z120" s="120">
        <f t="shared" si="10"/>
        <v>0.2</v>
      </c>
      <c r="AA120" s="565"/>
      <c r="AB120" s="28">
        <v>44197</v>
      </c>
      <c r="AC120" s="92">
        <v>365</v>
      </c>
      <c r="AD120" s="26" t="s">
        <v>60</v>
      </c>
      <c r="AE120" s="123" t="s">
        <v>60</v>
      </c>
      <c r="AF120" s="122">
        <v>5.2600000000000001E-2</v>
      </c>
      <c r="AG120" s="446"/>
      <c r="AH120" s="446"/>
      <c r="AI120" s="446"/>
      <c r="AJ120" s="434"/>
      <c r="AK120" s="434"/>
      <c r="AL120" s="434"/>
      <c r="AM120" s="431"/>
      <c r="AN120" s="446"/>
      <c r="AO120" s="446"/>
      <c r="AP120" s="545"/>
      <c r="AQ120" s="434"/>
      <c r="AR120" s="446"/>
      <c r="AS120" s="19" t="s">
        <v>66</v>
      </c>
      <c r="AT120" s="25" t="s">
        <v>67</v>
      </c>
      <c r="AU120" s="26" t="s">
        <v>68</v>
      </c>
      <c r="AV120" s="25"/>
      <c r="AW120" s="431"/>
    </row>
    <row r="121" spans="1:49" ht="28.5" x14ac:dyDescent="0.25">
      <c r="A121" s="531"/>
      <c r="B121" s="470"/>
      <c r="C121" s="473"/>
      <c r="D121" s="652"/>
      <c r="E121" s="473"/>
      <c r="F121" s="531"/>
      <c r="G121" s="534"/>
      <c r="H121" s="534"/>
      <c r="I121" s="534"/>
      <c r="J121" s="534"/>
      <c r="K121" s="470"/>
      <c r="L121" s="470"/>
      <c r="M121" s="470"/>
      <c r="N121" s="470"/>
      <c r="O121" s="513"/>
      <c r="P121" s="431"/>
      <c r="Q121" s="431"/>
      <c r="R121" s="431"/>
      <c r="S121" s="492"/>
      <c r="T121" s="504"/>
      <c r="U121" s="504"/>
      <c r="V121" s="25" t="s">
        <v>282</v>
      </c>
      <c r="W121" s="26">
        <v>1</v>
      </c>
      <c r="X121" s="26">
        <v>0</v>
      </c>
      <c r="Y121" s="27">
        <v>0</v>
      </c>
      <c r="Z121" s="120">
        <f t="shared" si="10"/>
        <v>0</v>
      </c>
      <c r="AA121" s="565"/>
      <c r="AB121" s="28">
        <v>44197</v>
      </c>
      <c r="AC121" s="92">
        <v>365</v>
      </c>
      <c r="AD121" s="26" t="s">
        <v>60</v>
      </c>
      <c r="AE121" s="123" t="s">
        <v>60</v>
      </c>
      <c r="AF121" s="122">
        <v>5.2600000000000001E-2</v>
      </c>
      <c r="AG121" s="446"/>
      <c r="AH121" s="446"/>
      <c r="AI121" s="446"/>
      <c r="AJ121" s="434"/>
      <c r="AK121" s="434"/>
      <c r="AL121" s="434"/>
      <c r="AM121" s="431"/>
      <c r="AN121" s="446"/>
      <c r="AO121" s="446"/>
      <c r="AP121" s="545"/>
      <c r="AQ121" s="434"/>
      <c r="AR121" s="446"/>
      <c r="AS121" s="19" t="s">
        <v>66</v>
      </c>
      <c r="AT121" s="25" t="s">
        <v>67</v>
      </c>
      <c r="AU121" s="26" t="s">
        <v>68</v>
      </c>
      <c r="AV121" s="25"/>
      <c r="AW121" s="431"/>
    </row>
    <row r="122" spans="1:49" ht="29.25" thickBot="1" x14ac:dyDescent="0.3">
      <c r="A122" s="531"/>
      <c r="B122" s="470"/>
      <c r="C122" s="473"/>
      <c r="D122" s="652"/>
      <c r="E122" s="473"/>
      <c r="F122" s="531"/>
      <c r="G122" s="535"/>
      <c r="H122" s="535"/>
      <c r="I122" s="535"/>
      <c r="J122" s="535"/>
      <c r="K122" s="471"/>
      <c r="L122" s="471"/>
      <c r="M122" s="471"/>
      <c r="N122" s="471"/>
      <c r="O122" s="514"/>
      <c r="P122" s="459"/>
      <c r="Q122" s="431"/>
      <c r="R122" s="431"/>
      <c r="S122" s="492"/>
      <c r="T122" s="505"/>
      <c r="U122" s="505"/>
      <c r="V122" s="32" t="s">
        <v>213</v>
      </c>
      <c r="W122" s="33">
        <v>1</v>
      </c>
      <c r="X122" s="33">
        <v>0</v>
      </c>
      <c r="Y122" s="34">
        <v>0</v>
      </c>
      <c r="Z122" s="120">
        <f t="shared" si="10"/>
        <v>0</v>
      </c>
      <c r="AA122" s="566"/>
      <c r="AB122" s="57">
        <v>44197</v>
      </c>
      <c r="AC122" s="125">
        <v>365</v>
      </c>
      <c r="AD122" s="44" t="s">
        <v>60</v>
      </c>
      <c r="AE122" s="126" t="s">
        <v>60</v>
      </c>
      <c r="AF122" s="127">
        <v>5.2600000000000001E-2</v>
      </c>
      <c r="AG122" s="446"/>
      <c r="AH122" s="567"/>
      <c r="AI122" s="567"/>
      <c r="AJ122" s="448"/>
      <c r="AK122" s="435"/>
      <c r="AL122" s="435"/>
      <c r="AM122" s="459"/>
      <c r="AN122" s="447"/>
      <c r="AO122" s="447"/>
      <c r="AP122" s="546"/>
      <c r="AQ122" s="435"/>
      <c r="AR122" s="447"/>
      <c r="AS122" s="19" t="s">
        <v>66</v>
      </c>
      <c r="AT122" s="43" t="s">
        <v>67</v>
      </c>
      <c r="AU122" s="44" t="s">
        <v>68</v>
      </c>
      <c r="AV122" s="43"/>
      <c r="AW122" s="431"/>
    </row>
    <row r="123" spans="1:49" ht="84.75" customHeight="1" thickBot="1" x14ac:dyDescent="0.3">
      <c r="A123" s="531"/>
      <c r="B123" s="470"/>
      <c r="C123" s="473"/>
      <c r="D123" s="652"/>
      <c r="E123" s="473"/>
      <c r="F123" s="532"/>
      <c r="G123" s="536" t="s">
        <v>283</v>
      </c>
      <c r="H123" s="537"/>
      <c r="I123" s="537"/>
      <c r="J123" s="537"/>
      <c r="K123" s="537"/>
      <c r="L123" s="537"/>
      <c r="M123" s="537"/>
      <c r="N123" s="537"/>
      <c r="O123" s="537"/>
      <c r="P123" s="537"/>
      <c r="Q123" s="224">
        <f>AVERAGE(Q88:Q122)</f>
        <v>0.72727272727272729</v>
      </c>
      <c r="R123" s="224">
        <f>AVERAGE(R88:R122)</f>
        <v>0.76950000000000007</v>
      </c>
      <c r="S123" s="529"/>
      <c r="T123" s="568" t="s">
        <v>284</v>
      </c>
      <c r="U123" s="569"/>
      <c r="V123" s="570"/>
      <c r="W123" s="570"/>
      <c r="X123" s="570"/>
      <c r="Y123" s="569"/>
      <c r="Z123" s="571"/>
      <c r="AA123" s="150">
        <f>AVERAGE(AA88:AA122)</f>
        <v>0.4674338815789475</v>
      </c>
      <c r="AB123" s="35"/>
      <c r="AC123" s="143"/>
      <c r="AD123" s="33"/>
      <c r="AE123" s="151"/>
      <c r="AF123" s="152"/>
      <c r="AG123" s="153"/>
      <c r="AH123" s="234"/>
      <c r="AI123" s="234"/>
      <c r="AJ123" s="154"/>
      <c r="AK123" s="115"/>
      <c r="AL123" s="115"/>
      <c r="AM123" s="115"/>
      <c r="AN123" s="66"/>
      <c r="AO123" s="66"/>
      <c r="AP123" s="116"/>
      <c r="AQ123" s="115"/>
      <c r="AR123" s="66"/>
      <c r="AS123" s="19"/>
      <c r="AT123" s="70"/>
      <c r="AU123" s="71"/>
      <c r="AV123" s="70"/>
      <c r="AW123" s="70"/>
    </row>
    <row r="124" spans="1:49" ht="27.95" customHeight="1" x14ac:dyDescent="0.25">
      <c r="A124" s="531"/>
      <c r="B124" s="470"/>
      <c r="C124" s="473"/>
      <c r="D124" s="652"/>
      <c r="E124" s="473"/>
      <c r="F124" s="469" t="s">
        <v>285</v>
      </c>
      <c r="G124" s="472" t="s">
        <v>286</v>
      </c>
      <c r="H124" s="472" t="s">
        <v>54</v>
      </c>
      <c r="I124" s="486" t="s">
        <v>240</v>
      </c>
      <c r="J124" s="472" t="s">
        <v>287</v>
      </c>
      <c r="K124" s="488">
        <v>4</v>
      </c>
      <c r="L124" s="488">
        <v>1</v>
      </c>
      <c r="M124" s="463">
        <v>1.55</v>
      </c>
      <c r="N124" s="463">
        <v>0.34</v>
      </c>
      <c r="O124" s="463">
        <v>0.34</v>
      </c>
      <c r="P124" s="463">
        <f>M124+N124+O124</f>
        <v>2.23</v>
      </c>
      <c r="Q124" s="430">
        <f>(+N124+O124)/L124</f>
        <v>0.68</v>
      </c>
      <c r="R124" s="430">
        <f>+P124/K124</f>
        <v>0.5575</v>
      </c>
      <c r="S124" s="523" t="s">
        <v>288</v>
      </c>
      <c r="T124" s="557">
        <v>2021130010198</v>
      </c>
      <c r="U124" s="560" t="s">
        <v>289</v>
      </c>
      <c r="V124" s="155" t="s">
        <v>290</v>
      </c>
      <c r="W124" s="41">
        <v>2</v>
      </c>
      <c r="X124" s="156">
        <v>0.8</v>
      </c>
      <c r="Y124" s="157">
        <v>0.15</v>
      </c>
      <c r="Z124" s="158">
        <f>(X124+Y124)/W124</f>
        <v>0.47500000000000003</v>
      </c>
      <c r="AA124" s="541">
        <f>AVERAGE(Z124:Z129,Z134:Z135)</f>
        <v>0.50284722222222222</v>
      </c>
      <c r="AB124" s="39">
        <v>44197</v>
      </c>
      <c r="AC124" s="85">
        <v>365</v>
      </c>
      <c r="AD124" s="41" t="s">
        <v>60</v>
      </c>
      <c r="AE124" s="86" t="s">
        <v>60</v>
      </c>
      <c r="AF124" s="40">
        <v>7.6999999999999999E-2</v>
      </c>
      <c r="AG124" s="445" t="s">
        <v>61</v>
      </c>
      <c r="AH124" s="445" t="s">
        <v>62</v>
      </c>
      <c r="AI124" s="445" t="s">
        <v>291</v>
      </c>
      <c r="AJ124" s="547">
        <v>500000000</v>
      </c>
      <c r="AK124" s="547">
        <v>500000000</v>
      </c>
      <c r="AL124" s="547">
        <v>137601256</v>
      </c>
      <c r="AM124" s="430">
        <f>+AL124/AJ124</f>
        <v>0.27520251200000001</v>
      </c>
      <c r="AN124" s="445" t="s">
        <v>291</v>
      </c>
      <c r="AO124" s="445" t="s">
        <v>64</v>
      </c>
      <c r="AP124" s="544"/>
      <c r="AQ124" s="445" t="s">
        <v>65</v>
      </c>
      <c r="AR124" s="433">
        <f>AL124</f>
        <v>137601256</v>
      </c>
      <c r="AS124" s="19" t="s">
        <v>66</v>
      </c>
      <c r="AT124" s="49" t="s">
        <v>67</v>
      </c>
      <c r="AU124" s="41" t="s">
        <v>68</v>
      </c>
      <c r="AV124" s="49"/>
      <c r="AW124" s="49"/>
    </row>
    <row r="125" spans="1:49" ht="42.75" x14ac:dyDescent="0.25">
      <c r="A125" s="531"/>
      <c r="B125" s="470"/>
      <c r="C125" s="473"/>
      <c r="D125" s="652"/>
      <c r="E125" s="473"/>
      <c r="F125" s="470"/>
      <c r="G125" s="473"/>
      <c r="H125" s="473"/>
      <c r="I125" s="487"/>
      <c r="J125" s="473"/>
      <c r="K125" s="489"/>
      <c r="L125" s="489"/>
      <c r="M125" s="464"/>
      <c r="N125" s="464"/>
      <c r="O125" s="464"/>
      <c r="P125" s="464"/>
      <c r="Q125" s="431"/>
      <c r="R125" s="431"/>
      <c r="S125" s="485"/>
      <c r="T125" s="558"/>
      <c r="U125" s="561"/>
      <c r="V125" s="159" t="s">
        <v>292</v>
      </c>
      <c r="W125" s="26">
        <v>2</v>
      </c>
      <c r="X125" s="56">
        <v>0.75</v>
      </c>
      <c r="Y125" s="160">
        <v>0.2</v>
      </c>
      <c r="Z125" s="158">
        <f t="shared" ref="Z125:Z136" si="11">(X125+Y125)/W125</f>
        <v>0.47499999999999998</v>
      </c>
      <c r="AA125" s="542"/>
      <c r="AB125" s="28">
        <v>44197</v>
      </c>
      <c r="AC125" s="92">
        <v>365</v>
      </c>
      <c r="AD125" s="26" t="s">
        <v>60</v>
      </c>
      <c r="AE125" s="93" t="s">
        <v>60</v>
      </c>
      <c r="AF125" s="55">
        <v>7.6999999999999999E-2</v>
      </c>
      <c r="AG125" s="446"/>
      <c r="AH125" s="446"/>
      <c r="AI125" s="446"/>
      <c r="AJ125" s="539"/>
      <c r="AK125" s="539"/>
      <c r="AL125" s="539"/>
      <c r="AM125" s="431"/>
      <c r="AN125" s="446"/>
      <c r="AO125" s="446"/>
      <c r="AP125" s="545"/>
      <c r="AQ125" s="446"/>
      <c r="AR125" s="434"/>
      <c r="AS125" s="19" t="s">
        <v>66</v>
      </c>
      <c r="AT125" s="25" t="s">
        <v>67</v>
      </c>
      <c r="AU125" s="26" t="s">
        <v>68</v>
      </c>
      <c r="AV125" s="25"/>
      <c r="AW125" s="25"/>
    </row>
    <row r="126" spans="1:49" ht="42.75" x14ac:dyDescent="0.25">
      <c r="A126" s="531"/>
      <c r="B126" s="470"/>
      <c r="C126" s="473"/>
      <c r="D126" s="652"/>
      <c r="E126" s="473"/>
      <c r="F126" s="470"/>
      <c r="G126" s="473"/>
      <c r="H126" s="473"/>
      <c r="I126" s="487"/>
      <c r="J126" s="473"/>
      <c r="K126" s="489"/>
      <c r="L126" s="489"/>
      <c r="M126" s="464"/>
      <c r="N126" s="464"/>
      <c r="O126" s="464"/>
      <c r="P126" s="464"/>
      <c r="Q126" s="431"/>
      <c r="R126" s="431"/>
      <c r="S126" s="485"/>
      <c r="T126" s="558"/>
      <c r="U126" s="561"/>
      <c r="V126" s="159" t="s">
        <v>293</v>
      </c>
      <c r="W126" s="26">
        <v>2</v>
      </c>
      <c r="X126" s="92">
        <v>0</v>
      </c>
      <c r="Y126" s="161">
        <v>1</v>
      </c>
      <c r="Z126" s="158">
        <f t="shared" si="11"/>
        <v>0.5</v>
      </c>
      <c r="AA126" s="542"/>
      <c r="AB126" s="28">
        <v>44197</v>
      </c>
      <c r="AC126" s="92">
        <v>365</v>
      </c>
      <c r="AD126" s="26" t="s">
        <v>60</v>
      </c>
      <c r="AE126" s="93" t="s">
        <v>60</v>
      </c>
      <c r="AF126" s="55">
        <v>7.6999999999999999E-2</v>
      </c>
      <c r="AG126" s="446"/>
      <c r="AH126" s="446"/>
      <c r="AI126" s="446"/>
      <c r="AJ126" s="539"/>
      <c r="AK126" s="539"/>
      <c r="AL126" s="539"/>
      <c r="AM126" s="431"/>
      <c r="AN126" s="446"/>
      <c r="AO126" s="446"/>
      <c r="AP126" s="545"/>
      <c r="AQ126" s="446"/>
      <c r="AR126" s="434"/>
      <c r="AS126" s="19" t="s">
        <v>66</v>
      </c>
      <c r="AT126" s="25" t="s">
        <v>67</v>
      </c>
      <c r="AU126" s="26" t="s">
        <v>68</v>
      </c>
      <c r="AV126" s="25"/>
      <c r="AW126" s="25"/>
    </row>
    <row r="127" spans="1:49" ht="28.5" customHeight="1" thickBot="1" x14ac:dyDescent="0.3">
      <c r="A127" s="531"/>
      <c r="B127" s="470"/>
      <c r="C127" s="473"/>
      <c r="D127" s="652"/>
      <c r="E127" s="473"/>
      <c r="F127" s="470"/>
      <c r="G127" s="473"/>
      <c r="H127" s="473"/>
      <c r="I127" s="487"/>
      <c r="J127" s="473"/>
      <c r="K127" s="489"/>
      <c r="L127" s="489"/>
      <c r="M127" s="464"/>
      <c r="N127" s="464"/>
      <c r="O127" s="464"/>
      <c r="P127" s="464"/>
      <c r="Q127" s="431"/>
      <c r="R127" s="431"/>
      <c r="S127" s="485"/>
      <c r="T127" s="558"/>
      <c r="U127" s="561"/>
      <c r="V127" s="159" t="s">
        <v>294</v>
      </c>
      <c r="W127" s="26">
        <v>4</v>
      </c>
      <c r="X127" s="56">
        <v>0.08</v>
      </c>
      <c r="Y127" s="160">
        <v>0.38</v>
      </c>
      <c r="Z127" s="158">
        <f t="shared" si="11"/>
        <v>0.115</v>
      </c>
      <c r="AA127" s="542"/>
      <c r="AB127" s="28">
        <v>44197</v>
      </c>
      <c r="AC127" s="92">
        <v>365</v>
      </c>
      <c r="AD127" s="26" t="s">
        <v>60</v>
      </c>
      <c r="AE127" s="93" t="s">
        <v>60</v>
      </c>
      <c r="AF127" s="55">
        <v>7.6999999999999999E-2</v>
      </c>
      <c r="AG127" s="446"/>
      <c r="AH127" s="446"/>
      <c r="AI127" s="447"/>
      <c r="AJ127" s="540"/>
      <c r="AK127" s="540"/>
      <c r="AL127" s="540"/>
      <c r="AM127" s="459"/>
      <c r="AN127" s="447"/>
      <c r="AO127" s="447"/>
      <c r="AP127" s="545"/>
      <c r="AQ127" s="447"/>
      <c r="AR127" s="435"/>
      <c r="AS127" s="19" t="s">
        <v>66</v>
      </c>
      <c r="AT127" s="25" t="s">
        <v>67</v>
      </c>
      <c r="AU127" s="26" t="s">
        <v>68</v>
      </c>
      <c r="AV127" s="25"/>
      <c r="AW127" s="25"/>
    </row>
    <row r="128" spans="1:49" ht="29.25" thickBot="1" x14ac:dyDescent="0.3">
      <c r="A128" s="531"/>
      <c r="B128" s="470"/>
      <c r="C128" s="473"/>
      <c r="D128" s="652"/>
      <c r="E128" s="473"/>
      <c r="F128" s="470"/>
      <c r="G128" s="474"/>
      <c r="H128" s="474"/>
      <c r="I128" s="654"/>
      <c r="J128" s="474"/>
      <c r="K128" s="495"/>
      <c r="L128" s="495"/>
      <c r="M128" s="465"/>
      <c r="N128" s="465"/>
      <c r="O128" s="465"/>
      <c r="P128" s="465"/>
      <c r="Q128" s="459"/>
      <c r="R128" s="459"/>
      <c r="S128" s="485"/>
      <c r="T128" s="558"/>
      <c r="U128" s="561"/>
      <c r="V128" s="159" t="s">
        <v>295</v>
      </c>
      <c r="W128" s="26">
        <v>36</v>
      </c>
      <c r="X128" s="56">
        <v>5</v>
      </c>
      <c r="Y128" s="160">
        <v>14</v>
      </c>
      <c r="Z128" s="158">
        <f t="shared" si="11"/>
        <v>0.52777777777777779</v>
      </c>
      <c r="AA128" s="542"/>
      <c r="AB128" s="28">
        <v>44197</v>
      </c>
      <c r="AC128" s="92">
        <v>365</v>
      </c>
      <c r="AD128" s="26" t="s">
        <v>60</v>
      </c>
      <c r="AE128" s="93" t="s">
        <v>60</v>
      </c>
      <c r="AF128" s="55">
        <v>7.6999999999999999E-2</v>
      </c>
      <c r="AG128" s="446"/>
      <c r="AH128" s="446"/>
      <c r="AI128" s="445" t="s">
        <v>296</v>
      </c>
      <c r="AJ128" s="547">
        <v>1</v>
      </c>
      <c r="AK128" s="547"/>
      <c r="AL128" s="547">
        <v>0</v>
      </c>
      <c r="AM128" s="430">
        <v>0</v>
      </c>
      <c r="AN128" s="445" t="s">
        <v>296</v>
      </c>
      <c r="AO128" s="445" t="s">
        <v>64</v>
      </c>
      <c r="AP128" s="545"/>
      <c r="AQ128" s="445" t="s">
        <v>65</v>
      </c>
      <c r="AR128" s="433">
        <f>AL128</f>
        <v>0</v>
      </c>
      <c r="AS128" s="19" t="s">
        <v>66</v>
      </c>
      <c r="AT128" s="25" t="s">
        <v>67</v>
      </c>
      <c r="AU128" s="26" t="s">
        <v>68</v>
      </c>
      <c r="AV128" s="25"/>
      <c r="AW128" s="25"/>
    </row>
    <row r="129" spans="1:49" ht="57" x14ac:dyDescent="0.25">
      <c r="A129" s="531"/>
      <c r="B129" s="470"/>
      <c r="C129" s="473"/>
      <c r="D129" s="652"/>
      <c r="E129" s="473"/>
      <c r="F129" s="470"/>
      <c r="G129" s="472" t="s">
        <v>297</v>
      </c>
      <c r="H129" s="472" t="s">
        <v>54</v>
      </c>
      <c r="I129" s="472" t="s">
        <v>260</v>
      </c>
      <c r="J129" s="472" t="s">
        <v>298</v>
      </c>
      <c r="K129" s="488">
        <v>4</v>
      </c>
      <c r="L129" s="488">
        <v>1</v>
      </c>
      <c r="M129" s="463">
        <v>0.75</v>
      </c>
      <c r="N129" s="463">
        <v>0.08</v>
      </c>
      <c r="O129" s="463">
        <v>7.0000000000000007E-2</v>
      </c>
      <c r="P129" s="463">
        <f>M129+N129+O129</f>
        <v>0.89999999999999991</v>
      </c>
      <c r="Q129" s="548">
        <f>(N129+O129)/L129</f>
        <v>0.15000000000000002</v>
      </c>
      <c r="R129" s="548">
        <f>+P129/K129</f>
        <v>0.22499999999999998</v>
      </c>
      <c r="S129" s="485"/>
      <c r="T129" s="558"/>
      <c r="U129" s="561"/>
      <c r="V129" s="159" t="s">
        <v>299</v>
      </c>
      <c r="W129" s="26">
        <v>1</v>
      </c>
      <c r="X129" s="56">
        <v>0.15</v>
      </c>
      <c r="Y129" s="160">
        <v>0.6</v>
      </c>
      <c r="Z129" s="158">
        <f t="shared" si="11"/>
        <v>0.75</v>
      </c>
      <c r="AA129" s="542"/>
      <c r="AB129" s="28">
        <v>44197</v>
      </c>
      <c r="AC129" s="92">
        <v>365</v>
      </c>
      <c r="AD129" s="26" t="s">
        <v>60</v>
      </c>
      <c r="AE129" s="93" t="s">
        <v>60</v>
      </c>
      <c r="AF129" s="55">
        <v>7.6999999999999999E-2</v>
      </c>
      <c r="AG129" s="446"/>
      <c r="AH129" s="446"/>
      <c r="AI129" s="446"/>
      <c r="AJ129" s="539"/>
      <c r="AK129" s="539"/>
      <c r="AL129" s="539"/>
      <c r="AM129" s="431"/>
      <c r="AN129" s="446"/>
      <c r="AO129" s="446"/>
      <c r="AP129" s="545"/>
      <c r="AQ129" s="446"/>
      <c r="AR129" s="434"/>
      <c r="AS129" s="19" t="s">
        <v>66</v>
      </c>
      <c r="AT129" s="25" t="s">
        <v>67</v>
      </c>
      <c r="AU129" s="26" t="s">
        <v>68</v>
      </c>
      <c r="AV129" s="25"/>
      <c r="AW129" s="25"/>
    </row>
    <row r="130" spans="1:49" ht="68.25" customHeight="1" x14ac:dyDescent="0.25">
      <c r="A130" s="531"/>
      <c r="B130" s="470"/>
      <c r="C130" s="473"/>
      <c r="D130" s="652"/>
      <c r="E130" s="473"/>
      <c r="F130" s="470"/>
      <c r="G130" s="473"/>
      <c r="H130" s="473"/>
      <c r="I130" s="473"/>
      <c r="J130" s="473"/>
      <c r="K130" s="489"/>
      <c r="L130" s="489"/>
      <c r="M130" s="464"/>
      <c r="N130" s="464"/>
      <c r="O130" s="464"/>
      <c r="P130" s="464"/>
      <c r="Q130" s="549"/>
      <c r="R130" s="549"/>
      <c r="S130" s="485"/>
      <c r="T130" s="558"/>
      <c r="U130" s="561"/>
      <c r="V130" s="159" t="s">
        <v>300</v>
      </c>
      <c r="W130" s="26">
        <v>1</v>
      </c>
      <c r="X130" s="56">
        <v>0.15</v>
      </c>
      <c r="Y130" s="160">
        <v>0</v>
      </c>
      <c r="Z130" s="158">
        <f t="shared" si="11"/>
        <v>0.15</v>
      </c>
      <c r="AA130" s="542"/>
      <c r="AB130" s="28">
        <v>44197</v>
      </c>
      <c r="AC130" s="92">
        <v>365</v>
      </c>
      <c r="AD130" s="26" t="s">
        <v>60</v>
      </c>
      <c r="AE130" s="93" t="s">
        <v>60</v>
      </c>
      <c r="AF130" s="55">
        <v>7.6999999999999999E-2</v>
      </c>
      <c r="AG130" s="446"/>
      <c r="AH130" s="446"/>
      <c r="AI130" s="446"/>
      <c r="AJ130" s="539"/>
      <c r="AK130" s="539"/>
      <c r="AL130" s="539"/>
      <c r="AM130" s="431"/>
      <c r="AN130" s="446"/>
      <c r="AO130" s="446"/>
      <c r="AP130" s="545"/>
      <c r="AQ130" s="446"/>
      <c r="AR130" s="434"/>
      <c r="AS130" s="19" t="s">
        <v>66</v>
      </c>
      <c r="AT130" s="25" t="s">
        <v>67</v>
      </c>
      <c r="AU130" s="26" t="s">
        <v>68</v>
      </c>
      <c r="AV130" s="25"/>
      <c r="AW130" s="25"/>
    </row>
    <row r="131" spans="1:49" ht="28.5" x14ac:dyDescent="0.25">
      <c r="A131" s="531"/>
      <c r="B131" s="470"/>
      <c r="C131" s="473"/>
      <c r="D131" s="652"/>
      <c r="E131" s="473"/>
      <c r="F131" s="470"/>
      <c r="G131" s="473"/>
      <c r="H131" s="473"/>
      <c r="I131" s="473"/>
      <c r="J131" s="473"/>
      <c r="K131" s="489"/>
      <c r="L131" s="489"/>
      <c r="M131" s="464"/>
      <c r="N131" s="464"/>
      <c r="O131" s="464"/>
      <c r="P131" s="464"/>
      <c r="Q131" s="549"/>
      <c r="R131" s="549"/>
      <c r="S131" s="485"/>
      <c r="T131" s="558"/>
      <c r="U131" s="561"/>
      <c r="V131" s="159" t="s">
        <v>301</v>
      </c>
      <c r="W131" s="26">
        <v>1</v>
      </c>
      <c r="X131" s="56">
        <v>0.15</v>
      </c>
      <c r="Y131" s="160">
        <v>0</v>
      </c>
      <c r="Z131" s="158">
        <f t="shared" si="11"/>
        <v>0.15</v>
      </c>
      <c r="AA131" s="542"/>
      <c r="AB131" s="28">
        <v>44197</v>
      </c>
      <c r="AC131" s="92">
        <v>365</v>
      </c>
      <c r="AD131" s="26" t="s">
        <v>60</v>
      </c>
      <c r="AE131" s="93" t="s">
        <v>60</v>
      </c>
      <c r="AF131" s="55">
        <v>7.6999999999999999E-2</v>
      </c>
      <c r="AG131" s="446"/>
      <c r="AH131" s="446"/>
      <c r="AI131" s="446"/>
      <c r="AJ131" s="539"/>
      <c r="AK131" s="539"/>
      <c r="AL131" s="539"/>
      <c r="AM131" s="431"/>
      <c r="AN131" s="446"/>
      <c r="AO131" s="446"/>
      <c r="AP131" s="545"/>
      <c r="AQ131" s="446"/>
      <c r="AR131" s="434"/>
      <c r="AS131" s="19" t="s">
        <v>66</v>
      </c>
      <c r="AT131" s="25" t="s">
        <v>67</v>
      </c>
      <c r="AU131" s="26" t="s">
        <v>68</v>
      </c>
      <c r="AV131" s="25"/>
      <c r="AW131" s="25"/>
    </row>
    <row r="132" spans="1:49" ht="43.5" thickBot="1" x14ac:dyDescent="0.3">
      <c r="A132" s="531"/>
      <c r="B132" s="470"/>
      <c r="C132" s="473"/>
      <c r="D132" s="652"/>
      <c r="E132" s="473"/>
      <c r="F132" s="470"/>
      <c r="G132" s="473"/>
      <c r="H132" s="473"/>
      <c r="I132" s="473"/>
      <c r="J132" s="473"/>
      <c r="K132" s="489"/>
      <c r="L132" s="489"/>
      <c r="M132" s="464"/>
      <c r="N132" s="464"/>
      <c r="O132" s="464"/>
      <c r="P132" s="464"/>
      <c r="Q132" s="549"/>
      <c r="R132" s="549"/>
      <c r="S132" s="485"/>
      <c r="T132" s="558"/>
      <c r="U132" s="561"/>
      <c r="V132" s="159" t="s">
        <v>302</v>
      </c>
      <c r="W132" s="26">
        <v>1</v>
      </c>
      <c r="X132" s="56">
        <v>0.15</v>
      </c>
      <c r="Y132" s="160">
        <v>0</v>
      </c>
      <c r="Z132" s="158">
        <f t="shared" si="11"/>
        <v>0.15</v>
      </c>
      <c r="AA132" s="542"/>
      <c r="AB132" s="28">
        <v>44197</v>
      </c>
      <c r="AC132" s="92">
        <v>365</v>
      </c>
      <c r="AD132" s="26" t="s">
        <v>60</v>
      </c>
      <c r="AE132" s="93" t="s">
        <v>60</v>
      </c>
      <c r="AF132" s="55">
        <v>7.6999999999999999E-2</v>
      </c>
      <c r="AG132" s="446"/>
      <c r="AH132" s="446"/>
      <c r="AI132" s="447"/>
      <c r="AJ132" s="540"/>
      <c r="AK132" s="540"/>
      <c r="AL132" s="540"/>
      <c r="AM132" s="459"/>
      <c r="AN132" s="447"/>
      <c r="AO132" s="447"/>
      <c r="AP132" s="545"/>
      <c r="AQ132" s="447"/>
      <c r="AR132" s="435"/>
      <c r="AS132" s="19" t="s">
        <v>66</v>
      </c>
      <c r="AT132" s="25" t="s">
        <v>67</v>
      </c>
      <c r="AU132" s="26" t="s">
        <v>68</v>
      </c>
      <c r="AV132" s="25"/>
      <c r="AW132" s="25"/>
    </row>
    <row r="133" spans="1:49" ht="100.5" thickBot="1" x14ac:dyDescent="0.3">
      <c r="A133" s="531"/>
      <c r="B133" s="470"/>
      <c r="C133" s="473"/>
      <c r="D133" s="652"/>
      <c r="E133" s="473"/>
      <c r="F133" s="470"/>
      <c r="G133" s="474"/>
      <c r="H133" s="474"/>
      <c r="I133" s="474"/>
      <c r="J133" s="474"/>
      <c r="K133" s="495"/>
      <c r="L133" s="495"/>
      <c r="M133" s="465"/>
      <c r="N133" s="465"/>
      <c r="O133" s="465"/>
      <c r="P133" s="465"/>
      <c r="Q133" s="550"/>
      <c r="R133" s="550"/>
      <c r="S133" s="485"/>
      <c r="T133" s="558"/>
      <c r="U133" s="561"/>
      <c r="V133" s="159" t="s">
        <v>303</v>
      </c>
      <c r="W133" s="26">
        <v>1</v>
      </c>
      <c r="X133" s="56">
        <v>0.15</v>
      </c>
      <c r="Y133" s="160">
        <v>0</v>
      </c>
      <c r="Z133" s="158">
        <f t="shared" si="11"/>
        <v>0.15</v>
      </c>
      <c r="AA133" s="542"/>
      <c r="AB133" s="28">
        <v>44197</v>
      </c>
      <c r="AC133" s="92">
        <v>365</v>
      </c>
      <c r="AD133" s="26" t="s">
        <v>304</v>
      </c>
      <c r="AE133" s="93" t="s">
        <v>60</v>
      </c>
      <c r="AF133" s="55">
        <v>7.6999999999999999E-2</v>
      </c>
      <c r="AG133" s="446"/>
      <c r="AH133" s="446"/>
      <c r="AI133" s="446" t="s">
        <v>73</v>
      </c>
      <c r="AJ133" s="539">
        <v>900000000</v>
      </c>
      <c r="AK133" s="539">
        <v>900000000</v>
      </c>
      <c r="AL133" s="539">
        <v>205800000</v>
      </c>
      <c r="AM133" s="431">
        <f>+AL133/AJ133</f>
        <v>0.22866666666666666</v>
      </c>
      <c r="AN133" s="446" t="s">
        <v>73</v>
      </c>
      <c r="AO133" s="446" t="s">
        <v>64</v>
      </c>
      <c r="AP133" s="545"/>
      <c r="AQ133" s="446" t="s">
        <v>65</v>
      </c>
      <c r="AR133" s="434">
        <f>AL133</f>
        <v>205800000</v>
      </c>
      <c r="AS133" s="19" t="s">
        <v>66</v>
      </c>
      <c r="AT133" s="25" t="s">
        <v>67</v>
      </c>
      <c r="AU133" s="26" t="s">
        <v>68</v>
      </c>
      <c r="AV133" s="25"/>
      <c r="AW133" s="25"/>
    </row>
    <row r="134" spans="1:49" ht="71.25" x14ac:dyDescent="0.25">
      <c r="A134" s="531"/>
      <c r="B134" s="470"/>
      <c r="C134" s="473"/>
      <c r="D134" s="652"/>
      <c r="E134" s="473"/>
      <c r="F134" s="470"/>
      <c r="G134" s="472" t="s">
        <v>305</v>
      </c>
      <c r="H134" s="472" t="s">
        <v>54</v>
      </c>
      <c r="I134" s="472" t="s">
        <v>260</v>
      </c>
      <c r="J134" s="472" t="s">
        <v>306</v>
      </c>
      <c r="K134" s="488">
        <v>2</v>
      </c>
      <c r="L134" s="488">
        <v>1</v>
      </c>
      <c r="M134" s="463">
        <v>1.1499999999999999</v>
      </c>
      <c r="N134" s="463">
        <v>0.31</v>
      </c>
      <c r="O134" s="463">
        <v>0.37</v>
      </c>
      <c r="P134" s="463">
        <f>M134+N134+O134</f>
        <v>1.83</v>
      </c>
      <c r="Q134" s="430">
        <f>+(N134+O134)/L134</f>
        <v>0.67999999999999994</v>
      </c>
      <c r="R134" s="430">
        <f>+P134/K134</f>
        <v>0.91500000000000004</v>
      </c>
      <c r="S134" s="485"/>
      <c r="T134" s="558"/>
      <c r="U134" s="561"/>
      <c r="V134" s="159" t="s">
        <v>307</v>
      </c>
      <c r="W134" s="26">
        <v>1</v>
      </c>
      <c r="X134" s="26">
        <v>0.5</v>
      </c>
      <c r="Y134" s="27">
        <v>0.18</v>
      </c>
      <c r="Z134" s="158">
        <f t="shared" si="11"/>
        <v>0.67999999999999994</v>
      </c>
      <c r="AA134" s="542"/>
      <c r="AB134" s="28">
        <v>44197</v>
      </c>
      <c r="AC134" s="92">
        <v>365</v>
      </c>
      <c r="AD134" s="26" t="s">
        <v>60</v>
      </c>
      <c r="AE134" s="93" t="s">
        <v>60</v>
      </c>
      <c r="AF134" s="55">
        <v>7.6999999999999999E-2</v>
      </c>
      <c r="AG134" s="446"/>
      <c r="AH134" s="446"/>
      <c r="AI134" s="446"/>
      <c r="AJ134" s="539"/>
      <c r="AK134" s="539"/>
      <c r="AL134" s="539"/>
      <c r="AM134" s="431"/>
      <c r="AN134" s="446"/>
      <c r="AO134" s="446"/>
      <c r="AP134" s="545"/>
      <c r="AQ134" s="446"/>
      <c r="AR134" s="434"/>
      <c r="AS134" s="19" t="s">
        <v>66</v>
      </c>
      <c r="AT134" s="25" t="s">
        <v>67</v>
      </c>
      <c r="AU134" s="26" t="s">
        <v>68</v>
      </c>
      <c r="AV134" s="25"/>
      <c r="AW134" s="25"/>
    </row>
    <row r="135" spans="1:49" ht="28.5" x14ac:dyDescent="0.25">
      <c r="A135" s="531"/>
      <c r="B135" s="470"/>
      <c r="C135" s="473"/>
      <c r="D135" s="652"/>
      <c r="E135" s="473"/>
      <c r="F135" s="470"/>
      <c r="G135" s="473"/>
      <c r="H135" s="473"/>
      <c r="I135" s="473"/>
      <c r="J135" s="473"/>
      <c r="K135" s="489"/>
      <c r="L135" s="489"/>
      <c r="M135" s="464"/>
      <c r="N135" s="464"/>
      <c r="O135" s="464"/>
      <c r="P135" s="464"/>
      <c r="Q135" s="431"/>
      <c r="R135" s="431"/>
      <c r="S135" s="485"/>
      <c r="T135" s="558"/>
      <c r="U135" s="561"/>
      <c r="V135" s="159" t="s">
        <v>308</v>
      </c>
      <c r="W135" s="26">
        <v>1</v>
      </c>
      <c r="X135" s="26">
        <v>0.5</v>
      </c>
      <c r="Y135" s="27">
        <v>0</v>
      </c>
      <c r="Z135" s="158">
        <f t="shared" si="11"/>
        <v>0.5</v>
      </c>
      <c r="AA135" s="542"/>
      <c r="AB135" s="28">
        <v>44197</v>
      </c>
      <c r="AC135" s="92">
        <v>365</v>
      </c>
      <c r="AD135" s="26" t="s">
        <v>60</v>
      </c>
      <c r="AE135" s="93" t="s">
        <v>60</v>
      </c>
      <c r="AF135" s="55">
        <v>7.6999999999999999E-2</v>
      </c>
      <c r="AG135" s="446"/>
      <c r="AH135" s="446"/>
      <c r="AI135" s="446"/>
      <c r="AJ135" s="539"/>
      <c r="AK135" s="539"/>
      <c r="AL135" s="539"/>
      <c r="AM135" s="431"/>
      <c r="AN135" s="446"/>
      <c r="AO135" s="446"/>
      <c r="AP135" s="545"/>
      <c r="AQ135" s="446"/>
      <c r="AR135" s="434"/>
      <c r="AS135" s="19" t="s">
        <v>66</v>
      </c>
      <c r="AT135" s="25" t="s">
        <v>309</v>
      </c>
      <c r="AU135" s="26" t="s">
        <v>169</v>
      </c>
      <c r="AV135" s="25"/>
      <c r="AW135" s="25"/>
    </row>
    <row r="136" spans="1:49" ht="29.25" thickBot="1" x14ac:dyDescent="0.3">
      <c r="A136" s="531"/>
      <c r="B136" s="470"/>
      <c r="C136" s="473"/>
      <c r="D136" s="652"/>
      <c r="E136" s="473"/>
      <c r="F136" s="470"/>
      <c r="G136" s="474"/>
      <c r="H136" s="474"/>
      <c r="I136" s="474"/>
      <c r="J136" s="474"/>
      <c r="K136" s="495"/>
      <c r="L136" s="495"/>
      <c r="M136" s="465"/>
      <c r="N136" s="465"/>
      <c r="O136" s="465"/>
      <c r="P136" s="465"/>
      <c r="Q136" s="459"/>
      <c r="R136" s="459"/>
      <c r="S136" s="485"/>
      <c r="T136" s="559"/>
      <c r="U136" s="562"/>
      <c r="V136" s="163" t="s">
        <v>310</v>
      </c>
      <c r="W136" s="26">
        <v>1</v>
      </c>
      <c r="X136" s="26">
        <v>0.5</v>
      </c>
      <c r="Y136" s="27">
        <v>0</v>
      </c>
      <c r="Z136" s="158">
        <f t="shared" si="11"/>
        <v>0.5</v>
      </c>
      <c r="AA136" s="543"/>
      <c r="AB136" s="35">
        <v>44197</v>
      </c>
      <c r="AC136" s="143">
        <v>365</v>
      </c>
      <c r="AD136" s="44" t="s">
        <v>60</v>
      </c>
      <c r="AE136" s="106" t="s">
        <v>60</v>
      </c>
      <c r="AF136" s="107">
        <v>7.6999999999999999E-2</v>
      </c>
      <c r="AG136" s="447"/>
      <c r="AH136" s="447"/>
      <c r="AI136" s="447"/>
      <c r="AJ136" s="540"/>
      <c r="AK136" s="540"/>
      <c r="AL136" s="540"/>
      <c r="AM136" s="459"/>
      <c r="AN136" s="447"/>
      <c r="AO136" s="447"/>
      <c r="AP136" s="546"/>
      <c r="AQ136" s="447"/>
      <c r="AR136" s="435"/>
      <c r="AS136" s="71" t="s">
        <v>66</v>
      </c>
      <c r="AT136" s="32" t="s">
        <v>67</v>
      </c>
      <c r="AU136" s="33" t="s">
        <v>68</v>
      </c>
      <c r="AV136" s="32"/>
      <c r="AW136" s="32"/>
    </row>
    <row r="137" spans="1:49" ht="99.75" customHeight="1" thickBot="1" x14ac:dyDescent="0.3">
      <c r="A137" s="531"/>
      <c r="B137" s="470"/>
      <c r="C137" s="473"/>
      <c r="D137" s="652"/>
      <c r="E137" s="473"/>
      <c r="F137" s="471"/>
      <c r="G137" s="551" t="s">
        <v>311</v>
      </c>
      <c r="H137" s="552"/>
      <c r="I137" s="552"/>
      <c r="J137" s="552"/>
      <c r="K137" s="552"/>
      <c r="L137" s="552"/>
      <c r="M137" s="552"/>
      <c r="N137" s="552"/>
      <c r="O137" s="552"/>
      <c r="P137" s="553"/>
      <c r="Q137" s="226">
        <f>AVERAGE(Q124:Q136)</f>
        <v>0.5033333333333333</v>
      </c>
      <c r="R137" s="226">
        <f>AVERAGE(R124:R136)</f>
        <v>0.5658333333333333</v>
      </c>
      <c r="S137" s="524"/>
      <c r="T137" s="554" t="s">
        <v>312</v>
      </c>
      <c r="U137" s="555"/>
      <c r="V137" s="555"/>
      <c r="W137" s="555"/>
      <c r="X137" s="555"/>
      <c r="Y137" s="555"/>
      <c r="Z137" s="556"/>
      <c r="AA137" s="164">
        <f>+AA124</f>
        <v>0.50284722222222222</v>
      </c>
      <c r="AB137" s="129"/>
      <c r="AC137" s="130"/>
      <c r="AD137" s="165"/>
      <c r="AE137" s="62"/>
      <c r="AF137" s="240"/>
      <c r="AG137" s="239"/>
      <c r="AH137" s="66"/>
      <c r="AI137" s="66"/>
      <c r="AJ137" s="162"/>
      <c r="AK137" s="162"/>
      <c r="AL137" s="162"/>
      <c r="AM137" s="162"/>
      <c r="AN137" s="66"/>
      <c r="AO137" s="67"/>
      <c r="AP137" s="68"/>
      <c r="AQ137" s="67"/>
      <c r="AR137" s="69"/>
      <c r="AS137" s="71"/>
      <c r="AT137" s="70"/>
      <c r="AU137" s="71"/>
      <c r="AV137" s="70"/>
      <c r="AW137" s="70"/>
    </row>
    <row r="138" spans="1:49" ht="82.5" customHeight="1" x14ac:dyDescent="0.25">
      <c r="A138" s="531"/>
      <c r="B138" s="470"/>
      <c r="C138" s="473"/>
      <c r="D138" s="652"/>
      <c r="E138" s="473"/>
      <c r="F138" s="530" t="s">
        <v>313</v>
      </c>
      <c r="G138" s="533" t="s">
        <v>314</v>
      </c>
      <c r="H138" s="533" t="s">
        <v>54</v>
      </c>
      <c r="I138" s="533" t="s">
        <v>315</v>
      </c>
      <c r="J138" s="533" t="s">
        <v>316</v>
      </c>
      <c r="K138" s="469">
        <v>90</v>
      </c>
      <c r="L138" s="469">
        <v>30</v>
      </c>
      <c r="M138" s="469">
        <v>49</v>
      </c>
      <c r="N138" s="469">
        <v>9</v>
      </c>
      <c r="O138" s="469">
        <v>5</v>
      </c>
      <c r="P138" s="469">
        <f>M138+N138+O138</f>
        <v>63</v>
      </c>
      <c r="Q138" s="430">
        <f>(N138+O138)/L138</f>
        <v>0.46666666666666667</v>
      </c>
      <c r="R138" s="430">
        <f>+P138/K138</f>
        <v>0.7</v>
      </c>
      <c r="S138" s="491" t="s">
        <v>317</v>
      </c>
      <c r="T138" s="503">
        <v>2020130010179</v>
      </c>
      <c r="U138" s="503" t="s">
        <v>318</v>
      </c>
      <c r="V138" s="18" t="s">
        <v>319</v>
      </c>
      <c r="W138" s="19">
        <v>1</v>
      </c>
      <c r="X138" s="19">
        <v>1</v>
      </c>
      <c r="Y138" s="166">
        <v>1</v>
      </c>
      <c r="Z138" s="51">
        <v>1</v>
      </c>
      <c r="AA138" s="520">
        <f>AVERAGE(Z138:Z154)</f>
        <v>0.67254901960784319</v>
      </c>
      <c r="AB138" s="22">
        <v>44589</v>
      </c>
      <c r="AC138" s="145">
        <v>365</v>
      </c>
      <c r="AD138" s="156">
        <v>4</v>
      </c>
      <c r="AE138" s="62">
        <v>4</v>
      </c>
      <c r="AF138" s="63">
        <v>0.02</v>
      </c>
      <c r="AG138" s="494" t="s">
        <v>320</v>
      </c>
      <c r="AH138" s="445" t="s">
        <v>321</v>
      </c>
      <c r="AI138" s="445" t="s">
        <v>63</v>
      </c>
      <c r="AJ138" s="433">
        <v>150000000</v>
      </c>
      <c r="AK138" s="433">
        <v>150000000</v>
      </c>
      <c r="AL138" s="433">
        <v>86800000</v>
      </c>
      <c r="AM138" s="430">
        <f>+AL138/AJ138</f>
        <v>0.57866666666666666</v>
      </c>
      <c r="AN138" s="445" t="s">
        <v>63</v>
      </c>
      <c r="AO138" s="503" t="s">
        <v>64</v>
      </c>
      <c r="AP138" s="668"/>
      <c r="AQ138" s="503" t="s">
        <v>65</v>
      </c>
      <c r="AR138" s="665">
        <f>AL138</f>
        <v>86800000</v>
      </c>
      <c r="AS138" s="41" t="s">
        <v>66</v>
      </c>
      <c r="AT138" s="18" t="s">
        <v>67</v>
      </c>
      <c r="AU138" s="19" t="s">
        <v>68</v>
      </c>
      <c r="AV138" s="18"/>
      <c r="AW138" s="18"/>
    </row>
    <row r="139" spans="1:49" ht="80.25" customHeight="1" x14ac:dyDescent="0.25">
      <c r="A139" s="531"/>
      <c r="B139" s="470"/>
      <c r="C139" s="473"/>
      <c r="D139" s="652"/>
      <c r="E139" s="473"/>
      <c r="F139" s="531"/>
      <c r="G139" s="534"/>
      <c r="H139" s="534"/>
      <c r="I139" s="534"/>
      <c r="J139" s="534"/>
      <c r="K139" s="470"/>
      <c r="L139" s="470"/>
      <c r="M139" s="470"/>
      <c r="N139" s="470"/>
      <c r="O139" s="470"/>
      <c r="P139" s="470"/>
      <c r="Q139" s="431"/>
      <c r="R139" s="431"/>
      <c r="S139" s="492"/>
      <c r="T139" s="504"/>
      <c r="U139" s="504"/>
      <c r="V139" s="167" t="s">
        <v>322</v>
      </c>
      <c r="W139" s="168">
        <v>4</v>
      </c>
      <c r="X139" s="168">
        <v>1</v>
      </c>
      <c r="Y139" s="169">
        <v>2</v>
      </c>
      <c r="Z139" s="133">
        <f t="shared" ref="Z139:Z154" si="12">(X139+Y139)/W139</f>
        <v>0.75</v>
      </c>
      <c r="AA139" s="521"/>
      <c r="AB139" s="28">
        <v>44596</v>
      </c>
      <c r="AC139" s="170">
        <v>120</v>
      </c>
      <c r="AD139" s="26">
        <v>80</v>
      </c>
      <c r="AE139" s="123">
        <v>20</v>
      </c>
      <c r="AF139" s="171">
        <v>0.02</v>
      </c>
      <c r="AG139" s="446"/>
      <c r="AH139" s="446"/>
      <c r="AI139" s="446"/>
      <c r="AJ139" s="434"/>
      <c r="AK139" s="434"/>
      <c r="AL139" s="434"/>
      <c r="AM139" s="431"/>
      <c r="AN139" s="446"/>
      <c r="AO139" s="504"/>
      <c r="AP139" s="669"/>
      <c r="AQ139" s="504"/>
      <c r="AR139" s="666"/>
      <c r="AS139" s="19" t="s">
        <v>66</v>
      </c>
      <c r="AT139" s="167" t="s">
        <v>67</v>
      </c>
      <c r="AU139" s="168" t="s">
        <v>68</v>
      </c>
      <c r="AV139" s="167"/>
      <c r="AW139" s="167"/>
    </row>
    <row r="140" spans="1:49" ht="51" x14ac:dyDescent="0.25">
      <c r="A140" s="531"/>
      <c r="B140" s="470"/>
      <c r="C140" s="473"/>
      <c r="D140" s="652"/>
      <c r="E140" s="473"/>
      <c r="F140" s="531"/>
      <c r="G140" s="534"/>
      <c r="H140" s="534"/>
      <c r="I140" s="534"/>
      <c r="J140" s="534"/>
      <c r="K140" s="470"/>
      <c r="L140" s="470"/>
      <c r="M140" s="470"/>
      <c r="N140" s="470"/>
      <c r="O140" s="470"/>
      <c r="P140" s="470"/>
      <c r="Q140" s="431"/>
      <c r="R140" s="431"/>
      <c r="S140" s="492"/>
      <c r="T140" s="504"/>
      <c r="U140" s="504"/>
      <c r="V140" s="167" t="s">
        <v>323</v>
      </c>
      <c r="W140" s="168">
        <v>4</v>
      </c>
      <c r="X140" s="168">
        <v>2</v>
      </c>
      <c r="Y140" s="169">
        <v>2</v>
      </c>
      <c r="Z140" s="133">
        <f t="shared" si="12"/>
        <v>1</v>
      </c>
      <c r="AA140" s="521"/>
      <c r="AB140" s="28">
        <v>44593</v>
      </c>
      <c r="AC140" s="170">
        <v>365</v>
      </c>
      <c r="AD140" s="26">
        <v>30</v>
      </c>
      <c r="AE140" s="123">
        <v>7</v>
      </c>
      <c r="AF140" s="171">
        <v>0.1</v>
      </c>
      <c r="AG140" s="446"/>
      <c r="AH140" s="446"/>
      <c r="AI140" s="446"/>
      <c r="AJ140" s="434"/>
      <c r="AK140" s="434"/>
      <c r="AL140" s="434"/>
      <c r="AM140" s="431"/>
      <c r="AN140" s="446"/>
      <c r="AO140" s="504"/>
      <c r="AP140" s="669"/>
      <c r="AQ140" s="504"/>
      <c r="AR140" s="666"/>
      <c r="AS140" s="19" t="s">
        <v>66</v>
      </c>
      <c r="AT140" s="167" t="s">
        <v>67</v>
      </c>
      <c r="AU140" s="168" t="s">
        <v>68</v>
      </c>
      <c r="AV140" s="167"/>
      <c r="AW140" s="167"/>
    </row>
    <row r="141" spans="1:49" ht="50.25" customHeight="1" x14ac:dyDescent="0.25">
      <c r="A141" s="531"/>
      <c r="B141" s="470"/>
      <c r="C141" s="473"/>
      <c r="D141" s="652"/>
      <c r="E141" s="473"/>
      <c r="F141" s="531"/>
      <c r="G141" s="534"/>
      <c r="H141" s="534"/>
      <c r="I141" s="534"/>
      <c r="J141" s="534"/>
      <c r="K141" s="470"/>
      <c r="L141" s="470"/>
      <c r="M141" s="470"/>
      <c r="N141" s="470"/>
      <c r="O141" s="470"/>
      <c r="P141" s="470"/>
      <c r="Q141" s="431"/>
      <c r="R141" s="431"/>
      <c r="S141" s="492"/>
      <c r="T141" s="504"/>
      <c r="U141" s="504"/>
      <c r="V141" s="167" t="s">
        <v>324</v>
      </c>
      <c r="W141" s="168">
        <v>30</v>
      </c>
      <c r="X141" s="168">
        <v>7</v>
      </c>
      <c r="Y141" s="169">
        <v>15</v>
      </c>
      <c r="Z141" s="133">
        <f t="shared" si="12"/>
        <v>0.73333333333333328</v>
      </c>
      <c r="AA141" s="521"/>
      <c r="AB141" s="28">
        <v>44589</v>
      </c>
      <c r="AC141" s="170">
        <v>365</v>
      </c>
      <c r="AD141" s="26">
        <v>30</v>
      </c>
      <c r="AE141" s="123">
        <v>7</v>
      </c>
      <c r="AF141" s="171">
        <v>0.1</v>
      </c>
      <c r="AG141" s="446"/>
      <c r="AH141" s="446"/>
      <c r="AI141" s="446"/>
      <c r="AJ141" s="434"/>
      <c r="AK141" s="434"/>
      <c r="AL141" s="434"/>
      <c r="AM141" s="431"/>
      <c r="AN141" s="446"/>
      <c r="AO141" s="504"/>
      <c r="AP141" s="669"/>
      <c r="AQ141" s="504"/>
      <c r="AR141" s="666"/>
      <c r="AS141" s="19" t="s">
        <v>66</v>
      </c>
      <c r="AT141" s="167" t="s">
        <v>67</v>
      </c>
      <c r="AU141" s="168" t="s">
        <v>68</v>
      </c>
      <c r="AV141" s="167"/>
      <c r="AW141" s="167"/>
    </row>
    <row r="142" spans="1:49" ht="38.25" x14ac:dyDescent="0.25">
      <c r="A142" s="531"/>
      <c r="B142" s="470"/>
      <c r="C142" s="473"/>
      <c r="D142" s="652"/>
      <c r="E142" s="473"/>
      <c r="F142" s="531"/>
      <c r="G142" s="534"/>
      <c r="H142" s="534"/>
      <c r="I142" s="534"/>
      <c r="J142" s="534"/>
      <c r="K142" s="470"/>
      <c r="L142" s="470"/>
      <c r="M142" s="470"/>
      <c r="N142" s="470"/>
      <c r="O142" s="470"/>
      <c r="P142" s="470"/>
      <c r="Q142" s="431"/>
      <c r="R142" s="431"/>
      <c r="S142" s="492"/>
      <c r="T142" s="504"/>
      <c r="U142" s="504"/>
      <c r="V142" s="167" t="s">
        <v>325</v>
      </c>
      <c r="W142" s="168">
        <v>30</v>
      </c>
      <c r="X142" s="168">
        <v>2</v>
      </c>
      <c r="Y142" s="169">
        <v>10</v>
      </c>
      <c r="Z142" s="133">
        <f t="shared" si="12"/>
        <v>0.4</v>
      </c>
      <c r="AA142" s="521"/>
      <c r="AB142" s="28">
        <v>44593</v>
      </c>
      <c r="AC142" s="170">
        <v>365</v>
      </c>
      <c r="AD142" s="26">
        <v>30</v>
      </c>
      <c r="AE142" s="123">
        <v>2</v>
      </c>
      <c r="AF142" s="171">
        <v>0.1</v>
      </c>
      <c r="AG142" s="446"/>
      <c r="AH142" s="446"/>
      <c r="AI142" s="446"/>
      <c r="AJ142" s="434"/>
      <c r="AK142" s="434"/>
      <c r="AL142" s="434"/>
      <c r="AM142" s="431"/>
      <c r="AN142" s="446"/>
      <c r="AO142" s="504"/>
      <c r="AP142" s="669"/>
      <c r="AQ142" s="504"/>
      <c r="AR142" s="666"/>
      <c r="AS142" s="19" t="s">
        <v>66</v>
      </c>
      <c r="AT142" s="167" t="s">
        <v>67</v>
      </c>
      <c r="AU142" s="168" t="s">
        <v>68</v>
      </c>
      <c r="AV142" s="167"/>
      <c r="AW142" s="167"/>
    </row>
    <row r="143" spans="1:49" ht="38.25" x14ac:dyDescent="0.25">
      <c r="A143" s="531"/>
      <c r="B143" s="470"/>
      <c r="C143" s="473"/>
      <c r="D143" s="652"/>
      <c r="E143" s="473"/>
      <c r="F143" s="531"/>
      <c r="G143" s="534"/>
      <c r="H143" s="534"/>
      <c r="I143" s="534"/>
      <c r="J143" s="534"/>
      <c r="K143" s="470"/>
      <c r="L143" s="470"/>
      <c r="M143" s="470"/>
      <c r="N143" s="470"/>
      <c r="O143" s="470"/>
      <c r="P143" s="470"/>
      <c r="Q143" s="431"/>
      <c r="R143" s="431"/>
      <c r="S143" s="492"/>
      <c r="T143" s="504"/>
      <c r="U143" s="504"/>
      <c r="V143" s="167" t="s">
        <v>326</v>
      </c>
      <c r="W143" s="168">
        <v>4</v>
      </c>
      <c r="X143" s="168">
        <v>2</v>
      </c>
      <c r="Y143" s="169">
        <v>1</v>
      </c>
      <c r="Z143" s="133">
        <f t="shared" si="12"/>
        <v>0.75</v>
      </c>
      <c r="AA143" s="521"/>
      <c r="AB143" s="28">
        <v>44607</v>
      </c>
      <c r="AC143" s="170">
        <v>240</v>
      </c>
      <c r="AD143" s="26">
        <v>500</v>
      </c>
      <c r="AE143" s="123">
        <v>120</v>
      </c>
      <c r="AF143" s="171">
        <v>0.1</v>
      </c>
      <c r="AG143" s="446"/>
      <c r="AH143" s="446"/>
      <c r="AI143" s="446"/>
      <c r="AJ143" s="434"/>
      <c r="AK143" s="434"/>
      <c r="AL143" s="434"/>
      <c r="AM143" s="431"/>
      <c r="AN143" s="446"/>
      <c r="AO143" s="504"/>
      <c r="AP143" s="669"/>
      <c r="AQ143" s="504"/>
      <c r="AR143" s="666"/>
      <c r="AS143" s="19" t="s">
        <v>66</v>
      </c>
      <c r="AT143" s="167" t="s">
        <v>67</v>
      </c>
      <c r="AU143" s="168" t="s">
        <v>68</v>
      </c>
      <c r="AV143" s="167"/>
      <c r="AW143" s="167"/>
    </row>
    <row r="144" spans="1:49" ht="33.75" customHeight="1" x14ac:dyDescent="0.25">
      <c r="A144" s="531"/>
      <c r="B144" s="470"/>
      <c r="C144" s="473"/>
      <c r="D144" s="652"/>
      <c r="E144" s="473"/>
      <c r="F144" s="531"/>
      <c r="G144" s="534"/>
      <c r="H144" s="534"/>
      <c r="I144" s="534"/>
      <c r="J144" s="534"/>
      <c r="K144" s="470"/>
      <c r="L144" s="470"/>
      <c r="M144" s="470"/>
      <c r="N144" s="470"/>
      <c r="O144" s="470"/>
      <c r="P144" s="470"/>
      <c r="Q144" s="431"/>
      <c r="R144" s="431"/>
      <c r="S144" s="492"/>
      <c r="T144" s="504"/>
      <c r="U144" s="504"/>
      <c r="V144" s="167" t="s">
        <v>327</v>
      </c>
      <c r="W144" s="168">
        <v>4</v>
      </c>
      <c r="X144" s="168">
        <v>0</v>
      </c>
      <c r="Y144" s="169">
        <v>0</v>
      </c>
      <c r="Z144" s="133">
        <f t="shared" si="12"/>
        <v>0</v>
      </c>
      <c r="AA144" s="521"/>
      <c r="AB144" s="28">
        <v>44696</v>
      </c>
      <c r="AC144" s="170">
        <v>200</v>
      </c>
      <c r="AD144" s="26">
        <v>200</v>
      </c>
      <c r="AE144" s="123">
        <v>0</v>
      </c>
      <c r="AF144" s="171">
        <v>0.04</v>
      </c>
      <c r="AG144" s="446"/>
      <c r="AH144" s="446"/>
      <c r="AI144" s="446"/>
      <c r="AJ144" s="434"/>
      <c r="AK144" s="434"/>
      <c r="AL144" s="434"/>
      <c r="AM144" s="431"/>
      <c r="AN144" s="446"/>
      <c r="AO144" s="504"/>
      <c r="AP144" s="669"/>
      <c r="AQ144" s="504"/>
      <c r="AR144" s="666"/>
      <c r="AS144" s="19" t="s">
        <v>66</v>
      </c>
      <c r="AT144" s="167" t="s">
        <v>67</v>
      </c>
      <c r="AU144" s="168" t="s">
        <v>68</v>
      </c>
      <c r="AV144" s="167"/>
      <c r="AW144" s="167"/>
    </row>
    <row r="145" spans="1:49" ht="32.25" customHeight="1" x14ac:dyDescent="0.25">
      <c r="A145" s="531"/>
      <c r="B145" s="470"/>
      <c r="C145" s="473"/>
      <c r="D145" s="652"/>
      <c r="E145" s="473"/>
      <c r="F145" s="531"/>
      <c r="G145" s="534"/>
      <c r="H145" s="534"/>
      <c r="I145" s="534"/>
      <c r="J145" s="534"/>
      <c r="K145" s="470"/>
      <c r="L145" s="470"/>
      <c r="M145" s="470"/>
      <c r="N145" s="470"/>
      <c r="O145" s="470"/>
      <c r="P145" s="470"/>
      <c r="Q145" s="431"/>
      <c r="R145" s="431"/>
      <c r="S145" s="492"/>
      <c r="T145" s="504"/>
      <c r="U145" s="504"/>
      <c r="V145" s="167" t="s">
        <v>328</v>
      </c>
      <c r="W145" s="168">
        <v>1</v>
      </c>
      <c r="X145" s="168">
        <v>1</v>
      </c>
      <c r="Y145" s="169">
        <v>1</v>
      </c>
      <c r="Z145" s="133">
        <v>1</v>
      </c>
      <c r="AA145" s="521"/>
      <c r="AB145" s="28">
        <v>44607</v>
      </c>
      <c r="AC145" s="170">
        <v>1</v>
      </c>
      <c r="AD145" s="26">
        <v>0</v>
      </c>
      <c r="AE145" s="123">
        <v>0</v>
      </c>
      <c r="AF145" s="171">
        <v>0.02</v>
      </c>
      <c r="AG145" s="446"/>
      <c r="AH145" s="446"/>
      <c r="AI145" s="446"/>
      <c r="AJ145" s="434"/>
      <c r="AK145" s="434"/>
      <c r="AL145" s="434"/>
      <c r="AM145" s="431"/>
      <c r="AN145" s="446"/>
      <c r="AO145" s="504"/>
      <c r="AP145" s="669"/>
      <c r="AQ145" s="504"/>
      <c r="AR145" s="666"/>
      <c r="AS145" s="19" t="s">
        <v>66</v>
      </c>
      <c r="AT145" s="167" t="s">
        <v>67</v>
      </c>
      <c r="AU145" s="168" t="s">
        <v>68</v>
      </c>
      <c r="AV145" s="167"/>
      <c r="AW145" s="167"/>
    </row>
    <row r="146" spans="1:49" ht="43.5" customHeight="1" x14ac:dyDescent="0.25">
      <c r="A146" s="531"/>
      <c r="B146" s="470"/>
      <c r="C146" s="473"/>
      <c r="D146" s="652"/>
      <c r="E146" s="473"/>
      <c r="F146" s="531"/>
      <c r="G146" s="534"/>
      <c r="H146" s="534"/>
      <c r="I146" s="534"/>
      <c r="J146" s="534"/>
      <c r="K146" s="470"/>
      <c r="L146" s="470"/>
      <c r="M146" s="470"/>
      <c r="N146" s="470"/>
      <c r="O146" s="470"/>
      <c r="P146" s="470"/>
      <c r="Q146" s="431"/>
      <c r="R146" s="431"/>
      <c r="S146" s="492"/>
      <c r="T146" s="504"/>
      <c r="U146" s="504"/>
      <c r="V146" s="167" t="s">
        <v>329</v>
      </c>
      <c r="W146" s="168">
        <v>1</v>
      </c>
      <c r="X146" s="168">
        <v>1</v>
      </c>
      <c r="Y146" s="169">
        <v>1</v>
      </c>
      <c r="Z146" s="133">
        <v>1</v>
      </c>
      <c r="AA146" s="521"/>
      <c r="AB146" s="28">
        <v>44607</v>
      </c>
      <c r="AC146" s="170">
        <v>10</v>
      </c>
      <c r="AD146" s="26">
        <v>0</v>
      </c>
      <c r="AE146" s="123">
        <v>0</v>
      </c>
      <c r="AF146" s="171">
        <v>0.03</v>
      </c>
      <c r="AG146" s="446"/>
      <c r="AH146" s="446"/>
      <c r="AI146" s="446"/>
      <c r="AJ146" s="434"/>
      <c r="AK146" s="434"/>
      <c r="AL146" s="434"/>
      <c r="AM146" s="431"/>
      <c r="AN146" s="446"/>
      <c r="AO146" s="504"/>
      <c r="AP146" s="669"/>
      <c r="AQ146" s="504"/>
      <c r="AR146" s="666"/>
      <c r="AS146" s="19" t="s">
        <v>66</v>
      </c>
      <c r="AT146" s="167" t="s">
        <v>67</v>
      </c>
      <c r="AU146" s="168" t="s">
        <v>68</v>
      </c>
      <c r="AV146" s="167"/>
      <c r="AW146" s="167"/>
    </row>
    <row r="147" spans="1:49" ht="45.95" customHeight="1" x14ac:dyDescent="0.25">
      <c r="A147" s="531"/>
      <c r="B147" s="470"/>
      <c r="C147" s="473"/>
      <c r="D147" s="652"/>
      <c r="E147" s="473"/>
      <c r="F147" s="531"/>
      <c r="G147" s="534"/>
      <c r="H147" s="534"/>
      <c r="I147" s="534"/>
      <c r="J147" s="534"/>
      <c r="K147" s="470"/>
      <c r="L147" s="470"/>
      <c r="M147" s="470"/>
      <c r="N147" s="470"/>
      <c r="O147" s="470"/>
      <c r="P147" s="470"/>
      <c r="Q147" s="431"/>
      <c r="R147" s="431"/>
      <c r="S147" s="492"/>
      <c r="T147" s="504"/>
      <c r="U147" s="504"/>
      <c r="V147" s="167" t="s">
        <v>330</v>
      </c>
      <c r="W147" s="168">
        <v>1</v>
      </c>
      <c r="X147" s="168">
        <v>0</v>
      </c>
      <c r="Y147" s="169">
        <v>1</v>
      </c>
      <c r="Z147" s="133">
        <f t="shared" si="12"/>
        <v>1</v>
      </c>
      <c r="AA147" s="521"/>
      <c r="AB147" s="28">
        <v>44701</v>
      </c>
      <c r="AC147" s="170">
        <v>10</v>
      </c>
      <c r="AD147" s="26">
        <v>0</v>
      </c>
      <c r="AE147" s="123">
        <v>0</v>
      </c>
      <c r="AF147" s="171">
        <v>0.02</v>
      </c>
      <c r="AG147" s="446"/>
      <c r="AH147" s="446"/>
      <c r="AI147" s="446"/>
      <c r="AJ147" s="434"/>
      <c r="AK147" s="434"/>
      <c r="AL147" s="434"/>
      <c r="AM147" s="431"/>
      <c r="AN147" s="446"/>
      <c r="AO147" s="504"/>
      <c r="AP147" s="669"/>
      <c r="AQ147" s="504"/>
      <c r="AR147" s="666"/>
      <c r="AS147" s="19" t="s">
        <v>66</v>
      </c>
      <c r="AT147" s="167" t="s">
        <v>67</v>
      </c>
      <c r="AU147" s="168" t="s">
        <v>68</v>
      </c>
      <c r="AV147" s="167"/>
      <c r="AW147" s="167"/>
    </row>
    <row r="148" spans="1:49" ht="56.45" customHeight="1" thickBot="1" x14ac:dyDescent="0.3">
      <c r="A148" s="531"/>
      <c r="B148" s="470"/>
      <c r="C148" s="473"/>
      <c r="D148" s="652"/>
      <c r="E148" s="473"/>
      <c r="F148" s="531"/>
      <c r="G148" s="534"/>
      <c r="H148" s="534"/>
      <c r="I148" s="534"/>
      <c r="J148" s="534"/>
      <c r="K148" s="470"/>
      <c r="L148" s="471"/>
      <c r="M148" s="471"/>
      <c r="N148" s="471"/>
      <c r="O148" s="471"/>
      <c r="P148" s="471"/>
      <c r="Q148" s="431"/>
      <c r="R148" s="431"/>
      <c r="S148" s="492"/>
      <c r="T148" s="504"/>
      <c r="U148" s="504"/>
      <c r="V148" s="167" t="s">
        <v>331</v>
      </c>
      <c r="W148" s="168">
        <v>10</v>
      </c>
      <c r="X148" s="168">
        <v>4</v>
      </c>
      <c r="Y148" s="169">
        <v>5</v>
      </c>
      <c r="Z148" s="133">
        <f t="shared" si="12"/>
        <v>0.9</v>
      </c>
      <c r="AA148" s="521"/>
      <c r="AB148" s="28">
        <v>44589</v>
      </c>
      <c r="AC148" s="170">
        <v>200</v>
      </c>
      <c r="AD148" s="26">
        <v>2000</v>
      </c>
      <c r="AE148" s="123">
        <v>190</v>
      </c>
      <c r="AF148" s="171">
        <v>0.05</v>
      </c>
      <c r="AG148" s="446"/>
      <c r="AH148" s="446"/>
      <c r="AI148" s="446"/>
      <c r="AJ148" s="434"/>
      <c r="AK148" s="434"/>
      <c r="AL148" s="434"/>
      <c r="AM148" s="431"/>
      <c r="AN148" s="446"/>
      <c r="AO148" s="504"/>
      <c r="AP148" s="669"/>
      <c r="AQ148" s="504"/>
      <c r="AR148" s="666"/>
      <c r="AS148" s="19" t="s">
        <v>66</v>
      </c>
      <c r="AT148" s="167" t="s">
        <v>67</v>
      </c>
      <c r="AU148" s="168" t="s">
        <v>68</v>
      </c>
      <c r="AV148" s="167"/>
      <c r="AW148" s="167"/>
    </row>
    <row r="149" spans="1:49" ht="57.75" thickBot="1" x14ac:dyDescent="0.3">
      <c r="A149" s="531"/>
      <c r="B149" s="470"/>
      <c r="C149" s="473"/>
      <c r="D149" s="652"/>
      <c r="E149" s="473"/>
      <c r="F149" s="531"/>
      <c r="G149" s="172" t="s">
        <v>332</v>
      </c>
      <c r="H149" s="172" t="s">
        <v>54</v>
      </c>
      <c r="I149" s="173" t="s">
        <v>333</v>
      </c>
      <c r="J149" s="172" t="s">
        <v>334</v>
      </c>
      <c r="K149" s="174">
        <v>90</v>
      </c>
      <c r="L149" s="140">
        <v>30</v>
      </c>
      <c r="M149" s="140">
        <v>38</v>
      </c>
      <c r="N149" s="140">
        <v>0</v>
      </c>
      <c r="O149" s="140">
        <v>5</v>
      </c>
      <c r="P149" s="175">
        <f>M149+N149+O149</f>
        <v>43</v>
      </c>
      <c r="Q149" s="232">
        <f>+(N149+O149)/L149</f>
        <v>0.16666666666666666</v>
      </c>
      <c r="R149" s="233">
        <f>+P149/K149</f>
        <v>0.4777777777777778</v>
      </c>
      <c r="S149" s="492"/>
      <c r="T149" s="504"/>
      <c r="U149" s="504"/>
      <c r="V149" s="176" t="s">
        <v>335</v>
      </c>
      <c r="W149" s="168">
        <v>30</v>
      </c>
      <c r="X149" s="168">
        <v>0</v>
      </c>
      <c r="Y149" s="169">
        <v>5</v>
      </c>
      <c r="Z149" s="133">
        <f t="shared" si="12"/>
        <v>0.16666666666666666</v>
      </c>
      <c r="AA149" s="521"/>
      <c r="AB149" s="28">
        <v>44752</v>
      </c>
      <c r="AC149" s="170">
        <v>10</v>
      </c>
      <c r="AD149" s="168">
        <v>30</v>
      </c>
      <c r="AE149" s="177">
        <v>0</v>
      </c>
      <c r="AF149" s="171">
        <v>0.08</v>
      </c>
      <c r="AG149" s="446"/>
      <c r="AH149" s="446"/>
      <c r="AI149" s="446"/>
      <c r="AJ149" s="434"/>
      <c r="AK149" s="434"/>
      <c r="AL149" s="434"/>
      <c r="AM149" s="431"/>
      <c r="AN149" s="446"/>
      <c r="AO149" s="504"/>
      <c r="AP149" s="669"/>
      <c r="AQ149" s="504"/>
      <c r="AR149" s="666"/>
      <c r="AS149" s="19" t="s">
        <v>336</v>
      </c>
      <c r="AT149" s="167"/>
      <c r="AU149" s="168"/>
      <c r="AV149" s="167"/>
      <c r="AW149" s="167"/>
    </row>
    <row r="150" spans="1:49" ht="42.75" x14ac:dyDescent="0.25">
      <c r="A150" s="531"/>
      <c r="B150" s="470"/>
      <c r="C150" s="473"/>
      <c r="D150" s="652"/>
      <c r="E150" s="473"/>
      <c r="F150" s="531"/>
      <c r="G150" s="533" t="s">
        <v>337</v>
      </c>
      <c r="H150" s="533" t="s">
        <v>54</v>
      </c>
      <c r="I150" s="533" t="s">
        <v>240</v>
      </c>
      <c r="J150" s="533" t="s">
        <v>338</v>
      </c>
      <c r="K150" s="469">
        <v>3</v>
      </c>
      <c r="L150" s="469">
        <v>1</v>
      </c>
      <c r="M150" s="469">
        <v>1</v>
      </c>
      <c r="N150" s="469">
        <v>0</v>
      </c>
      <c r="O150" s="469">
        <v>0</v>
      </c>
      <c r="P150" s="523">
        <f>M150+N150+O150</f>
        <v>1</v>
      </c>
      <c r="Q150" s="430">
        <f>+(N150+O150)/L150</f>
        <v>0</v>
      </c>
      <c r="R150" s="525">
        <f>1/3</f>
        <v>0.33333333333333331</v>
      </c>
      <c r="S150" s="492"/>
      <c r="T150" s="504"/>
      <c r="U150" s="504"/>
      <c r="V150" s="25" t="s">
        <v>339</v>
      </c>
      <c r="W150" s="26">
        <v>1</v>
      </c>
      <c r="X150" s="26">
        <v>0</v>
      </c>
      <c r="Y150" s="160">
        <v>1</v>
      </c>
      <c r="Z150" s="133">
        <f t="shared" si="12"/>
        <v>1</v>
      </c>
      <c r="AA150" s="521"/>
      <c r="AB150" s="28">
        <v>44752</v>
      </c>
      <c r="AC150" s="170">
        <v>30</v>
      </c>
      <c r="AD150" s="26">
        <v>30</v>
      </c>
      <c r="AE150" s="123">
        <v>0</v>
      </c>
      <c r="AF150" s="159">
        <v>0.03</v>
      </c>
      <c r="AG150" s="446"/>
      <c r="AH150" s="446"/>
      <c r="AI150" s="446"/>
      <c r="AJ150" s="434"/>
      <c r="AK150" s="434"/>
      <c r="AL150" s="434"/>
      <c r="AM150" s="431"/>
      <c r="AN150" s="446"/>
      <c r="AO150" s="504"/>
      <c r="AP150" s="669"/>
      <c r="AQ150" s="504"/>
      <c r="AR150" s="666"/>
      <c r="AS150" s="19" t="s">
        <v>66</v>
      </c>
      <c r="AT150" s="25" t="s">
        <v>67</v>
      </c>
      <c r="AU150" s="26" t="s">
        <v>68</v>
      </c>
      <c r="AV150" s="25"/>
      <c r="AW150" s="25"/>
    </row>
    <row r="151" spans="1:49" ht="42.75" x14ac:dyDescent="0.25">
      <c r="A151" s="531"/>
      <c r="B151" s="470"/>
      <c r="C151" s="473"/>
      <c r="D151" s="652"/>
      <c r="E151" s="473"/>
      <c r="F151" s="531"/>
      <c r="G151" s="534"/>
      <c r="H151" s="534"/>
      <c r="I151" s="534"/>
      <c r="J151" s="534"/>
      <c r="K151" s="470"/>
      <c r="L151" s="470"/>
      <c r="M151" s="470"/>
      <c r="N151" s="470"/>
      <c r="O151" s="470"/>
      <c r="P151" s="485"/>
      <c r="Q151" s="431"/>
      <c r="R151" s="526"/>
      <c r="S151" s="492"/>
      <c r="T151" s="504"/>
      <c r="U151" s="504"/>
      <c r="V151" s="25" t="s">
        <v>340</v>
      </c>
      <c r="W151" s="26">
        <v>1</v>
      </c>
      <c r="X151" s="26">
        <v>0</v>
      </c>
      <c r="Y151" s="160">
        <v>0</v>
      </c>
      <c r="Z151" s="133">
        <f t="shared" si="12"/>
        <v>0</v>
      </c>
      <c r="AA151" s="521"/>
      <c r="AB151" s="28">
        <v>44752</v>
      </c>
      <c r="AC151" s="170">
        <v>4</v>
      </c>
      <c r="AD151" s="26">
        <v>30</v>
      </c>
      <c r="AE151" s="123">
        <v>0</v>
      </c>
      <c r="AF151" s="159">
        <v>0.1</v>
      </c>
      <c r="AG151" s="446"/>
      <c r="AH151" s="446"/>
      <c r="AI151" s="446"/>
      <c r="AJ151" s="434"/>
      <c r="AK151" s="434"/>
      <c r="AL151" s="434"/>
      <c r="AM151" s="431"/>
      <c r="AN151" s="446"/>
      <c r="AO151" s="504"/>
      <c r="AP151" s="669"/>
      <c r="AQ151" s="504"/>
      <c r="AR151" s="666"/>
      <c r="AS151" s="19" t="s">
        <v>66</v>
      </c>
      <c r="AT151" s="25" t="s">
        <v>67</v>
      </c>
      <c r="AU151" s="26" t="s">
        <v>68</v>
      </c>
      <c r="AV151" s="25"/>
      <c r="AW151" s="25"/>
    </row>
    <row r="152" spans="1:49" ht="49.5" customHeight="1" thickBot="1" x14ac:dyDescent="0.3">
      <c r="A152" s="531"/>
      <c r="B152" s="470"/>
      <c r="C152" s="473"/>
      <c r="D152" s="652"/>
      <c r="E152" s="473"/>
      <c r="F152" s="531"/>
      <c r="G152" s="535"/>
      <c r="H152" s="535"/>
      <c r="I152" s="535"/>
      <c r="J152" s="535"/>
      <c r="K152" s="471"/>
      <c r="L152" s="471"/>
      <c r="M152" s="471"/>
      <c r="N152" s="471"/>
      <c r="O152" s="471"/>
      <c r="P152" s="524"/>
      <c r="Q152" s="459"/>
      <c r="R152" s="527"/>
      <c r="S152" s="492"/>
      <c r="T152" s="504"/>
      <c r="U152" s="504"/>
      <c r="V152" s="25" t="s">
        <v>295</v>
      </c>
      <c r="W152" s="26">
        <v>10</v>
      </c>
      <c r="X152" s="26">
        <v>0</v>
      </c>
      <c r="Y152" s="160">
        <v>0</v>
      </c>
      <c r="Z152" s="133">
        <f t="shared" si="12"/>
        <v>0</v>
      </c>
      <c r="AA152" s="521"/>
      <c r="AB152" s="28">
        <v>44752</v>
      </c>
      <c r="AC152" s="170">
        <v>30</v>
      </c>
      <c r="AD152" s="26">
        <v>0</v>
      </c>
      <c r="AE152" s="123">
        <v>0</v>
      </c>
      <c r="AF152" s="159">
        <v>0.03</v>
      </c>
      <c r="AG152" s="446"/>
      <c r="AH152" s="446"/>
      <c r="AI152" s="446"/>
      <c r="AJ152" s="434"/>
      <c r="AK152" s="434"/>
      <c r="AL152" s="434"/>
      <c r="AM152" s="431"/>
      <c r="AN152" s="446"/>
      <c r="AO152" s="504"/>
      <c r="AP152" s="669"/>
      <c r="AQ152" s="504"/>
      <c r="AR152" s="666"/>
      <c r="AS152" s="19" t="s">
        <v>66</v>
      </c>
      <c r="AT152" s="25" t="s">
        <v>67</v>
      </c>
      <c r="AU152" s="26" t="s">
        <v>68</v>
      </c>
      <c r="AV152" s="25"/>
      <c r="AW152" s="25"/>
    </row>
    <row r="153" spans="1:49" ht="42.75" x14ac:dyDescent="0.25">
      <c r="A153" s="531"/>
      <c r="B153" s="470"/>
      <c r="C153" s="473"/>
      <c r="D153" s="652"/>
      <c r="E153" s="473"/>
      <c r="F153" s="531"/>
      <c r="G153" s="533" t="s">
        <v>341</v>
      </c>
      <c r="H153" s="533" t="s">
        <v>54</v>
      </c>
      <c r="I153" s="533" t="s">
        <v>342</v>
      </c>
      <c r="J153" s="533" t="s">
        <v>343</v>
      </c>
      <c r="K153" s="469">
        <v>41</v>
      </c>
      <c r="L153" s="469">
        <v>15</v>
      </c>
      <c r="M153" s="469">
        <v>16</v>
      </c>
      <c r="N153" s="469">
        <v>0</v>
      </c>
      <c r="O153" s="469">
        <v>5</v>
      </c>
      <c r="P153" s="469">
        <f>M153+N153+O153</f>
        <v>21</v>
      </c>
      <c r="Q153" s="528">
        <f>+(N153+O153)/L153</f>
        <v>0.33333333333333331</v>
      </c>
      <c r="R153" s="528">
        <f>+P153/K153</f>
        <v>0.51219512195121952</v>
      </c>
      <c r="S153" s="492"/>
      <c r="T153" s="504"/>
      <c r="U153" s="504"/>
      <c r="V153" s="43" t="s">
        <v>344</v>
      </c>
      <c r="W153" s="44">
        <v>10</v>
      </c>
      <c r="X153" s="44">
        <v>1</v>
      </c>
      <c r="Y153" s="178">
        <v>13</v>
      </c>
      <c r="Z153" s="133">
        <f t="shared" si="12"/>
        <v>1.4</v>
      </c>
      <c r="AA153" s="521"/>
      <c r="AB153" s="28">
        <v>44621</v>
      </c>
      <c r="AC153" s="170">
        <v>300</v>
      </c>
      <c r="AD153" s="26">
        <v>10</v>
      </c>
      <c r="AE153" s="123">
        <v>1</v>
      </c>
      <c r="AF153" s="159">
        <v>0.08</v>
      </c>
      <c r="AG153" s="446"/>
      <c r="AH153" s="446"/>
      <c r="AI153" s="446"/>
      <c r="AJ153" s="434"/>
      <c r="AK153" s="434"/>
      <c r="AL153" s="434"/>
      <c r="AM153" s="431"/>
      <c r="AN153" s="446"/>
      <c r="AO153" s="504"/>
      <c r="AP153" s="669"/>
      <c r="AQ153" s="504"/>
      <c r="AR153" s="666"/>
      <c r="AS153" s="19" t="s">
        <v>66</v>
      </c>
      <c r="AT153" s="25" t="s">
        <v>67</v>
      </c>
      <c r="AU153" s="26" t="s">
        <v>68</v>
      </c>
      <c r="AV153" s="25"/>
      <c r="AW153" s="25"/>
    </row>
    <row r="154" spans="1:49" ht="51.75" customHeight="1" thickBot="1" x14ac:dyDescent="0.3">
      <c r="A154" s="531"/>
      <c r="B154" s="470"/>
      <c r="C154" s="473"/>
      <c r="D154" s="652"/>
      <c r="E154" s="473"/>
      <c r="F154" s="531"/>
      <c r="G154" s="535"/>
      <c r="H154" s="535"/>
      <c r="I154" s="535"/>
      <c r="J154" s="535"/>
      <c r="K154" s="471"/>
      <c r="L154" s="471"/>
      <c r="M154" s="471"/>
      <c r="N154" s="471"/>
      <c r="O154" s="471"/>
      <c r="P154" s="471"/>
      <c r="Q154" s="471"/>
      <c r="R154" s="471"/>
      <c r="S154" s="492"/>
      <c r="T154" s="505"/>
      <c r="U154" s="505"/>
      <c r="V154" s="32" t="s">
        <v>345</v>
      </c>
      <c r="W154" s="33">
        <v>15</v>
      </c>
      <c r="X154" s="33">
        <v>0</v>
      </c>
      <c r="Y154" s="179">
        <v>5</v>
      </c>
      <c r="Z154" s="142">
        <f t="shared" si="12"/>
        <v>0.33333333333333331</v>
      </c>
      <c r="AA154" s="522"/>
      <c r="AB154" s="57">
        <v>44698</v>
      </c>
      <c r="AC154" s="125">
        <v>180</v>
      </c>
      <c r="AD154" s="33">
        <v>15</v>
      </c>
      <c r="AE154" s="180">
        <v>0</v>
      </c>
      <c r="AF154" s="163">
        <v>0.08</v>
      </c>
      <c r="AG154" s="447"/>
      <c r="AH154" s="447"/>
      <c r="AI154" s="447"/>
      <c r="AJ154" s="435"/>
      <c r="AK154" s="435"/>
      <c r="AL154" s="435"/>
      <c r="AM154" s="459"/>
      <c r="AN154" s="447"/>
      <c r="AO154" s="594"/>
      <c r="AP154" s="670"/>
      <c r="AQ154" s="594"/>
      <c r="AR154" s="667"/>
      <c r="AS154" s="38" t="s">
        <v>66</v>
      </c>
      <c r="AT154" s="43" t="s">
        <v>67</v>
      </c>
      <c r="AU154" s="44" t="s">
        <v>68</v>
      </c>
      <c r="AV154" s="43"/>
      <c r="AW154" s="43"/>
    </row>
    <row r="155" spans="1:49" ht="121.5" customHeight="1" thickBot="1" x14ac:dyDescent="0.3">
      <c r="A155" s="531"/>
      <c r="B155" s="470"/>
      <c r="C155" s="473"/>
      <c r="D155" s="652"/>
      <c r="E155" s="473"/>
      <c r="F155" s="532"/>
      <c r="G155" s="536" t="s">
        <v>346</v>
      </c>
      <c r="H155" s="537"/>
      <c r="I155" s="537"/>
      <c r="J155" s="537"/>
      <c r="K155" s="537"/>
      <c r="L155" s="537"/>
      <c r="M155" s="537"/>
      <c r="N155" s="537"/>
      <c r="O155" s="537"/>
      <c r="P155" s="538"/>
      <c r="Q155" s="227">
        <f>AVERAGE(Q138:Q154)</f>
        <v>0.24166666666666664</v>
      </c>
      <c r="R155" s="181">
        <f>AVERAGE(R138:R154)</f>
        <v>0.50582655826558265</v>
      </c>
      <c r="S155" s="529"/>
      <c r="T155" s="499" t="s">
        <v>347</v>
      </c>
      <c r="U155" s="500"/>
      <c r="V155" s="500"/>
      <c r="W155" s="500"/>
      <c r="X155" s="500"/>
      <c r="Y155" s="501"/>
      <c r="Z155" s="502"/>
      <c r="AA155" s="182">
        <f>+AA138</f>
        <v>0.67254901960784319</v>
      </c>
      <c r="AB155" s="129"/>
      <c r="AC155" s="183"/>
      <c r="AD155" s="71"/>
      <c r="AE155" s="184"/>
      <c r="AF155" s="185"/>
      <c r="AG155" s="66"/>
      <c r="AH155" s="66"/>
      <c r="AI155" s="66"/>
      <c r="AJ155" s="115"/>
      <c r="AK155" s="115"/>
      <c r="AL155" s="115"/>
      <c r="AM155" s="115"/>
      <c r="AN155" s="66"/>
      <c r="AO155" s="67"/>
      <c r="AP155" s="68"/>
      <c r="AQ155" s="67"/>
      <c r="AR155" s="69"/>
      <c r="AS155" s="71"/>
      <c r="AT155" s="70"/>
      <c r="AU155" s="71"/>
      <c r="AV155" s="70"/>
      <c r="AW155" s="70"/>
    </row>
    <row r="156" spans="1:49" ht="42.75" customHeight="1" x14ac:dyDescent="0.25">
      <c r="A156" s="531"/>
      <c r="B156" s="470"/>
      <c r="C156" s="473"/>
      <c r="D156" s="652"/>
      <c r="E156" s="473"/>
      <c r="F156" s="469" t="s">
        <v>348</v>
      </c>
      <c r="G156" s="472" t="s">
        <v>349</v>
      </c>
      <c r="H156" s="472" t="s">
        <v>54</v>
      </c>
      <c r="I156" s="486" t="s">
        <v>250</v>
      </c>
      <c r="J156" s="472" t="s">
        <v>350</v>
      </c>
      <c r="K156" s="488">
        <v>1</v>
      </c>
      <c r="L156" s="488">
        <v>1</v>
      </c>
      <c r="M156" s="463">
        <v>0.6</v>
      </c>
      <c r="N156" s="463">
        <v>0.2</v>
      </c>
      <c r="O156" s="463">
        <v>0.1</v>
      </c>
      <c r="P156" s="518">
        <f>M156+N156+O156</f>
        <v>0.9</v>
      </c>
      <c r="Q156" s="490">
        <f>+(N156+O156)/L156</f>
        <v>0.30000000000000004</v>
      </c>
      <c r="R156" s="490">
        <f>+P156/K156</f>
        <v>0.9</v>
      </c>
      <c r="S156" s="491" t="s">
        <v>351</v>
      </c>
      <c r="T156" s="437">
        <v>2021130010217</v>
      </c>
      <c r="U156" s="437" t="s">
        <v>352</v>
      </c>
      <c r="V156" s="49" t="s">
        <v>353</v>
      </c>
      <c r="W156" s="41">
        <v>1</v>
      </c>
      <c r="X156" s="186">
        <v>1</v>
      </c>
      <c r="Y156" s="187">
        <v>1</v>
      </c>
      <c r="Z156" s="188">
        <v>1</v>
      </c>
      <c r="AA156" s="496">
        <f>AVERAGE(Z156:Z177)</f>
        <v>0.38863636363636367</v>
      </c>
      <c r="AB156" s="189">
        <v>44562</v>
      </c>
      <c r="AC156" s="190">
        <v>30</v>
      </c>
      <c r="AD156" s="19" t="s">
        <v>60</v>
      </c>
      <c r="AE156" s="19" t="s">
        <v>60</v>
      </c>
      <c r="AF156" s="24">
        <v>0.05</v>
      </c>
      <c r="AG156" s="445" t="s">
        <v>354</v>
      </c>
      <c r="AH156" s="445" t="s">
        <v>355</v>
      </c>
      <c r="AI156" s="445" t="s">
        <v>63</v>
      </c>
      <c r="AJ156" s="433">
        <v>250000000</v>
      </c>
      <c r="AK156" s="433">
        <v>250000000</v>
      </c>
      <c r="AL156" s="433">
        <v>242700000</v>
      </c>
      <c r="AM156" s="430">
        <f>+AL156/AJ156</f>
        <v>0.9708</v>
      </c>
      <c r="AN156" s="433" t="s">
        <v>63</v>
      </c>
      <c r="AO156" s="437" t="s">
        <v>64</v>
      </c>
      <c r="AP156" s="440"/>
      <c r="AQ156" s="437" t="s">
        <v>65</v>
      </c>
      <c r="AR156" s="443">
        <f>AL156</f>
        <v>242700000</v>
      </c>
      <c r="AS156" s="19" t="s">
        <v>66</v>
      </c>
      <c r="AT156" s="49" t="s">
        <v>67</v>
      </c>
      <c r="AU156" s="41" t="s">
        <v>68</v>
      </c>
      <c r="AV156" s="49"/>
      <c r="AW156" s="49"/>
    </row>
    <row r="157" spans="1:49" ht="42.75" x14ac:dyDescent="0.25">
      <c r="A157" s="531"/>
      <c r="B157" s="470"/>
      <c r="C157" s="473"/>
      <c r="D157" s="652"/>
      <c r="E157" s="473"/>
      <c r="F157" s="470"/>
      <c r="G157" s="473"/>
      <c r="H157" s="473"/>
      <c r="I157" s="487"/>
      <c r="J157" s="473"/>
      <c r="K157" s="489"/>
      <c r="L157" s="489"/>
      <c r="M157" s="464"/>
      <c r="N157" s="464"/>
      <c r="O157" s="464"/>
      <c r="P157" s="519"/>
      <c r="Q157" s="490"/>
      <c r="R157" s="490"/>
      <c r="S157" s="492"/>
      <c r="T157" s="437"/>
      <c r="U157" s="437"/>
      <c r="V157" s="25" t="s">
        <v>356</v>
      </c>
      <c r="W157" s="26">
        <v>1</v>
      </c>
      <c r="X157" s="186">
        <v>1</v>
      </c>
      <c r="Y157" s="187">
        <v>1</v>
      </c>
      <c r="Z157" s="188">
        <v>1</v>
      </c>
      <c r="AA157" s="497"/>
      <c r="AB157" s="191">
        <v>44562</v>
      </c>
      <c r="AC157" s="192">
        <v>30</v>
      </c>
      <c r="AD157" s="26" t="s">
        <v>60</v>
      </c>
      <c r="AE157" s="26" t="s">
        <v>60</v>
      </c>
      <c r="AF157" s="193">
        <v>0.02</v>
      </c>
      <c r="AG157" s="446"/>
      <c r="AH157" s="446"/>
      <c r="AI157" s="446"/>
      <c r="AJ157" s="434"/>
      <c r="AK157" s="434"/>
      <c r="AL157" s="434"/>
      <c r="AM157" s="431"/>
      <c r="AN157" s="434"/>
      <c r="AO157" s="437"/>
      <c r="AP157" s="440"/>
      <c r="AQ157" s="437"/>
      <c r="AR157" s="443"/>
      <c r="AS157" s="19" t="s">
        <v>66</v>
      </c>
      <c r="AT157" s="25" t="s">
        <v>67</v>
      </c>
      <c r="AU157" s="26" t="s">
        <v>68</v>
      </c>
      <c r="AV157" s="25"/>
      <c r="AW157" s="25"/>
    </row>
    <row r="158" spans="1:49" ht="28.5" x14ac:dyDescent="0.25">
      <c r="A158" s="531"/>
      <c r="B158" s="470"/>
      <c r="C158" s="473"/>
      <c r="D158" s="652"/>
      <c r="E158" s="473"/>
      <c r="F158" s="470"/>
      <c r="G158" s="473"/>
      <c r="H158" s="473"/>
      <c r="I158" s="487"/>
      <c r="J158" s="473"/>
      <c r="K158" s="489"/>
      <c r="L158" s="489"/>
      <c r="M158" s="464"/>
      <c r="N158" s="464"/>
      <c r="O158" s="464"/>
      <c r="P158" s="519"/>
      <c r="Q158" s="490"/>
      <c r="R158" s="490"/>
      <c r="S158" s="492"/>
      <c r="T158" s="437"/>
      <c r="U158" s="437"/>
      <c r="V158" s="25" t="s">
        <v>357</v>
      </c>
      <c r="W158" s="26">
        <v>1</v>
      </c>
      <c r="X158" s="186">
        <v>0.5</v>
      </c>
      <c r="Y158" s="187">
        <v>0.5</v>
      </c>
      <c r="Z158" s="188">
        <v>0.5</v>
      </c>
      <c r="AA158" s="497"/>
      <c r="AB158" s="191">
        <v>44562</v>
      </c>
      <c r="AC158" s="192">
        <v>90</v>
      </c>
      <c r="AD158" s="26" t="s">
        <v>60</v>
      </c>
      <c r="AE158" s="26" t="s">
        <v>60</v>
      </c>
      <c r="AF158" s="193">
        <v>0.03</v>
      </c>
      <c r="AG158" s="446"/>
      <c r="AH158" s="446"/>
      <c r="AI158" s="446"/>
      <c r="AJ158" s="434"/>
      <c r="AK158" s="434"/>
      <c r="AL158" s="434"/>
      <c r="AM158" s="431"/>
      <c r="AN158" s="434"/>
      <c r="AO158" s="437"/>
      <c r="AP158" s="440"/>
      <c r="AQ158" s="437"/>
      <c r="AR158" s="443"/>
      <c r="AS158" s="19" t="s">
        <v>66</v>
      </c>
      <c r="AT158" s="25" t="s">
        <v>67</v>
      </c>
      <c r="AU158" s="26" t="s">
        <v>68</v>
      </c>
      <c r="AV158" s="25"/>
      <c r="AW158" s="25"/>
    </row>
    <row r="159" spans="1:49" ht="28.5" x14ac:dyDescent="0.25">
      <c r="A159" s="531"/>
      <c r="B159" s="470"/>
      <c r="C159" s="473"/>
      <c r="D159" s="652"/>
      <c r="E159" s="473"/>
      <c r="F159" s="470"/>
      <c r="G159" s="473"/>
      <c r="H159" s="473"/>
      <c r="I159" s="487"/>
      <c r="J159" s="473"/>
      <c r="K159" s="489"/>
      <c r="L159" s="489"/>
      <c r="M159" s="464"/>
      <c r="N159" s="464"/>
      <c r="O159" s="464"/>
      <c r="P159" s="519"/>
      <c r="Q159" s="490"/>
      <c r="R159" s="490"/>
      <c r="S159" s="492"/>
      <c r="T159" s="437"/>
      <c r="U159" s="437"/>
      <c r="V159" s="25" t="s">
        <v>358</v>
      </c>
      <c r="W159" s="26">
        <v>1</v>
      </c>
      <c r="X159" s="186">
        <v>1</v>
      </c>
      <c r="Y159" s="187">
        <v>1</v>
      </c>
      <c r="Z159" s="188">
        <v>1</v>
      </c>
      <c r="AA159" s="497"/>
      <c r="AB159" s="191">
        <v>44562</v>
      </c>
      <c r="AC159" s="192">
        <v>90</v>
      </c>
      <c r="AD159" s="26" t="s">
        <v>60</v>
      </c>
      <c r="AE159" s="26" t="s">
        <v>60</v>
      </c>
      <c r="AF159" s="193">
        <v>0.05</v>
      </c>
      <c r="AG159" s="446"/>
      <c r="AH159" s="446"/>
      <c r="AI159" s="446"/>
      <c r="AJ159" s="434"/>
      <c r="AK159" s="434"/>
      <c r="AL159" s="434"/>
      <c r="AM159" s="431"/>
      <c r="AN159" s="434"/>
      <c r="AO159" s="437"/>
      <c r="AP159" s="440"/>
      <c r="AQ159" s="437"/>
      <c r="AR159" s="443"/>
      <c r="AS159" s="19" t="s">
        <v>66</v>
      </c>
      <c r="AT159" s="25" t="s">
        <v>67</v>
      </c>
      <c r="AU159" s="26" t="s">
        <v>68</v>
      </c>
      <c r="AV159" s="25"/>
      <c r="AW159" s="25"/>
    </row>
    <row r="160" spans="1:49" ht="28.5" x14ac:dyDescent="0.25">
      <c r="A160" s="531"/>
      <c r="B160" s="470"/>
      <c r="C160" s="473"/>
      <c r="D160" s="652"/>
      <c r="E160" s="473"/>
      <c r="F160" s="470"/>
      <c r="G160" s="473"/>
      <c r="H160" s="473"/>
      <c r="I160" s="487"/>
      <c r="J160" s="473"/>
      <c r="K160" s="489"/>
      <c r="L160" s="489"/>
      <c r="M160" s="464"/>
      <c r="N160" s="464"/>
      <c r="O160" s="464"/>
      <c r="P160" s="519"/>
      <c r="Q160" s="490"/>
      <c r="R160" s="490"/>
      <c r="S160" s="492"/>
      <c r="T160" s="437"/>
      <c r="U160" s="437"/>
      <c r="V160" s="25" t="s">
        <v>359</v>
      </c>
      <c r="W160" s="26">
        <v>2</v>
      </c>
      <c r="X160" s="186">
        <v>0.5</v>
      </c>
      <c r="Y160" s="187">
        <v>0.5</v>
      </c>
      <c r="Z160" s="188">
        <v>0.5</v>
      </c>
      <c r="AA160" s="497"/>
      <c r="AB160" s="191">
        <v>44593</v>
      </c>
      <c r="AC160" s="192">
        <v>120</v>
      </c>
      <c r="AD160" s="26" t="s">
        <v>60</v>
      </c>
      <c r="AE160" s="26" t="s">
        <v>60</v>
      </c>
      <c r="AF160" s="193">
        <v>0.03</v>
      </c>
      <c r="AG160" s="446"/>
      <c r="AH160" s="446"/>
      <c r="AI160" s="446"/>
      <c r="AJ160" s="434"/>
      <c r="AK160" s="434"/>
      <c r="AL160" s="434"/>
      <c r="AM160" s="431"/>
      <c r="AN160" s="434"/>
      <c r="AO160" s="437"/>
      <c r="AP160" s="440"/>
      <c r="AQ160" s="437"/>
      <c r="AR160" s="443"/>
      <c r="AS160" s="19" t="s">
        <v>66</v>
      </c>
      <c r="AT160" s="25" t="s">
        <v>67</v>
      </c>
      <c r="AU160" s="26" t="s">
        <v>68</v>
      </c>
      <c r="AV160" s="25"/>
      <c r="AW160" s="25"/>
    </row>
    <row r="161" spans="1:49" ht="28.5" x14ac:dyDescent="0.25">
      <c r="A161" s="531"/>
      <c r="B161" s="470"/>
      <c r="C161" s="473"/>
      <c r="D161" s="652"/>
      <c r="E161" s="473"/>
      <c r="F161" s="470"/>
      <c r="G161" s="473"/>
      <c r="H161" s="473"/>
      <c r="I161" s="487"/>
      <c r="J161" s="473"/>
      <c r="K161" s="489"/>
      <c r="L161" s="489"/>
      <c r="M161" s="464"/>
      <c r="N161" s="464"/>
      <c r="O161" s="464"/>
      <c r="P161" s="519"/>
      <c r="Q161" s="490"/>
      <c r="R161" s="490"/>
      <c r="S161" s="492"/>
      <c r="T161" s="437"/>
      <c r="U161" s="437"/>
      <c r="V161" s="25" t="s">
        <v>360</v>
      </c>
      <c r="W161" s="26">
        <v>1</v>
      </c>
      <c r="X161" s="186">
        <v>0.15</v>
      </c>
      <c r="Y161" s="187">
        <v>0.15</v>
      </c>
      <c r="Z161" s="188">
        <v>0.3</v>
      </c>
      <c r="AA161" s="497"/>
      <c r="AB161" s="191">
        <v>44593</v>
      </c>
      <c r="AC161" s="192">
        <v>280</v>
      </c>
      <c r="AD161" s="26" t="s">
        <v>60</v>
      </c>
      <c r="AE161" s="26" t="s">
        <v>60</v>
      </c>
      <c r="AF161" s="193">
        <v>0.05</v>
      </c>
      <c r="AG161" s="446"/>
      <c r="AH161" s="446"/>
      <c r="AI161" s="446"/>
      <c r="AJ161" s="434"/>
      <c r="AK161" s="434"/>
      <c r="AL161" s="434"/>
      <c r="AM161" s="431"/>
      <c r="AN161" s="434"/>
      <c r="AO161" s="437"/>
      <c r="AP161" s="440"/>
      <c r="AQ161" s="437"/>
      <c r="AR161" s="443"/>
      <c r="AS161" s="19" t="s">
        <v>66</v>
      </c>
      <c r="AT161" s="25" t="s">
        <v>67</v>
      </c>
      <c r="AU161" s="26" t="s">
        <v>68</v>
      </c>
      <c r="AV161" s="25"/>
      <c r="AW161" s="25"/>
    </row>
    <row r="162" spans="1:49" ht="29.25" thickBot="1" x14ac:dyDescent="0.3">
      <c r="A162" s="531"/>
      <c r="B162" s="470"/>
      <c r="C162" s="473"/>
      <c r="D162" s="652"/>
      <c r="E162" s="473"/>
      <c r="F162" s="470"/>
      <c r="G162" s="473"/>
      <c r="H162" s="473"/>
      <c r="I162" s="487"/>
      <c r="J162" s="473"/>
      <c r="K162" s="489"/>
      <c r="L162" s="489"/>
      <c r="M162" s="464"/>
      <c r="N162" s="464"/>
      <c r="O162" s="464"/>
      <c r="P162" s="519"/>
      <c r="Q162" s="490"/>
      <c r="R162" s="490"/>
      <c r="S162" s="492"/>
      <c r="T162" s="437"/>
      <c r="U162" s="437"/>
      <c r="V162" s="25" t="s">
        <v>361</v>
      </c>
      <c r="W162" s="26">
        <v>4</v>
      </c>
      <c r="X162" s="186">
        <v>0</v>
      </c>
      <c r="Y162" s="187">
        <v>0</v>
      </c>
      <c r="Z162" s="188">
        <v>0</v>
      </c>
      <c r="AA162" s="497"/>
      <c r="AB162" s="191">
        <v>44713</v>
      </c>
      <c r="AC162" s="192">
        <v>120</v>
      </c>
      <c r="AD162" s="26" t="s">
        <v>60</v>
      </c>
      <c r="AE162" s="26" t="s">
        <v>60</v>
      </c>
      <c r="AF162" s="193">
        <v>0.05</v>
      </c>
      <c r="AG162" s="446"/>
      <c r="AH162" s="446"/>
      <c r="AI162" s="446"/>
      <c r="AJ162" s="434"/>
      <c r="AK162" s="434"/>
      <c r="AL162" s="434"/>
      <c r="AM162" s="431"/>
      <c r="AN162" s="434"/>
      <c r="AO162" s="437"/>
      <c r="AP162" s="440"/>
      <c r="AQ162" s="437"/>
      <c r="AR162" s="443"/>
      <c r="AS162" s="19" t="s">
        <v>66</v>
      </c>
      <c r="AT162" s="25" t="s">
        <v>67</v>
      </c>
      <c r="AU162" s="26" t="s">
        <v>68</v>
      </c>
      <c r="AV162" s="25"/>
      <c r="AW162" s="25"/>
    </row>
    <row r="163" spans="1:49" ht="57" x14ac:dyDescent="0.25">
      <c r="A163" s="531"/>
      <c r="B163" s="470"/>
      <c r="C163" s="473"/>
      <c r="D163" s="652"/>
      <c r="E163" s="473"/>
      <c r="F163" s="470"/>
      <c r="G163" s="472" t="s">
        <v>362</v>
      </c>
      <c r="H163" s="472" t="s">
        <v>54</v>
      </c>
      <c r="I163" s="472" t="s">
        <v>250</v>
      </c>
      <c r="J163" s="472" t="s">
        <v>363</v>
      </c>
      <c r="K163" s="488">
        <v>7</v>
      </c>
      <c r="L163" s="488">
        <v>1</v>
      </c>
      <c r="M163" s="488">
        <v>2</v>
      </c>
      <c r="N163" s="463">
        <v>0.1</v>
      </c>
      <c r="O163" s="463">
        <v>0.2</v>
      </c>
      <c r="P163" s="463">
        <f>M163+N163+O163</f>
        <v>2.3000000000000003</v>
      </c>
      <c r="Q163" s="430">
        <f>+(N163+O163)/L163</f>
        <v>0.30000000000000004</v>
      </c>
      <c r="R163" s="430">
        <f>+P163/K163</f>
        <v>0.32857142857142863</v>
      </c>
      <c r="S163" s="492"/>
      <c r="T163" s="437"/>
      <c r="U163" s="437"/>
      <c r="V163" s="25" t="s">
        <v>364</v>
      </c>
      <c r="W163" s="26">
        <v>2</v>
      </c>
      <c r="X163" s="186">
        <v>0.5</v>
      </c>
      <c r="Y163" s="187">
        <v>0.5</v>
      </c>
      <c r="Z163" s="188">
        <v>0.5</v>
      </c>
      <c r="AA163" s="497"/>
      <c r="AB163" s="191">
        <v>44562</v>
      </c>
      <c r="AC163" s="192">
        <v>280</v>
      </c>
      <c r="AD163" s="26" t="s">
        <v>60</v>
      </c>
      <c r="AE163" s="26" t="s">
        <v>60</v>
      </c>
      <c r="AF163" s="193">
        <v>0.05</v>
      </c>
      <c r="AG163" s="446"/>
      <c r="AH163" s="446"/>
      <c r="AI163" s="446"/>
      <c r="AJ163" s="434"/>
      <c r="AK163" s="434"/>
      <c r="AL163" s="434"/>
      <c r="AM163" s="431"/>
      <c r="AN163" s="434"/>
      <c r="AO163" s="437"/>
      <c r="AP163" s="440"/>
      <c r="AQ163" s="437"/>
      <c r="AR163" s="443"/>
      <c r="AS163" s="19" t="s">
        <v>66</v>
      </c>
      <c r="AT163" s="25" t="s">
        <v>67</v>
      </c>
      <c r="AU163" s="26" t="s">
        <v>68</v>
      </c>
      <c r="AV163" s="25"/>
      <c r="AW163" s="25"/>
    </row>
    <row r="164" spans="1:49" ht="57" x14ac:dyDescent="0.25">
      <c r="A164" s="531"/>
      <c r="B164" s="470"/>
      <c r="C164" s="473"/>
      <c r="D164" s="652"/>
      <c r="E164" s="473"/>
      <c r="F164" s="470"/>
      <c r="G164" s="473"/>
      <c r="H164" s="473"/>
      <c r="I164" s="473"/>
      <c r="J164" s="473"/>
      <c r="K164" s="489"/>
      <c r="L164" s="489"/>
      <c r="M164" s="489"/>
      <c r="N164" s="464"/>
      <c r="O164" s="464"/>
      <c r="P164" s="464"/>
      <c r="Q164" s="431"/>
      <c r="R164" s="431"/>
      <c r="S164" s="492"/>
      <c r="T164" s="437"/>
      <c r="U164" s="437"/>
      <c r="V164" s="25" t="s">
        <v>365</v>
      </c>
      <c r="W164" s="26">
        <v>1</v>
      </c>
      <c r="X164" s="186">
        <v>0</v>
      </c>
      <c r="Y164" s="187">
        <v>0</v>
      </c>
      <c r="Z164" s="188">
        <v>0</v>
      </c>
      <c r="AA164" s="497"/>
      <c r="AB164" s="191">
        <v>44713</v>
      </c>
      <c r="AC164" s="192">
        <v>120</v>
      </c>
      <c r="AD164" s="26" t="s">
        <v>60</v>
      </c>
      <c r="AE164" s="26" t="s">
        <v>60</v>
      </c>
      <c r="AF164" s="193">
        <v>0.03</v>
      </c>
      <c r="AG164" s="446"/>
      <c r="AH164" s="446"/>
      <c r="AI164" s="446"/>
      <c r="AJ164" s="434"/>
      <c r="AK164" s="434"/>
      <c r="AL164" s="434"/>
      <c r="AM164" s="431"/>
      <c r="AN164" s="434"/>
      <c r="AO164" s="437"/>
      <c r="AP164" s="440"/>
      <c r="AQ164" s="437"/>
      <c r="AR164" s="443"/>
      <c r="AS164" s="19" t="s">
        <v>66</v>
      </c>
      <c r="AT164" s="25" t="s">
        <v>67</v>
      </c>
      <c r="AU164" s="26" t="s">
        <v>68</v>
      </c>
      <c r="AV164" s="25"/>
      <c r="AW164" s="25"/>
    </row>
    <row r="165" spans="1:49" ht="28.5" x14ac:dyDescent="0.25">
      <c r="A165" s="531"/>
      <c r="B165" s="470"/>
      <c r="C165" s="473"/>
      <c r="D165" s="652"/>
      <c r="E165" s="473"/>
      <c r="F165" s="470"/>
      <c r="G165" s="473"/>
      <c r="H165" s="473"/>
      <c r="I165" s="473"/>
      <c r="J165" s="473"/>
      <c r="K165" s="489"/>
      <c r="L165" s="489"/>
      <c r="M165" s="489"/>
      <c r="N165" s="464"/>
      <c r="O165" s="464"/>
      <c r="P165" s="464"/>
      <c r="Q165" s="431"/>
      <c r="R165" s="431"/>
      <c r="S165" s="492"/>
      <c r="T165" s="437"/>
      <c r="U165" s="437"/>
      <c r="V165" s="25" t="s">
        <v>366</v>
      </c>
      <c r="W165" s="26">
        <v>1</v>
      </c>
      <c r="X165" s="186">
        <v>0</v>
      </c>
      <c r="Y165" s="187">
        <v>0</v>
      </c>
      <c r="Z165" s="188">
        <v>0</v>
      </c>
      <c r="AA165" s="497"/>
      <c r="AB165" s="191">
        <v>44774</v>
      </c>
      <c r="AC165" s="192">
        <v>30</v>
      </c>
      <c r="AD165" s="26" t="s">
        <v>60</v>
      </c>
      <c r="AE165" s="26" t="s">
        <v>60</v>
      </c>
      <c r="AF165" s="193">
        <v>0.02</v>
      </c>
      <c r="AG165" s="446"/>
      <c r="AH165" s="446"/>
      <c r="AI165" s="446"/>
      <c r="AJ165" s="434"/>
      <c r="AK165" s="434"/>
      <c r="AL165" s="434"/>
      <c r="AM165" s="431"/>
      <c r="AN165" s="434"/>
      <c r="AO165" s="437"/>
      <c r="AP165" s="440"/>
      <c r="AQ165" s="437"/>
      <c r="AR165" s="443"/>
      <c r="AS165" s="19" t="s">
        <v>66</v>
      </c>
      <c r="AT165" s="25" t="s">
        <v>67</v>
      </c>
      <c r="AU165" s="26" t="s">
        <v>68</v>
      </c>
      <c r="AV165" s="25"/>
      <c r="AW165" s="25"/>
    </row>
    <row r="166" spans="1:49" ht="28.5" x14ac:dyDescent="0.25">
      <c r="A166" s="531"/>
      <c r="B166" s="470"/>
      <c r="C166" s="473"/>
      <c r="D166" s="652"/>
      <c r="E166" s="473"/>
      <c r="F166" s="470"/>
      <c r="G166" s="473"/>
      <c r="H166" s="473"/>
      <c r="I166" s="473"/>
      <c r="J166" s="473"/>
      <c r="K166" s="489"/>
      <c r="L166" s="489"/>
      <c r="M166" s="489"/>
      <c r="N166" s="464"/>
      <c r="O166" s="464"/>
      <c r="P166" s="464"/>
      <c r="Q166" s="431"/>
      <c r="R166" s="431"/>
      <c r="S166" s="492"/>
      <c r="T166" s="437"/>
      <c r="U166" s="437"/>
      <c r="V166" s="25" t="s">
        <v>367</v>
      </c>
      <c r="W166" s="26">
        <v>1</v>
      </c>
      <c r="X166" s="186">
        <v>0</v>
      </c>
      <c r="Y166" s="187">
        <v>0</v>
      </c>
      <c r="Z166" s="188">
        <v>0</v>
      </c>
      <c r="AA166" s="497"/>
      <c r="AB166" s="191">
        <v>44774</v>
      </c>
      <c r="AC166" s="192">
        <v>120</v>
      </c>
      <c r="AD166" s="26" t="s">
        <v>60</v>
      </c>
      <c r="AE166" s="26" t="s">
        <v>60</v>
      </c>
      <c r="AF166" s="193">
        <v>0.05</v>
      </c>
      <c r="AG166" s="446"/>
      <c r="AH166" s="446"/>
      <c r="AI166" s="446"/>
      <c r="AJ166" s="434"/>
      <c r="AK166" s="434"/>
      <c r="AL166" s="434"/>
      <c r="AM166" s="431"/>
      <c r="AN166" s="434"/>
      <c r="AO166" s="437"/>
      <c r="AP166" s="440"/>
      <c r="AQ166" s="437"/>
      <c r="AR166" s="443"/>
      <c r="AS166" s="19" t="s">
        <v>66</v>
      </c>
      <c r="AT166" s="25" t="s">
        <v>67</v>
      </c>
      <c r="AU166" s="26" t="s">
        <v>68</v>
      </c>
      <c r="AV166" s="25"/>
      <c r="AW166" s="25"/>
    </row>
    <row r="167" spans="1:49" ht="43.5" thickBot="1" x14ac:dyDescent="0.3">
      <c r="A167" s="531"/>
      <c r="B167" s="470"/>
      <c r="C167" s="473"/>
      <c r="D167" s="652"/>
      <c r="E167" s="473"/>
      <c r="F167" s="470"/>
      <c r="G167" s="474"/>
      <c r="H167" s="474"/>
      <c r="I167" s="474"/>
      <c r="J167" s="474"/>
      <c r="K167" s="495"/>
      <c r="L167" s="495"/>
      <c r="M167" s="495"/>
      <c r="N167" s="465"/>
      <c r="O167" s="465"/>
      <c r="P167" s="465"/>
      <c r="Q167" s="459"/>
      <c r="R167" s="459"/>
      <c r="S167" s="492"/>
      <c r="T167" s="437"/>
      <c r="U167" s="437"/>
      <c r="V167" s="25" t="s">
        <v>368</v>
      </c>
      <c r="W167" s="26">
        <v>1</v>
      </c>
      <c r="X167" s="186">
        <v>0</v>
      </c>
      <c r="Y167" s="187">
        <v>0</v>
      </c>
      <c r="Z167" s="188">
        <v>0</v>
      </c>
      <c r="AA167" s="497"/>
      <c r="AB167" s="191">
        <v>44774</v>
      </c>
      <c r="AC167" s="192">
        <v>120</v>
      </c>
      <c r="AD167" s="26" t="s">
        <v>60</v>
      </c>
      <c r="AE167" s="26" t="s">
        <v>60</v>
      </c>
      <c r="AF167" s="193">
        <v>0.05</v>
      </c>
      <c r="AG167" s="446"/>
      <c r="AH167" s="446"/>
      <c r="AI167" s="446"/>
      <c r="AJ167" s="434"/>
      <c r="AK167" s="434"/>
      <c r="AL167" s="434"/>
      <c r="AM167" s="431"/>
      <c r="AN167" s="434"/>
      <c r="AO167" s="437"/>
      <c r="AP167" s="440"/>
      <c r="AQ167" s="437"/>
      <c r="AR167" s="443"/>
      <c r="AS167" s="19" t="s">
        <v>66</v>
      </c>
      <c r="AT167" s="25" t="s">
        <v>67</v>
      </c>
      <c r="AU167" s="26" t="s">
        <v>68</v>
      </c>
      <c r="AV167" s="25"/>
      <c r="AW167" s="25"/>
    </row>
    <row r="168" spans="1:49" ht="57" x14ac:dyDescent="0.25">
      <c r="A168" s="531"/>
      <c r="B168" s="470"/>
      <c r="C168" s="473"/>
      <c r="D168" s="652"/>
      <c r="E168" s="473"/>
      <c r="F168" s="470"/>
      <c r="G168" s="472" t="s">
        <v>369</v>
      </c>
      <c r="H168" s="472" t="s">
        <v>54</v>
      </c>
      <c r="I168" s="472" t="s">
        <v>250</v>
      </c>
      <c r="J168" s="472" t="s">
        <v>370</v>
      </c>
      <c r="K168" s="488">
        <v>1</v>
      </c>
      <c r="L168" s="488" t="s">
        <v>424</v>
      </c>
      <c r="M168" s="463">
        <v>0.95</v>
      </c>
      <c r="N168" s="463">
        <v>0.45</v>
      </c>
      <c r="O168" s="463">
        <v>0.15</v>
      </c>
      <c r="P168" s="463">
        <f>M168+0.03</f>
        <v>0.98</v>
      </c>
      <c r="Q168" s="430">
        <f>+(N168+O168)/1</f>
        <v>0.6</v>
      </c>
      <c r="R168" s="430">
        <v>1</v>
      </c>
      <c r="S168" s="492"/>
      <c r="T168" s="437"/>
      <c r="U168" s="437"/>
      <c r="V168" s="25" t="s">
        <v>371</v>
      </c>
      <c r="W168" s="26">
        <v>1</v>
      </c>
      <c r="X168" s="186">
        <v>1</v>
      </c>
      <c r="Y168" s="187">
        <v>1</v>
      </c>
      <c r="Z168" s="188">
        <v>1</v>
      </c>
      <c r="AA168" s="497"/>
      <c r="AB168" s="191">
        <v>44562</v>
      </c>
      <c r="AC168" s="192">
        <v>30</v>
      </c>
      <c r="AD168" s="26" t="s">
        <v>60</v>
      </c>
      <c r="AE168" s="26" t="s">
        <v>60</v>
      </c>
      <c r="AF168" s="193">
        <v>0.05</v>
      </c>
      <c r="AG168" s="446"/>
      <c r="AH168" s="446"/>
      <c r="AI168" s="446"/>
      <c r="AJ168" s="434"/>
      <c r="AK168" s="434"/>
      <c r="AL168" s="434"/>
      <c r="AM168" s="431"/>
      <c r="AN168" s="434"/>
      <c r="AO168" s="437"/>
      <c r="AP168" s="440"/>
      <c r="AQ168" s="437"/>
      <c r="AR168" s="443"/>
      <c r="AS168" s="19" t="s">
        <v>66</v>
      </c>
      <c r="AT168" s="25" t="s">
        <v>67</v>
      </c>
      <c r="AU168" s="26" t="s">
        <v>68</v>
      </c>
      <c r="AV168" s="25"/>
      <c r="AW168" s="427" t="s">
        <v>421</v>
      </c>
    </row>
    <row r="169" spans="1:49" ht="57" x14ac:dyDescent="0.25">
      <c r="A169" s="531"/>
      <c r="B169" s="470"/>
      <c r="C169" s="473"/>
      <c r="D169" s="652"/>
      <c r="E169" s="473"/>
      <c r="F169" s="470"/>
      <c r="G169" s="473"/>
      <c r="H169" s="473"/>
      <c r="I169" s="473"/>
      <c r="J169" s="473"/>
      <c r="K169" s="489"/>
      <c r="L169" s="489"/>
      <c r="M169" s="464"/>
      <c r="N169" s="464"/>
      <c r="O169" s="464"/>
      <c r="P169" s="464"/>
      <c r="Q169" s="431"/>
      <c r="R169" s="431"/>
      <c r="S169" s="492"/>
      <c r="T169" s="437"/>
      <c r="U169" s="437"/>
      <c r="V169" s="25" t="s">
        <v>372</v>
      </c>
      <c r="W169" s="26">
        <v>1</v>
      </c>
      <c r="X169" s="186">
        <v>1</v>
      </c>
      <c r="Y169" s="187">
        <v>1</v>
      </c>
      <c r="Z169" s="188">
        <v>1</v>
      </c>
      <c r="AA169" s="497"/>
      <c r="AB169" s="191">
        <v>44562</v>
      </c>
      <c r="AC169" s="192">
        <v>30</v>
      </c>
      <c r="AD169" s="26" t="s">
        <v>60</v>
      </c>
      <c r="AE169" s="26" t="s">
        <v>60</v>
      </c>
      <c r="AF169" s="193">
        <v>0.05</v>
      </c>
      <c r="AG169" s="446"/>
      <c r="AH169" s="446"/>
      <c r="AI169" s="446"/>
      <c r="AJ169" s="434"/>
      <c r="AK169" s="434"/>
      <c r="AL169" s="434"/>
      <c r="AM169" s="431"/>
      <c r="AN169" s="434"/>
      <c r="AO169" s="437"/>
      <c r="AP169" s="440"/>
      <c r="AQ169" s="437"/>
      <c r="AR169" s="443"/>
      <c r="AS169" s="19" t="s">
        <v>66</v>
      </c>
      <c r="AT169" s="25" t="s">
        <v>67</v>
      </c>
      <c r="AU169" s="26" t="s">
        <v>68</v>
      </c>
      <c r="AV169" s="25"/>
      <c r="AW169" s="425"/>
    </row>
    <row r="170" spans="1:49" ht="114" x14ac:dyDescent="0.25">
      <c r="A170" s="531"/>
      <c r="B170" s="470"/>
      <c r="C170" s="473"/>
      <c r="D170" s="652"/>
      <c r="E170" s="473"/>
      <c r="F170" s="470"/>
      <c r="G170" s="473"/>
      <c r="H170" s="473"/>
      <c r="I170" s="473"/>
      <c r="J170" s="473"/>
      <c r="K170" s="489"/>
      <c r="L170" s="489"/>
      <c r="M170" s="464"/>
      <c r="N170" s="464"/>
      <c r="O170" s="464"/>
      <c r="P170" s="464"/>
      <c r="Q170" s="431"/>
      <c r="R170" s="431"/>
      <c r="S170" s="492"/>
      <c r="T170" s="437"/>
      <c r="U170" s="437"/>
      <c r="V170" s="25" t="s">
        <v>373</v>
      </c>
      <c r="W170" s="26">
        <v>4</v>
      </c>
      <c r="X170" s="186">
        <v>0.25</v>
      </c>
      <c r="Y170" s="194">
        <v>0.25</v>
      </c>
      <c r="Z170" s="188">
        <v>0.25</v>
      </c>
      <c r="AA170" s="497"/>
      <c r="AB170" s="191">
        <v>44562</v>
      </c>
      <c r="AC170" s="192">
        <v>360</v>
      </c>
      <c r="AD170" s="26" t="s">
        <v>60</v>
      </c>
      <c r="AE170" s="26" t="s">
        <v>60</v>
      </c>
      <c r="AF170" s="193">
        <v>0.05</v>
      </c>
      <c r="AG170" s="446"/>
      <c r="AH170" s="446"/>
      <c r="AI170" s="446"/>
      <c r="AJ170" s="434"/>
      <c r="AK170" s="434"/>
      <c r="AL170" s="434"/>
      <c r="AM170" s="431"/>
      <c r="AN170" s="434"/>
      <c r="AO170" s="437"/>
      <c r="AP170" s="440"/>
      <c r="AQ170" s="437"/>
      <c r="AR170" s="443"/>
      <c r="AS170" s="19" t="s">
        <v>66</v>
      </c>
      <c r="AT170" s="25" t="s">
        <v>67</v>
      </c>
      <c r="AU170" s="26" t="s">
        <v>68</v>
      </c>
      <c r="AV170" s="25"/>
      <c r="AW170" s="425"/>
    </row>
    <row r="171" spans="1:49" ht="57" x14ac:dyDescent="0.25">
      <c r="A171" s="531"/>
      <c r="B171" s="470"/>
      <c r="C171" s="473"/>
      <c r="D171" s="652"/>
      <c r="E171" s="473"/>
      <c r="F171" s="470"/>
      <c r="G171" s="473"/>
      <c r="H171" s="473"/>
      <c r="I171" s="473"/>
      <c r="J171" s="473"/>
      <c r="K171" s="489"/>
      <c r="L171" s="489"/>
      <c r="M171" s="464"/>
      <c r="N171" s="464"/>
      <c r="O171" s="464"/>
      <c r="P171" s="464"/>
      <c r="Q171" s="431"/>
      <c r="R171" s="431"/>
      <c r="S171" s="492"/>
      <c r="T171" s="437"/>
      <c r="U171" s="437"/>
      <c r="V171" s="25" t="s">
        <v>374</v>
      </c>
      <c r="W171" s="26">
        <v>1</v>
      </c>
      <c r="X171" s="186">
        <v>0</v>
      </c>
      <c r="Y171" s="187">
        <v>0</v>
      </c>
      <c r="Z171" s="188">
        <v>0</v>
      </c>
      <c r="AA171" s="497"/>
      <c r="AB171" s="191">
        <v>44652</v>
      </c>
      <c r="AC171" s="192">
        <v>365</v>
      </c>
      <c r="AD171" s="26" t="s">
        <v>60</v>
      </c>
      <c r="AE171" s="26" t="s">
        <v>60</v>
      </c>
      <c r="AF171" s="193">
        <v>7.0000000000000007E-2</v>
      </c>
      <c r="AG171" s="446"/>
      <c r="AH171" s="446"/>
      <c r="AI171" s="446"/>
      <c r="AJ171" s="434"/>
      <c r="AK171" s="434"/>
      <c r="AL171" s="434"/>
      <c r="AM171" s="431"/>
      <c r="AN171" s="434"/>
      <c r="AO171" s="437"/>
      <c r="AP171" s="440"/>
      <c r="AQ171" s="437"/>
      <c r="AR171" s="443"/>
      <c r="AS171" s="19" t="s">
        <v>66</v>
      </c>
      <c r="AT171" s="25" t="s">
        <v>67</v>
      </c>
      <c r="AU171" s="26" t="s">
        <v>68</v>
      </c>
      <c r="AV171" s="25"/>
      <c r="AW171" s="425"/>
    </row>
    <row r="172" spans="1:49" ht="57.75" thickBot="1" x14ac:dyDescent="0.3">
      <c r="A172" s="531"/>
      <c r="B172" s="470"/>
      <c r="C172" s="473"/>
      <c r="D172" s="652"/>
      <c r="E172" s="473"/>
      <c r="F172" s="470"/>
      <c r="G172" s="473"/>
      <c r="H172" s="473"/>
      <c r="I172" s="473"/>
      <c r="J172" s="473"/>
      <c r="K172" s="489"/>
      <c r="L172" s="495"/>
      <c r="M172" s="465"/>
      <c r="N172" s="465"/>
      <c r="O172" s="465"/>
      <c r="P172" s="465"/>
      <c r="Q172" s="459"/>
      <c r="R172" s="459"/>
      <c r="S172" s="492"/>
      <c r="T172" s="437"/>
      <c r="U172" s="437"/>
      <c r="V172" s="25" t="s">
        <v>375</v>
      </c>
      <c r="W172" s="26">
        <v>1</v>
      </c>
      <c r="X172" s="186">
        <v>0</v>
      </c>
      <c r="Y172" s="187"/>
      <c r="Z172" s="188">
        <v>0</v>
      </c>
      <c r="AA172" s="497"/>
      <c r="AB172" s="191">
        <v>44562</v>
      </c>
      <c r="AC172" s="192">
        <v>180</v>
      </c>
      <c r="AD172" s="26" t="s">
        <v>60</v>
      </c>
      <c r="AE172" s="26" t="s">
        <v>60</v>
      </c>
      <c r="AF172" s="193">
        <v>0.03</v>
      </c>
      <c r="AG172" s="446"/>
      <c r="AH172" s="446"/>
      <c r="AI172" s="446"/>
      <c r="AJ172" s="434"/>
      <c r="AK172" s="434"/>
      <c r="AL172" s="434"/>
      <c r="AM172" s="431"/>
      <c r="AN172" s="434"/>
      <c r="AO172" s="437"/>
      <c r="AP172" s="440"/>
      <c r="AQ172" s="437"/>
      <c r="AR172" s="443"/>
      <c r="AS172" s="19" t="s">
        <v>66</v>
      </c>
      <c r="AT172" s="25" t="s">
        <v>67</v>
      </c>
      <c r="AU172" s="26" t="s">
        <v>68</v>
      </c>
      <c r="AV172" s="25"/>
      <c r="AW172" s="426"/>
    </row>
    <row r="173" spans="1:49" ht="57" x14ac:dyDescent="0.25">
      <c r="A173" s="531"/>
      <c r="B173" s="470"/>
      <c r="C173" s="473"/>
      <c r="D173" s="652"/>
      <c r="E173" s="473"/>
      <c r="F173" s="485"/>
      <c r="G173" s="460" t="s">
        <v>376</v>
      </c>
      <c r="H173" s="460" t="s">
        <v>377</v>
      </c>
      <c r="I173" s="460" t="s">
        <v>378</v>
      </c>
      <c r="J173" s="460" t="s">
        <v>379</v>
      </c>
      <c r="K173" s="490">
        <v>1</v>
      </c>
      <c r="L173" s="509">
        <v>1</v>
      </c>
      <c r="M173" s="512">
        <v>1</v>
      </c>
      <c r="N173" s="515">
        <v>0.3</v>
      </c>
      <c r="O173" s="515">
        <v>0.26</v>
      </c>
      <c r="P173" s="512">
        <f>M173+N173</f>
        <v>1.3</v>
      </c>
      <c r="Q173" s="430">
        <f>+(N173+O173)/L173</f>
        <v>0.56000000000000005</v>
      </c>
      <c r="R173" s="430">
        <v>1</v>
      </c>
      <c r="S173" s="492"/>
      <c r="T173" s="437"/>
      <c r="U173" s="437"/>
      <c r="V173" s="25" t="s">
        <v>380</v>
      </c>
      <c r="W173" s="26">
        <v>1</v>
      </c>
      <c r="X173" s="186">
        <v>1</v>
      </c>
      <c r="Y173" s="187">
        <v>1</v>
      </c>
      <c r="Z173" s="188">
        <v>1</v>
      </c>
      <c r="AA173" s="497"/>
      <c r="AB173" s="191">
        <v>44562</v>
      </c>
      <c r="AC173" s="192">
        <v>30</v>
      </c>
      <c r="AD173" s="26" t="s">
        <v>60</v>
      </c>
      <c r="AE173" s="26" t="s">
        <v>60</v>
      </c>
      <c r="AF173" s="193">
        <v>7.0000000000000007E-2</v>
      </c>
      <c r="AG173" s="446"/>
      <c r="AH173" s="446"/>
      <c r="AI173" s="446"/>
      <c r="AJ173" s="434"/>
      <c r="AK173" s="434"/>
      <c r="AL173" s="434"/>
      <c r="AM173" s="431"/>
      <c r="AN173" s="434"/>
      <c r="AO173" s="437"/>
      <c r="AP173" s="440"/>
      <c r="AQ173" s="437"/>
      <c r="AR173" s="443"/>
      <c r="AS173" s="19" t="s">
        <v>66</v>
      </c>
      <c r="AT173" s="25" t="s">
        <v>67</v>
      </c>
      <c r="AU173" s="26" t="s">
        <v>68</v>
      </c>
      <c r="AV173" s="25"/>
      <c r="AW173" s="427" t="s">
        <v>422</v>
      </c>
    </row>
    <row r="174" spans="1:49" ht="28.5" x14ac:dyDescent="0.25">
      <c r="A174" s="531"/>
      <c r="B174" s="470"/>
      <c r="C174" s="473"/>
      <c r="D174" s="652"/>
      <c r="E174" s="473"/>
      <c r="F174" s="485"/>
      <c r="G174" s="460"/>
      <c r="H174" s="460"/>
      <c r="I174" s="460"/>
      <c r="J174" s="460"/>
      <c r="K174" s="490"/>
      <c r="L174" s="510"/>
      <c r="M174" s="513"/>
      <c r="N174" s="516"/>
      <c r="O174" s="516"/>
      <c r="P174" s="513"/>
      <c r="Q174" s="431"/>
      <c r="R174" s="431"/>
      <c r="S174" s="492"/>
      <c r="T174" s="437"/>
      <c r="U174" s="437"/>
      <c r="V174" s="25" t="s">
        <v>381</v>
      </c>
      <c r="W174" s="26">
        <v>1</v>
      </c>
      <c r="X174" s="186">
        <v>0.25</v>
      </c>
      <c r="Y174" s="187">
        <v>1</v>
      </c>
      <c r="Z174" s="188">
        <v>0.25</v>
      </c>
      <c r="AA174" s="497"/>
      <c r="AB174" s="191">
        <v>44645</v>
      </c>
      <c r="AC174" s="192">
        <v>60</v>
      </c>
      <c r="AD174" s="26" t="s">
        <v>60</v>
      </c>
      <c r="AE174" s="26" t="s">
        <v>60</v>
      </c>
      <c r="AF174" s="193">
        <v>0.05</v>
      </c>
      <c r="AG174" s="446"/>
      <c r="AH174" s="446"/>
      <c r="AI174" s="446"/>
      <c r="AJ174" s="434"/>
      <c r="AK174" s="434"/>
      <c r="AL174" s="434"/>
      <c r="AM174" s="431"/>
      <c r="AN174" s="434"/>
      <c r="AO174" s="437"/>
      <c r="AP174" s="440"/>
      <c r="AQ174" s="437"/>
      <c r="AR174" s="443"/>
      <c r="AS174" s="19" t="s">
        <v>66</v>
      </c>
      <c r="AT174" s="25" t="s">
        <v>67</v>
      </c>
      <c r="AU174" s="26" t="s">
        <v>68</v>
      </c>
      <c r="AV174" s="25"/>
      <c r="AW174" s="425"/>
    </row>
    <row r="175" spans="1:49" ht="42.75" x14ac:dyDescent="0.25">
      <c r="A175" s="531"/>
      <c r="B175" s="470"/>
      <c r="C175" s="473"/>
      <c r="D175" s="652"/>
      <c r="E175" s="473"/>
      <c r="F175" s="485"/>
      <c r="G175" s="460"/>
      <c r="H175" s="460"/>
      <c r="I175" s="460"/>
      <c r="J175" s="460"/>
      <c r="K175" s="490"/>
      <c r="L175" s="510"/>
      <c r="M175" s="513"/>
      <c r="N175" s="516"/>
      <c r="O175" s="516"/>
      <c r="P175" s="513"/>
      <c r="Q175" s="431"/>
      <c r="R175" s="431"/>
      <c r="S175" s="492"/>
      <c r="T175" s="437"/>
      <c r="U175" s="437"/>
      <c r="V175" s="25" t="s">
        <v>382</v>
      </c>
      <c r="W175" s="26">
        <v>1</v>
      </c>
      <c r="X175" s="186">
        <v>0.25</v>
      </c>
      <c r="Y175" s="187">
        <v>0.25</v>
      </c>
      <c r="Z175" s="188">
        <v>0.25</v>
      </c>
      <c r="AA175" s="497"/>
      <c r="AB175" s="191">
        <v>44562</v>
      </c>
      <c r="AC175" s="192">
        <v>350</v>
      </c>
      <c r="AD175" s="26" t="s">
        <v>60</v>
      </c>
      <c r="AE175" s="26" t="s">
        <v>60</v>
      </c>
      <c r="AF175" s="193">
        <v>0.05</v>
      </c>
      <c r="AG175" s="446"/>
      <c r="AH175" s="446"/>
      <c r="AI175" s="446"/>
      <c r="AJ175" s="434"/>
      <c r="AK175" s="434"/>
      <c r="AL175" s="434"/>
      <c r="AM175" s="431"/>
      <c r="AN175" s="434"/>
      <c r="AO175" s="437"/>
      <c r="AP175" s="440"/>
      <c r="AQ175" s="437"/>
      <c r="AR175" s="443"/>
      <c r="AS175" s="19" t="s">
        <v>66</v>
      </c>
      <c r="AT175" s="25" t="s">
        <v>67</v>
      </c>
      <c r="AU175" s="26" t="s">
        <v>68</v>
      </c>
      <c r="AV175" s="25"/>
      <c r="AW175" s="425"/>
    </row>
    <row r="176" spans="1:49" ht="42.75" x14ac:dyDescent="0.25">
      <c r="A176" s="531"/>
      <c r="B176" s="470"/>
      <c r="C176" s="473"/>
      <c r="D176" s="652"/>
      <c r="E176" s="473"/>
      <c r="F176" s="485"/>
      <c r="G176" s="460"/>
      <c r="H176" s="460"/>
      <c r="I176" s="460"/>
      <c r="J176" s="460"/>
      <c r="K176" s="490"/>
      <c r="L176" s="510"/>
      <c r="M176" s="513"/>
      <c r="N176" s="516"/>
      <c r="O176" s="516"/>
      <c r="P176" s="513"/>
      <c r="Q176" s="431"/>
      <c r="R176" s="431"/>
      <c r="S176" s="492"/>
      <c r="T176" s="437"/>
      <c r="U176" s="437"/>
      <c r="V176" s="25" t="s">
        <v>383</v>
      </c>
      <c r="W176" s="26">
        <v>1</v>
      </c>
      <c r="X176" s="186">
        <v>0</v>
      </c>
      <c r="Y176" s="187">
        <v>0</v>
      </c>
      <c r="Z176" s="188">
        <v>0</v>
      </c>
      <c r="AA176" s="497"/>
      <c r="AB176" s="191">
        <v>44713</v>
      </c>
      <c r="AC176" s="192">
        <v>180</v>
      </c>
      <c r="AD176" s="26" t="s">
        <v>60</v>
      </c>
      <c r="AE176" s="26" t="s">
        <v>60</v>
      </c>
      <c r="AF176" s="193">
        <v>0.05</v>
      </c>
      <c r="AG176" s="446"/>
      <c r="AH176" s="446"/>
      <c r="AI176" s="446"/>
      <c r="AJ176" s="434"/>
      <c r="AK176" s="434"/>
      <c r="AL176" s="434"/>
      <c r="AM176" s="431"/>
      <c r="AN176" s="434"/>
      <c r="AO176" s="437"/>
      <c r="AP176" s="440"/>
      <c r="AQ176" s="437"/>
      <c r="AR176" s="443"/>
      <c r="AS176" s="19" t="s">
        <v>66</v>
      </c>
      <c r="AT176" s="25" t="s">
        <v>67</v>
      </c>
      <c r="AU176" s="26" t="s">
        <v>68</v>
      </c>
      <c r="AV176" s="25"/>
      <c r="AW176" s="425"/>
    </row>
    <row r="177" spans="1:49" ht="29.25" thickBot="1" x14ac:dyDescent="0.3">
      <c r="A177" s="531"/>
      <c r="B177" s="471"/>
      <c r="C177" s="474"/>
      <c r="D177" s="653"/>
      <c r="E177" s="474"/>
      <c r="F177" s="485"/>
      <c r="G177" s="460"/>
      <c r="H177" s="460"/>
      <c r="I177" s="460"/>
      <c r="J177" s="460"/>
      <c r="K177" s="490"/>
      <c r="L177" s="511"/>
      <c r="M177" s="514"/>
      <c r="N177" s="517"/>
      <c r="O177" s="517"/>
      <c r="P177" s="514"/>
      <c r="Q177" s="459"/>
      <c r="R177" s="459"/>
      <c r="S177" s="492"/>
      <c r="T177" s="437"/>
      <c r="U177" s="437"/>
      <c r="V177" s="195" t="s">
        <v>384</v>
      </c>
      <c r="W177" s="44">
        <v>1</v>
      </c>
      <c r="X177" s="196">
        <v>0</v>
      </c>
      <c r="Y177" s="187">
        <v>0</v>
      </c>
      <c r="Z177" s="120">
        <v>0</v>
      </c>
      <c r="AA177" s="498"/>
      <c r="AB177" s="197">
        <v>44713</v>
      </c>
      <c r="AC177" s="198">
        <v>180</v>
      </c>
      <c r="AD177" s="44" t="s">
        <v>60</v>
      </c>
      <c r="AE177" s="44" t="s">
        <v>60</v>
      </c>
      <c r="AF177" s="199">
        <v>0.05</v>
      </c>
      <c r="AG177" s="447"/>
      <c r="AH177" s="447"/>
      <c r="AI177" s="447"/>
      <c r="AJ177" s="435"/>
      <c r="AK177" s="435"/>
      <c r="AL177" s="435"/>
      <c r="AM177" s="459"/>
      <c r="AN177" s="435"/>
      <c r="AO177" s="438"/>
      <c r="AP177" s="441"/>
      <c r="AQ177" s="438"/>
      <c r="AR177" s="444"/>
      <c r="AS177" s="71" t="s">
        <v>66</v>
      </c>
      <c r="AT177" s="32" t="s">
        <v>67</v>
      </c>
      <c r="AU177" s="33" t="s">
        <v>68</v>
      </c>
      <c r="AV177" s="32"/>
      <c r="AW177" s="426"/>
    </row>
    <row r="178" spans="1:49" ht="90.75" customHeight="1" thickBot="1" x14ac:dyDescent="0.3">
      <c r="A178" s="531"/>
      <c r="B178" s="200"/>
      <c r="C178" s="201"/>
      <c r="D178" s="202"/>
      <c r="E178" s="203"/>
      <c r="F178" s="471"/>
      <c r="G178" s="506" t="s">
        <v>385</v>
      </c>
      <c r="H178" s="507"/>
      <c r="I178" s="507"/>
      <c r="J178" s="507"/>
      <c r="K178" s="507"/>
      <c r="L178" s="507"/>
      <c r="M178" s="507"/>
      <c r="N178" s="507"/>
      <c r="O178" s="507"/>
      <c r="P178" s="508"/>
      <c r="Q178" s="228">
        <f>AVERAGE(Q156:Q177)</f>
        <v>0.44000000000000006</v>
      </c>
      <c r="R178" s="228">
        <f>AVERAGE(R156:R177)</f>
        <v>0.80714285714285716</v>
      </c>
      <c r="S178" s="493"/>
      <c r="T178" s="466" t="s">
        <v>386</v>
      </c>
      <c r="U178" s="467"/>
      <c r="V178" s="467"/>
      <c r="W178" s="467"/>
      <c r="X178" s="467"/>
      <c r="Y178" s="467"/>
      <c r="Z178" s="468"/>
      <c r="AA178" s="204">
        <f>+AA156</f>
        <v>0.38863636363636367</v>
      </c>
      <c r="AB178" s="205"/>
      <c r="AC178" s="192"/>
      <c r="AD178" s="26"/>
      <c r="AE178" s="26"/>
      <c r="AF178" s="206"/>
      <c r="AG178" s="114"/>
      <c r="AH178" s="66"/>
      <c r="AI178" s="66"/>
      <c r="AJ178" s="115"/>
      <c r="AK178" s="115"/>
      <c r="AL178" s="115"/>
      <c r="AM178" s="115"/>
      <c r="AN178" s="115"/>
      <c r="AO178" s="67"/>
      <c r="AP178" s="68"/>
      <c r="AQ178" s="67"/>
      <c r="AR178" s="69"/>
      <c r="AS178" s="71"/>
      <c r="AT178" s="70"/>
      <c r="AU178" s="71"/>
      <c r="AV178" s="70"/>
      <c r="AW178" s="70"/>
    </row>
    <row r="179" spans="1:49" ht="42.75" customHeight="1" x14ac:dyDescent="0.25">
      <c r="A179" s="531"/>
      <c r="B179" s="469" t="s">
        <v>387</v>
      </c>
      <c r="C179" s="472" t="s">
        <v>388</v>
      </c>
      <c r="D179" s="475" t="s">
        <v>389</v>
      </c>
      <c r="E179" s="475" t="s">
        <v>390</v>
      </c>
      <c r="F179" s="478" t="s">
        <v>391</v>
      </c>
      <c r="G179" s="472" t="s">
        <v>392</v>
      </c>
      <c r="H179" s="472" t="s">
        <v>54</v>
      </c>
      <c r="I179" s="480">
        <v>0</v>
      </c>
      <c r="J179" s="472" t="s">
        <v>393</v>
      </c>
      <c r="K179" s="453">
        <v>1</v>
      </c>
      <c r="L179" s="455" t="s">
        <v>423</v>
      </c>
      <c r="M179" s="457">
        <v>0.67</v>
      </c>
      <c r="N179" s="457">
        <v>0.31</v>
      </c>
      <c r="O179" s="457">
        <v>0.3</v>
      </c>
      <c r="P179" s="457">
        <f>M179+0.12</f>
        <v>0.79</v>
      </c>
      <c r="Q179" s="453">
        <f>N179+O179</f>
        <v>0.61</v>
      </c>
      <c r="R179" s="453">
        <f>M179+0.12</f>
        <v>0.79</v>
      </c>
      <c r="S179" s="449" t="s">
        <v>394</v>
      </c>
      <c r="T179" s="452">
        <v>2020130010203</v>
      </c>
      <c r="U179" s="437" t="s">
        <v>395</v>
      </c>
      <c r="V179" s="18" t="s">
        <v>396</v>
      </c>
      <c r="W179" s="19">
        <v>1</v>
      </c>
      <c r="X179" s="19">
        <v>0.31</v>
      </c>
      <c r="Y179" s="27">
        <v>0.3</v>
      </c>
      <c r="Z179" s="21">
        <f>+X179+Y179/W179</f>
        <v>0.61</v>
      </c>
      <c r="AA179" s="461">
        <f>AVERAGE(Z179:Z189)</f>
        <v>0.6100000000000001</v>
      </c>
      <c r="AB179" s="22">
        <v>44197</v>
      </c>
      <c r="AC179" s="23">
        <v>365</v>
      </c>
      <c r="AD179" s="19" t="s">
        <v>60</v>
      </c>
      <c r="AE179" s="19" t="s">
        <v>60</v>
      </c>
      <c r="AF179" s="42">
        <v>9.0999999999999998E-2</v>
      </c>
      <c r="AG179" s="445" t="s">
        <v>61</v>
      </c>
      <c r="AH179" s="445" t="s">
        <v>62</v>
      </c>
      <c r="AI179" s="445" t="s">
        <v>291</v>
      </c>
      <c r="AJ179" s="433">
        <v>1300000000</v>
      </c>
      <c r="AK179" s="433">
        <v>1300000000</v>
      </c>
      <c r="AL179" s="433">
        <v>334941151</v>
      </c>
      <c r="AM179" s="430">
        <f>+AL179/AJ179</f>
        <v>0.2576470392307692</v>
      </c>
      <c r="AN179" s="433" t="s">
        <v>291</v>
      </c>
      <c r="AO179" s="436" t="s">
        <v>64</v>
      </c>
      <c r="AP179" s="439"/>
      <c r="AQ179" s="436" t="s">
        <v>65</v>
      </c>
      <c r="AR179" s="442">
        <f>AL179</f>
        <v>334941151</v>
      </c>
      <c r="AS179" s="41" t="s">
        <v>66</v>
      </c>
      <c r="AT179" s="18" t="s">
        <v>67</v>
      </c>
      <c r="AU179" s="19" t="s">
        <v>68</v>
      </c>
      <c r="AV179" s="18"/>
      <c r="AW179" s="427" t="s">
        <v>425</v>
      </c>
    </row>
    <row r="180" spans="1:49" ht="57" x14ac:dyDescent="0.25">
      <c r="A180" s="531"/>
      <c r="B180" s="470"/>
      <c r="C180" s="473"/>
      <c r="D180" s="476"/>
      <c r="E180" s="476"/>
      <c r="F180" s="479"/>
      <c r="G180" s="473"/>
      <c r="H180" s="473"/>
      <c r="I180" s="481"/>
      <c r="J180" s="473"/>
      <c r="K180" s="454"/>
      <c r="L180" s="456"/>
      <c r="M180" s="458"/>
      <c r="N180" s="458"/>
      <c r="O180" s="458"/>
      <c r="P180" s="458"/>
      <c r="Q180" s="454"/>
      <c r="R180" s="454"/>
      <c r="S180" s="450"/>
      <c r="T180" s="452"/>
      <c r="U180" s="437"/>
      <c r="V180" s="25" t="s">
        <v>397</v>
      </c>
      <c r="W180" s="26">
        <v>1</v>
      </c>
      <c r="X180" s="26">
        <v>0.31</v>
      </c>
      <c r="Y180" s="27">
        <v>0.3</v>
      </c>
      <c r="Z180" s="21">
        <f t="shared" ref="Z180:Z189" si="13">+X180+Y180/W180</f>
        <v>0.61</v>
      </c>
      <c r="AA180" s="462"/>
      <c r="AB180" s="28">
        <v>44197</v>
      </c>
      <c r="AC180" s="54">
        <v>365</v>
      </c>
      <c r="AD180" s="19" t="s">
        <v>60</v>
      </c>
      <c r="AE180" s="19" t="s">
        <v>60</v>
      </c>
      <c r="AF180" s="42">
        <v>9.0999999999999998E-2</v>
      </c>
      <c r="AG180" s="446"/>
      <c r="AH180" s="446"/>
      <c r="AI180" s="446"/>
      <c r="AJ180" s="434"/>
      <c r="AK180" s="434"/>
      <c r="AL180" s="434"/>
      <c r="AM180" s="431"/>
      <c r="AN180" s="434"/>
      <c r="AO180" s="437"/>
      <c r="AP180" s="440"/>
      <c r="AQ180" s="437"/>
      <c r="AR180" s="443"/>
      <c r="AS180" s="19" t="s">
        <v>66</v>
      </c>
      <c r="AT180" s="25" t="s">
        <v>67</v>
      </c>
      <c r="AU180" s="26" t="s">
        <v>68</v>
      </c>
      <c r="AV180" s="25"/>
      <c r="AW180" s="425"/>
    </row>
    <row r="181" spans="1:49" ht="101.25" customHeight="1" x14ac:dyDescent="0.25">
      <c r="A181" s="531"/>
      <c r="B181" s="470"/>
      <c r="C181" s="473"/>
      <c r="D181" s="476"/>
      <c r="E181" s="476"/>
      <c r="F181" s="479"/>
      <c r="G181" s="473"/>
      <c r="H181" s="473"/>
      <c r="I181" s="481"/>
      <c r="J181" s="473"/>
      <c r="K181" s="454"/>
      <c r="L181" s="456"/>
      <c r="M181" s="458"/>
      <c r="N181" s="458"/>
      <c r="O181" s="458"/>
      <c r="P181" s="458"/>
      <c r="Q181" s="454"/>
      <c r="R181" s="454"/>
      <c r="S181" s="450"/>
      <c r="T181" s="452"/>
      <c r="U181" s="437"/>
      <c r="V181" s="25" t="s">
        <v>398</v>
      </c>
      <c r="W181" s="26">
        <v>1</v>
      </c>
      <c r="X181" s="26">
        <v>0.31</v>
      </c>
      <c r="Y181" s="27">
        <v>0.3</v>
      </c>
      <c r="Z181" s="21">
        <f t="shared" si="13"/>
        <v>0.61</v>
      </c>
      <c r="AA181" s="462"/>
      <c r="AB181" s="28">
        <v>44197</v>
      </c>
      <c r="AC181" s="54">
        <v>365</v>
      </c>
      <c r="AD181" s="19" t="s">
        <v>60</v>
      </c>
      <c r="AE181" s="19" t="s">
        <v>60</v>
      </c>
      <c r="AF181" s="42">
        <v>9.0999999999999998E-2</v>
      </c>
      <c r="AG181" s="446"/>
      <c r="AH181" s="446"/>
      <c r="AI181" s="446"/>
      <c r="AJ181" s="434"/>
      <c r="AK181" s="434"/>
      <c r="AL181" s="434"/>
      <c r="AM181" s="431"/>
      <c r="AN181" s="434"/>
      <c r="AO181" s="437"/>
      <c r="AP181" s="440"/>
      <c r="AQ181" s="437"/>
      <c r="AR181" s="443"/>
      <c r="AS181" s="19" t="s">
        <v>66</v>
      </c>
      <c r="AT181" s="25" t="s">
        <v>67</v>
      </c>
      <c r="AU181" s="26" t="s">
        <v>68</v>
      </c>
      <c r="AV181" s="25"/>
      <c r="AW181" s="425"/>
    </row>
    <row r="182" spans="1:49" ht="98.25" customHeight="1" x14ac:dyDescent="0.25">
      <c r="A182" s="531"/>
      <c r="B182" s="470"/>
      <c r="C182" s="473"/>
      <c r="D182" s="476"/>
      <c r="E182" s="476"/>
      <c r="F182" s="479"/>
      <c r="G182" s="473"/>
      <c r="H182" s="473"/>
      <c r="I182" s="481"/>
      <c r="J182" s="473"/>
      <c r="K182" s="454"/>
      <c r="L182" s="456"/>
      <c r="M182" s="458"/>
      <c r="N182" s="458"/>
      <c r="O182" s="458"/>
      <c r="P182" s="458"/>
      <c r="Q182" s="454"/>
      <c r="R182" s="454"/>
      <c r="S182" s="450"/>
      <c r="T182" s="452"/>
      <c r="U182" s="437"/>
      <c r="V182" s="25" t="s">
        <v>399</v>
      </c>
      <c r="W182" s="26">
        <v>1</v>
      </c>
      <c r="X182" s="26">
        <v>0.31</v>
      </c>
      <c r="Y182" s="27">
        <v>0.3</v>
      </c>
      <c r="Z182" s="21">
        <f t="shared" si="13"/>
        <v>0.61</v>
      </c>
      <c r="AA182" s="462"/>
      <c r="AB182" s="28">
        <v>44197</v>
      </c>
      <c r="AC182" s="54">
        <v>365</v>
      </c>
      <c r="AD182" s="19" t="s">
        <v>60</v>
      </c>
      <c r="AE182" s="19" t="s">
        <v>60</v>
      </c>
      <c r="AF182" s="42">
        <v>9.0999999999999998E-2</v>
      </c>
      <c r="AG182" s="446"/>
      <c r="AH182" s="446"/>
      <c r="AI182" s="446"/>
      <c r="AJ182" s="434"/>
      <c r="AK182" s="434"/>
      <c r="AL182" s="434"/>
      <c r="AM182" s="431"/>
      <c r="AN182" s="434"/>
      <c r="AO182" s="437"/>
      <c r="AP182" s="440"/>
      <c r="AQ182" s="437"/>
      <c r="AR182" s="443"/>
      <c r="AS182" s="19" t="s">
        <v>66</v>
      </c>
      <c r="AT182" s="25" t="s">
        <v>67</v>
      </c>
      <c r="AU182" s="26" t="s">
        <v>68</v>
      </c>
      <c r="AV182" s="25"/>
      <c r="AW182" s="425"/>
    </row>
    <row r="183" spans="1:49" ht="110.25" customHeight="1" x14ac:dyDescent="0.25">
      <c r="A183" s="531"/>
      <c r="B183" s="470"/>
      <c r="C183" s="473"/>
      <c r="D183" s="476"/>
      <c r="E183" s="476"/>
      <c r="F183" s="479"/>
      <c r="G183" s="473"/>
      <c r="H183" s="473"/>
      <c r="I183" s="481"/>
      <c r="J183" s="473"/>
      <c r="K183" s="454"/>
      <c r="L183" s="456"/>
      <c r="M183" s="458"/>
      <c r="N183" s="458"/>
      <c r="O183" s="458"/>
      <c r="P183" s="458"/>
      <c r="Q183" s="454"/>
      <c r="R183" s="454"/>
      <c r="S183" s="450"/>
      <c r="T183" s="452"/>
      <c r="U183" s="437"/>
      <c r="V183" s="25" t="s">
        <v>400</v>
      </c>
      <c r="W183" s="26">
        <v>1</v>
      </c>
      <c r="X183" s="26">
        <v>0.31</v>
      </c>
      <c r="Y183" s="27">
        <v>0.3</v>
      </c>
      <c r="Z183" s="21">
        <f t="shared" si="13"/>
        <v>0.61</v>
      </c>
      <c r="AA183" s="462"/>
      <c r="AB183" s="28">
        <v>44197</v>
      </c>
      <c r="AC183" s="54">
        <v>365</v>
      </c>
      <c r="AD183" s="19" t="s">
        <v>60</v>
      </c>
      <c r="AE183" s="19" t="s">
        <v>60</v>
      </c>
      <c r="AF183" s="42">
        <v>9.0999999999999998E-2</v>
      </c>
      <c r="AG183" s="446"/>
      <c r="AH183" s="446"/>
      <c r="AI183" s="446"/>
      <c r="AJ183" s="434"/>
      <c r="AK183" s="434"/>
      <c r="AL183" s="434"/>
      <c r="AM183" s="431"/>
      <c r="AN183" s="434"/>
      <c r="AO183" s="437"/>
      <c r="AP183" s="440"/>
      <c r="AQ183" s="437"/>
      <c r="AR183" s="443"/>
      <c r="AS183" s="19" t="s">
        <v>66</v>
      </c>
      <c r="AT183" s="25" t="s">
        <v>401</v>
      </c>
      <c r="AU183" s="26" t="s">
        <v>169</v>
      </c>
      <c r="AV183" s="25"/>
      <c r="AW183" s="425"/>
    </row>
    <row r="184" spans="1:49" ht="93.75" customHeight="1" x14ac:dyDescent="0.25">
      <c r="A184" s="531"/>
      <c r="B184" s="470"/>
      <c r="C184" s="473"/>
      <c r="D184" s="476"/>
      <c r="E184" s="476"/>
      <c r="F184" s="479"/>
      <c r="G184" s="473"/>
      <c r="H184" s="473"/>
      <c r="I184" s="481"/>
      <c r="J184" s="473"/>
      <c r="K184" s="454"/>
      <c r="L184" s="456"/>
      <c r="M184" s="458"/>
      <c r="N184" s="458"/>
      <c r="O184" s="458"/>
      <c r="P184" s="458"/>
      <c r="Q184" s="454"/>
      <c r="R184" s="454"/>
      <c r="S184" s="450"/>
      <c r="T184" s="452"/>
      <c r="U184" s="437"/>
      <c r="V184" s="25" t="s">
        <v>402</v>
      </c>
      <c r="W184" s="26">
        <v>1</v>
      </c>
      <c r="X184" s="26">
        <v>0.31</v>
      </c>
      <c r="Y184" s="27">
        <v>0.3</v>
      </c>
      <c r="Z184" s="21">
        <f t="shared" si="13"/>
        <v>0.61</v>
      </c>
      <c r="AA184" s="462"/>
      <c r="AB184" s="28">
        <v>44197</v>
      </c>
      <c r="AC184" s="54">
        <v>365</v>
      </c>
      <c r="AD184" s="19" t="s">
        <v>60</v>
      </c>
      <c r="AE184" s="19" t="s">
        <v>60</v>
      </c>
      <c r="AF184" s="42">
        <v>9.0999999999999998E-2</v>
      </c>
      <c r="AG184" s="446"/>
      <c r="AH184" s="446"/>
      <c r="AI184" s="446"/>
      <c r="AJ184" s="434"/>
      <c r="AK184" s="434"/>
      <c r="AL184" s="434"/>
      <c r="AM184" s="431"/>
      <c r="AN184" s="434"/>
      <c r="AO184" s="437"/>
      <c r="AP184" s="440"/>
      <c r="AQ184" s="437"/>
      <c r="AR184" s="443"/>
      <c r="AS184" s="19" t="s">
        <v>66</v>
      </c>
      <c r="AT184" s="25" t="s">
        <v>67</v>
      </c>
      <c r="AU184" s="26" t="s">
        <v>68</v>
      </c>
      <c r="AV184" s="25"/>
      <c r="AW184" s="425"/>
    </row>
    <row r="185" spans="1:49" ht="77.25" customHeight="1" x14ac:dyDescent="0.25">
      <c r="A185" s="531"/>
      <c r="B185" s="470"/>
      <c r="C185" s="473"/>
      <c r="D185" s="476"/>
      <c r="E185" s="476"/>
      <c r="F185" s="479"/>
      <c r="G185" s="473"/>
      <c r="H185" s="473"/>
      <c r="I185" s="481"/>
      <c r="J185" s="473"/>
      <c r="K185" s="454"/>
      <c r="L185" s="456"/>
      <c r="M185" s="458"/>
      <c r="N185" s="458"/>
      <c r="O185" s="458"/>
      <c r="P185" s="458"/>
      <c r="Q185" s="454"/>
      <c r="R185" s="454"/>
      <c r="S185" s="450"/>
      <c r="T185" s="452"/>
      <c r="U185" s="437"/>
      <c r="V185" s="25" t="s">
        <v>403</v>
      </c>
      <c r="W185" s="26">
        <v>1</v>
      </c>
      <c r="X185" s="26">
        <v>0.31</v>
      </c>
      <c r="Y185" s="27">
        <v>0.3</v>
      </c>
      <c r="Z185" s="21">
        <f t="shared" si="13"/>
        <v>0.61</v>
      </c>
      <c r="AA185" s="462"/>
      <c r="AB185" s="28">
        <v>44197</v>
      </c>
      <c r="AC185" s="54">
        <v>365</v>
      </c>
      <c r="AD185" s="19" t="s">
        <v>60</v>
      </c>
      <c r="AE185" s="19" t="s">
        <v>60</v>
      </c>
      <c r="AF185" s="42">
        <v>9.0999999999999998E-2</v>
      </c>
      <c r="AG185" s="446"/>
      <c r="AH185" s="446"/>
      <c r="AI185" s="446"/>
      <c r="AJ185" s="434"/>
      <c r="AK185" s="434"/>
      <c r="AL185" s="434"/>
      <c r="AM185" s="431"/>
      <c r="AN185" s="434"/>
      <c r="AO185" s="437"/>
      <c r="AP185" s="440"/>
      <c r="AQ185" s="437"/>
      <c r="AR185" s="443"/>
      <c r="AS185" s="19" t="s">
        <v>66</v>
      </c>
      <c r="AT185" s="25" t="s">
        <v>401</v>
      </c>
      <c r="AU185" s="26" t="s">
        <v>77</v>
      </c>
      <c r="AV185" s="25"/>
      <c r="AW185" s="425"/>
    </row>
    <row r="186" spans="1:49" ht="96.75" customHeight="1" x14ac:dyDescent="0.25">
      <c r="A186" s="531"/>
      <c r="B186" s="470"/>
      <c r="C186" s="473"/>
      <c r="D186" s="476"/>
      <c r="E186" s="476"/>
      <c r="F186" s="479"/>
      <c r="G186" s="473"/>
      <c r="H186" s="473"/>
      <c r="I186" s="481"/>
      <c r="J186" s="473"/>
      <c r="K186" s="454"/>
      <c r="L186" s="456"/>
      <c r="M186" s="458"/>
      <c r="N186" s="458"/>
      <c r="O186" s="458"/>
      <c r="P186" s="458"/>
      <c r="Q186" s="454"/>
      <c r="R186" s="454"/>
      <c r="S186" s="450"/>
      <c r="T186" s="452"/>
      <c r="U186" s="437"/>
      <c r="V186" s="25" t="s">
        <v>404</v>
      </c>
      <c r="W186" s="26">
        <v>1</v>
      </c>
      <c r="X186" s="26">
        <v>0.31</v>
      </c>
      <c r="Y186" s="27">
        <v>0.3</v>
      </c>
      <c r="Z186" s="21">
        <f t="shared" si="13"/>
        <v>0.61</v>
      </c>
      <c r="AA186" s="462"/>
      <c r="AB186" s="28">
        <v>44197</v>
      </c>
      <c r="AC186" s="54">
        <v>365</v>
      </c>
      <c r="AD186" s="19" t="s">
        <v>60</v>
      </c>
      <c r="AE186" s="19" t="s">
        <v>60</v>
      </c>
      <c r="AF186" s="42">
        <v>9.0999999999999998E-2</v>
      </c>
      <c r="AG186" s="446"/>
      <c r="AH186" s="446"/>
      <c r="AI186" s="446"/>
      <c r="AJ186" s="434"/>
      <c r="AK186" s="434"/>
      <c r="AL186" s="434"/>
      <c r="AM186" s="431"/>
      <c r="AN186" s="434"/>
      <c r="AO186" s="437"/>
      <c r="AP186" s="440"/>
      <c r="AQ186" s="437"/>
      <c r="AR186" s="443"/>
      <c r="AS186" s="19" t="s">
        <v>66</v>
      </c>
      <c r="AT186" s="25" t="s">
        <v>67</v>
      </c>
      <c r="AU186" s="26" t="s">
        <v>68</v>
      </c>
      <c r="AV186" s="25"/>
      <c r="AW186" s="425"/>
    </row>
    <row r="187" spans="1:49" ht="90.75" customHeight="1" x14ac:dyDescent="0.25">
      <c r="A187" s="531"/>
      <c r="B187" s="470"/>
      <c r="C187" s="473"/>
      <c r="D187" s="476"/>
      <c r="E187" s="476"/>
      <c r="F187" s="479"/>
      <c r="G187" s="473"/>
      <c r="H187" s="473"/>
      <c r="I187" s="481"/>
      <c r="J187" s="473"/>
      <c r="K187" s="454"/>
      <c r="L187" s="456"/>
      <c r="M187" s="458"/>
      <c r="N187" s="458"/>
      <c r="O187" s="458"/>
      <c r="P187" s="458"/>
      <c r="Q187" s="454"/>
      <c r="R187" s="454"/>
      <c r="S187" s="450"/>
      <c r="T187" s="452"/>
      <c r="U187" s="437"/>
      <c r="V187" s="25" t="s">
        <v>405</v>
      </c>
      <c r="W187" s="26">
        <v>1</v>
      </c>
      <c r="X187" s="26">
        <v>0.31</v>
      </c>
      <c r="Y187" s="27">
        <v>0.3</v>
      </c>
      <c r="Z187" s="21">
        <f t="shared" si="13"/>
        <v>0.61</v>
      </c>
      <c r="AA187" s="462"/>
      <c r="AB187" s="28">
        <v>44197</v>
      </c>
      <c r="AC187" s="54">
        <v>365</v>
      </c>
      <c r="AD187" s="19" t="s">
        <v>60</v>
      </c>
      <c r="AE187" s="19" t="s">
        <v>60</v>
      </c>
      <c r="AF187" s="42">
        <v>9.0999999999999998E-2</v>
      </c>
      <c r="AG187" s="446"/>
      <c r="AH187" s="446"/>
      <c r="AI187" s="446"/>
      <c r="AJ187" s="434"/>
      <c r="AK187" s="434"/>
      <c r="AL187" s="434"/>
      <c r="AM187" s="431"/>
      <c r="AN187" s="434"/>
      <c r="AO187" s="437"/>
      <c r="AP187" s="440"/>
      <c r="AQ187" s="437"/>
      <c r="AR187" s="443"/>
      <c r="AS187" s="19" t="s">
        <v>66</v>
      </c>
      <c r="AT187" s="25" t="s">
        <v>401</v>
      </c>
      <c r="AU187" s="26" t="s">
        <v>169</v>
      </c>
      <c r="AV187" s="25"/>
      <c r="AW187" s="425"/>
    </row>
    <row r="188" spans="1:49" ht="83.25" customHeight="1" x14ac:dyDescent="0.25">
      <c r="A188" s="531"/>
      <c r="B188" s="470"/>
      <c r="C188" s="473"/>
      <c r="D188" s="476"/>
      <c r="E188" s="476"/>
      <c r="F188" s="479"/>
      <c r="G188" s="473"/>
      <c r="H188" s="473"/>
      <c r="I188" s="481"/>
      <c r="J188" s="473"/>
      <c r="K188" s="454"/>
      <c r="L188" s="456"/>
      <c r="M188" s="458"/>
      <c r="N188" s="458"/>
      <c r="O188" s="458"/>
      <c r="P188" s="458"/>
      <c r="Q188" s="454"/>
      <c r="R188" s="454"/>
      <c r="S188" s="450"/>
      <c r="T188" s="452"/>
      <c r="U188" s="437"/>
      <c r="V188" s="25" t="s">
        <v>406</v>
      </c>
      <c r="W188" s="26">
        <v>1</v>
      </c>
      <c r="X188" s="26">
        <v>0.31</v>
      </c>
      <c r="Y188" s="27">
        <v>0.3</v>
      </c>
      <c r="Z188" s="21">
        <f>+X188+Y188/W188</f>
        <v>0.61</v>
      </c>
      <c r="AA188" s="462"/>
      <c r="AB188" s="28">
        <v>44197</v>
      </c>
      <c r="AC188" s="54">
        <v>365</v>
      </c>
      <c r="AD188" s="19" t="s">
        <v>60</v>
      </c>
      <c r="AE188" s="19" t="s">
        <v>60</v>
      </c>
      <c r="AF188" s="42">
        <v>9.0999999999999998E-2</v>
      </c>
      <c r="AG188" s="446"/>
      <c r="AH188" s="446"/>
      <c r="AI188" s="446"/>
      <c r="AJ188" s="434"/>
      <c r="AK188" s="434"/>
      <c r="AL188" s="434"/>
      <c r="AM188" s="431"/>
      <c r="AN188" s="434"/>
      <c r="AO188" s="437"/>
      <c r="AP188" s="440"/>
      <c r="AQ188" s="437"/>
      <c r="AR188" s="443"/>
      <c r="AS188" s="19" t="s">
        <v>66</v>
      </c>
      <c r="AT188" s="25" t="s">
        <v>407</v>
      </c>
      <c r="AU188" s="26" t="s">
        <v>77</v>
      </c>
      <c r="AV188" s="25"/>
      <c r="AW188" s="425"/>
    </row>
    <row r="189" spans="1:49" ht="99" customHeight="1" thickBot="1" x14ac:dyDescent="0.3">
      <c r="A189" s="532"/>
      <c r="B189" s="471"/>
      <c r="C189" s="474"/>
      <c r="D189" s="477"/>
      <c r="E189" s="477"/>
      <c r="F189" s="479"/>
      <c r="G189" s="473"/>
      <c r="H189" s="473"/>
      <c r="I189" s="481"/>
      <c r="J189" s="473"/>
      <c r="K189" s="454"/>
      <c r="L189" s="456"/>
      <c r="M189" s="458"/>
      <c r="N189" s="458"/>
      <c r="O189" s="458"/>
      <c r="P189" s="458"/>
      <c r="Q189" s="454"/>
      <c r="R189" s="454"/>
      <c r="S189" s="450"/>
      <c r="T189" s="452"/>
      <c r="U189" s="437"/>
      <c r="V189" s="43" t="s">
        <v>213</v>
      </c>
      <c r="W189" s="44">
        <v>1</v>
      </c>
      <c r="X189" s="44">
        <v>0.31</v>
      </c>
      <c r="Y189" s="27">
        <v>0.3</v>
      </c>
      <c r="Z189" s="21">
        <f t="shared" si="13"/>
        <v>0.61</v>
      </c>
      <c r="AA189" s="462"/>
      <c r="AB189" s="35">
        <v>44197</v>
      </c>
      <c r="AC189" s="36">
        <v>365</v>
      </c>
      <c r="AD189" s="33" t="s">
        <v>60</v>
      </c>
      <c r="AE189" s="33" t="s">
        <v>60</v>
      </c>
      <c r="AF189" s="207">
        <v>9.0999999999999998E-2</v>
      </c>
      <c r="AG189" s="447"/>
      <c r="AH189" s="447"/>
      <c r="AI189" s="447"/>
      <c r="AJ189" s="434"/>
      <c r="AK189" s="434"/>
      <c r="AL189" s="448"/>
      <c r="AM189" s="432"/>
      <c r="AN189" s="435"/>
      <c r="AO189" s="438"/>
      <c r="AP189" s="441"/>
      <c r="AQ189" s="438"/>
      <c r="AR189" s="444"/>
      <c r="AS189" s="38" t="s">
        <v>66</v>
      </c>
      <c r="AT189" s="32" t="s">
        <v>67</v>
      </c>
      <c r="AU189" s="33" t="s">
        <v>68</v>
      </c>
      <c r="AV189" s="32"/>
      <c r="AW189" s="425"/>
    </row>
    <row r="190" spans="1:49" ht="70.5" customHeight="1" thickBot="1" x14ac:dyDescent="0.35">
      <c r="A190" s="17" t="s">
        <v>408</v>
      </c>
      <c r="F190" s="479"/>
      <c r="G190" s="482" t="s">
        <v>409</v>
      </c>
      <c r="H190" s="483"/>
      <c r="I190" s="483"/>
      <c r="J190" s="483"/>
      <c r="K190" s="483"/>
      <c r="L190" s="483"/>
      <c r="M190" s="483"/>
      <c r="N190" s="483"/>
      <c r="O190" s="483"/>
      <c r="P190" s="484"/>
      <c r="Q190" s="229">
        <f>AVERAGE(Q179)</f>
        <v>0.61</v>
      </c>
      <c r="R190" s="229">
        <f>AVERAGE(R179)</f>
        <v>0.79</v>
      </c>
      <c r="S190" s="451"/>
      <c r="T190" s="429" t="s">
        <v>410</v>
      </c>
      <c r="U190" s="429"/>
      <c r="V190" s="429"/>
      <c r="W190" s="429"/>
      <c r="X190" s="429"/>
      <c r="Y190" s="429"/>
      <c r="Z190" s="429"/>
      <c r="AA190" s="208">
        <f>+AA179</f>
        <v>0.6100000000000001</v>
      </c>
      <c r="AI190" s="211"/>
      <c r="AJ190" s="212">
        <f>SUM(AJ2:AJ189)</f>
        <v>7067634819</v>
      </c>
      <c r="AK190" s="212">
        <f>SUM(AK2:AK189)</f>
        <v>7067634817</v>
      </c>
      <c r="AL190" s="213">
        <f>SUM(AL2:AL189)</f>
        <v>4451803358</v>
      </c>
      <c r="AM190" s="214"/>
      <c r="AN190" s="215"/>
      <c r="AR190" s="215"/>
    </row>
    <row r="191" spans="1:49" ht="51" customHeight="1" x14ac:dyDescent="0.35">
      <c r="N191" s="428" t="s">
        <v>411</v>
      </c>
      <c r="O191" s="428"/>
      <c r="P191" s="428"/>
      <c r="Q191" s="230">
        <f>AVERAGE(Q32,Q68,Q87,Q123,Q137,Q155,Q178,Q190)</f>
        <v>0.47539575757575758</v>
      </c>
      <c r="R191" s="230">
        <f>AVERAGE(R32,R68,R87,R123,R137,R155,R178,R190)</f>
        <v>0.63615400100012909</v>
      </c>
      <c r="X191" s="429" t="s">
        <v>412</v>
      </c>
      <c r="Y191" s="429"/>
      <c r="Z191" s="429"/>
      <c r="AA191" s="218">
        <f>AVERAGE(AA32,AA68,AA123,AA137,AA155,AA178,AA190)</f>
        <v>0.52099029761442472</v>
      </c>
      <c r="AI191" s="211" t="s">
        <v>413</v>
      </c>
      <c r="AJ191" s="219"/>
      <c r="AK191" s="219"/>
      <c r="AL191" s="220">
        <f>+AL190/AK190</f>
        <v>0.62988587742138857</v>
      </c>
      <c r="AM191" s="221"/>
      <c r="AN191" s="215"/>
      <c r="AR191" s="215"/>
    </row>
    <row r="192" spans="1:49" x14ac:dyDescent="0.25">
      <c r="AN192" s="215"/>
      <c r="AR192" s="215"/>
    </row>
    <row r="193" spans="40:44" x14ac:dyDescent="0.25">
      <c r="AN193" s="215"/>
      <c r="AR193" s="215"/>
    </row>
    <row r="194" spans="40:44" x14ac:dyDescent="0.25">
      <c r="AN194" s="215"/>
      <c r="AR194" s="215"/>
    </row>
    <row r="195" spans="40:44" x14ac:dyDescent="0.25">
      <c r="AN195" s="215"/>
      <c r="AR195" s="215"/>
    </row>
    <row r="196" spans="40:44" x14ac:dyDescent="0.25">
      <c r="AN196" s="215"/>
      <c r="AR196" s="215"/>
    </row>
    <row r="197" spans="40:44" x14ac:dyDescent="0.25">
      <c r="AN197" s="215"/>
      <c r="AR197" s="215"/>
    </row>
    <row r="198" spans="40:44" ht="23.25" x14ac:dyDescent="0.35">
      <c r="AN198" s="215"/>
      <c r="AR198" s="241"/>
    </row>
    <row r="199" spans="40:44" x14ac:dyDescent="0.25">
      <c r="AN199" s="215"/>
      <c r="AR199" s="215"/>
    </row>
  </sheetData>
  <mergeCells count="785">
    <mergeCell ref="AW88:AW89"/>
    <mergeCell ref="AW168:AW172"/>
    <mergeCell ref="AW173:AW177"/>
    <mergeCell ref="AW179:AW189"/>
    <mergeCell ref="AL97:AL103"/>
    <mergeCell ref="AM97:AM103"/>
    <mergeCell ref="AN97:AN103"/>
    <mergeCell ref="AO97:AO103"/>
    <mergeCell ref="AQ97:AQ103"/>
    <mergeCell ref="AR97:AR103"/>
    <mergeCell ref="AP104:AP122"/>
    <mergeCell ref="AQ104:AQ113"/>
    <mergeCell ref="AR114:AR122"/>
    <mergeCell ref="AO128:AO132"/>
    <mergeCell ref="AQ128:AQ132"/>
    <mergeCell ref="AR138:AR154"/>
    <mergeCell ref="AM138:AM154"/>
    <mergeCell ref="AW118:AW122"/>
    <mergeCell ref="AL138:AL154"/>
    <mergeCell ref="AN138:AN154"/>
    <mergeCell ref="AO138:AO154"/>
    <mergeCell ref="AP138:AP154"/>
    <mergeCell ref="AQ138:AQ154"/>
    <mergeCell ref="AP156:AP177"/>
    <mergeCell ref="G2:G11"/>
    <mergeCell ref="H2:H11"/>
    <mergeCell ref="I2:I11"/>
    <mergeCell ref="J2:J11"/>
    <mergeCell ref="K2:K11"/>
    <mergeCell ref="L2:L11"/>
    <mergeCell ref="I12:I17"/>
    <mergeCell ref="J12:J17"/>
    <mergeCell ref="K12:K17"/>
    <mergeCell ref="L12:L17"/>
    <mergeCell ref="AO2:AO5"/>
    <mergeCell ref="AP2:AP5"/>
    <mergeCell ref="AQ2:AQ5"/>
    <mergeCell ref="AR2:AR5"/>
    <mergeCell ref="AI6:AI11"/>
    <mergeCell ref="AJ6:AJ11"/>
    <mergeCell ref="AK6:AK11"/>
    <mergeCell ref="AL6:AL11"/>
    <mergeCell ref="AM6:AM11"/>
    <mergeCell ref="AN6:AN11"/>
    <mergeCell ref="AI2:AI5"/>
    <mergeCell ref="AJ2:AJ5"/>
    <mergeCell ref="AK2:AK5"/>
    <mergeCell ref="AL2:AL5"/>
    <mergeCell ref="AM2:AM5"/>
    <mergeCell ref="AN2:AN5"/>
    <mergeCell ref="AO6:AO11"/>
    <mergeCell ref="AP6:AP11"/>
    <mergeCell ref="AQ6:AQ11"/>
    <mergeCell ref="AR6:AR11"/>
    <mergeCell ref="A2:A189"/>
    <mergeCell ref="B2:B177"/>
    <mergeCell ref="C2:C177"/>
    <mergeCell ref="D2:D177"/>
    <mergeCell ref="E2:E177"/>
    <mergeCell ref="F2:F32"/>
    <mergeCell ref="F88:F123"/>
    <mergeCell ref="G12:G17"/>
    <mergeCell ref="H12:H17"/>
    <mergeCell ref="G27:G29"/>
    <mergeCell ref="H27:H29"/>
    <mergeCell ref="G63:G67"/>
    <mergeCell ref="H63:H67"/>
    <mergeCell ref="G98:G100"/>
    <mergeCell ref="H98:H100"/>
    <mergeCell ref="G123:P123"/>
    <mergeCell ref="F124:F137"/>
    <mergeCell ref="G124:G128"/>
    <mergeCell ref="H124:H128"/>
    <mergeCell ref="I124:I128"/>
    <mergeCell ref="J124:J128"/>
    <mergeCell ref="K124:K128"/>
    <mergeCell ref="L124:L128"/>
    <mergeCell ref="M124:M128"/>
    <mergeCell ref="S2:S11"/>
    <mergeCell ref="T2:T11"/>
    <mergeCell ref="U2:U11"/>
    <mergeCell ref="AA2:AA11"/>
    <mergeCell ref="AG2:AG11"/>
    <mergeCell ref="AH2:AH11"/>
    <mergeCell ref="M2:M11"/>
    <mergeCell ref="N2:N11"/>
    <mergeCell ref="O2:O11"/>
    <mergeCell ref="P2:P11"/>
    <mergeCell ref="Q2:Q11"/>
    <mergeCell ref="R2:R11"/>
    <mergeCell ref="O12:O17"/>
    <mergeCell ref="P12:P17"/>
    <mergeCell ref="Q12:Q17"/>
    <mergeCell ref="R12:R17"/>
    <mergeCell ref="AO12:AO17"/>
    <mergeCell ref="AP12:AP17"/>
    <mergeCell ref="AQ12:AQ17"/>
    <mergeCell ref="AR12:AR17"/>
    <mergeCell ref="G18:G22"/>
    <mergeCell ref="H18:H22"/>
    <mergeCell ref="I18:I22"/>
    <mergeCell ref="J18:J22"/>
    <mergeCell ref="K18:K22"/>
    <mergeCell ref="L18:L22"/>
    <mergeCell ref="AI12:AI17"/>
    <mergeCell ref="AJ12:AJ17"/>
    <mergeCell ref="AK12:AK17"/>
    <mergeCell ref="AL12:AL17"/>
    <mergeCell ref="AM12:AM17"/>
    <mergeCell ref="AN12:AN17"/>
    <mergeCell ref="S12:S17"/>
    <mergeCell ref="T12:T17"/>
    <mergeCell ref="U12:U17"/>
    <mergeCell ref="AA12:AA17"/>
    <mergeCell ref="AG12:AG17"/>
    <mergeCell ref="AH12:AH17"/>
    <mergeCell ref="M12:M17"/>
    <mergeCell ref="N12:N17"/>
    <mergeCell ref="AR18:AR31"/>
    <mergeCell ref="G23:G26"/>
    <mergeCell ref="H23:H26"/>
    <mergeCell ref="I23:I26"/>
    <mergeCell ref="J23:J26"/>
    <mergeCell ref="K23:K26"/>
    <mergeCell ref="L23:L26"/>
    <mergeCell ref="AI18:AI31"/>
    <mergeCell ref="AJ18:AJ31"/>
    <mergeCell ref="AK18:AK31"/>
    <mergeCell ref="AL18:AL31"/>
    <mergeCell ref="AM18:AM31"/>
    <mergeCell ref="AN18:AN31"/>
    <mergeCell ref="S18:S32"/>
    <mergeCell ref="T18:T31"/>
    <mergeCell ref="U18:U31"/>
    <mergeCell ref="AA18:AA29"/>
    <mergeCell ref="AG18:AG31"/>
    <mergeCell ref="AH18:AH31"/>
    <mergeCell ref="M18:M22"/>
    <mergeCell ref="N18:N22"/>
    <mergeCell ref="O18:O22"/>
    <mergeCell ref="P18:P22"/>
    <mergeCell ref="AQ18:AQ31"/>
    <mergeCell ref="R18:R22"/>
    <mergeCell ref="M27:M29"/>
    <mergeCell ref="N27:N29"/>
    <mergeCell ref="O27:O29"/>
    <mergeCell ref="P27:P29"/>
    <mergeCell ref="Q27:Q29"/>
    <mergeCell ref="R27:R29"/>
    <mergeCell ref="P30:P31"/>
    <mergeCell ref="Q30:Q31"/>
    <mergeCell ref="R30:R31"/>
    <mergeCell ref="Q18:Q22"/>
    <mergeCell ref="M23:M26"/>
    <mergeCell ref="N23:N26"/>
    <mergeCell ref="O23:O26"/>
    <mergeCell ref="P23:P26"/>
    <mergeCell ref="Q23:Q26"/>
    <mergeCell ref="R23:R26"/>
    <mergeCell ref="AO18:AO31"/>
    <mergeCell ref="AP18:AP31"/>
    <mergeCell ref="I27:I29"/>
    <mergeCell ref="J27:J29"/>
    <mergeCell ref="K27:K29"/>
    <mergeCell ref="L27:L29"/>
    <mergeCell ref="M30:M31"/>
    <mergeCell ref="N30:N31"/>
    <mergeCell ref="O30:O31"/>
    <mergeCell ref="G30:G31"/>
    <mergeCell ref="H30:H31"/>
    <mergeCell ref="I30:I31"/>
    <mergeCell ref="J30:J31"/>
    <mergeCell ref="K30:K31"/>
    <mergeCell ref="L30:L31"/>
    <mergeCell ref="T32:Z32"/>
    <mergeCell ref="F33:F68"/>
    <mergeCell ref="G33:G36"/>
    <mergeCell ref="H33:H36"/>
    <mergeCell ref="I33:I36"/>
    <mergeCell ref="J33:J36"/>
    <mergeCell ref="K33:K36"/>
    <mergeCell ref="L33:L36"/>
    <mergeCell ref="M33:M36"/>
    <mergeCell ref="P33:P36"/>
    <mergeCell ref="Q33:Q36"/>
    <mergeCell ref="R33:R36"/>
    <mergeCell ref="S33:S53"/>
    <mergeCell ref="N37:N40"/>
    <mergeCell ref="O37:O40"/>
    <mergeCell ref="P37:P40"/>
    <mergeCell ref="Q37:Q40"/>
    <mergeCell ref="G32:P32"/>
    <mergeCell ref="R37:R40"/>
    <mergeCell ref="G41:G43"/>
    <mergeCell ref="H41:H43"/>
    <mergeCell ref="I41:I43"/>
    <mergeCell ref="J41:J43"/>
    <mergeCell ref="K41:K43"/>
    <mergeCell ref="AP33:AP53"/>
    <mergeCell ref="AQ33:AQ53"/>
    <mergeCell ref="AR33:AR53"/>
    <mergeCell ref="G37:G40"/>
    <mergeCell ref="H37:H40"/>
    <mergeCell ref="I37:I40"/>
    <mergeCell ref="J37:J40"/>
    <mergeCell ref="K37:K40"/>
    <mergeCell ref="L37:L40"/>
    <mergeCell ref="M37:M40"/>
    <mergeCell ref="AJ33:AJ53"/>
    <mergeCell ref="AK33:AK53"/>
    <mergeCell ref="AL33:AL53"/>
    <mergeCell ref="AM33:AM53"/>
    <mergeCell ref="AN33:AN53"/>
    <mergeCell ref="AO33:AO53"/>
    <mergeCell ref="T33:T53"/>
    <mergeCell ref="U33:U53"/>
    <mergeCell ref="AA33:AA53"/>
    <mergeCell ref="AG33:AG53"/>
    <mergeCell ref="AH33:AH53"/>
    <mergeCell ref="AI33:AI53"/>
    <mergeCell ref="N33:N36"/>
    <mergeCell ref="O33:O36"/>
    <mergeCell ref="L41:L43"/>
    <mergeCell ref="M41:M43"/>
    <mergeCell ref="N41:N43"/>
    <mergeCell ref="O41:O43"/>
    <mergeCell ref="P41:P43"/>
    <mergeCell ref="Q41:Q43"/>
    <mergeCell ref="R41:R43"/>
    <mergeCell ref="G44:G47"/>
    <mergeCell ref="H44:H47"/>
    <mergeCell ref="I44:I47"/>
    <mergeCell ref="J44:J47"/>
    <mergeCell ref="K44:K47"/>
    <mergeCell ref="L44:L47"/>
    <mergeCell ref="M44:M47"/>
    <mergeCell ref="N44:N47"/>
    <mergeCell ref="O44:O47"/>
    <mergeCell ref="P44:P47"/>
    <mergeCell ref="Q44:Q47"/>
    <mergeCell ref="R44:R47"/>
    <mergeCell ref="R48:R50"/>
    <mergeCell ref="G51:G53"/>
    <mergeCell ref="H51:H53"/>
    <mergeCell ref="I51:I53"/>
    <mergeCell ref="J51:J53"/>
    <mergeCell ref="K51:K53"/>
    <mergeCell ref="L51:L53"/>
    <mergeCell ref="M51:M53"/>
    <mergeCell ref="N51:N53"/>
    <mergeCell ref="O51:O53"/>
    <mergeCell ref="L48:L50"/>
    <mergeCell ref="M48:M50"/>
    <mergeCell ref="N48:N50"/>
    <mergeCell ref="O48:O50"/>
    <mergeCell ref="P48:P50"/>
    <mergeCell ref="Q48:Q50"/>
    <mergeCell ref="G48:G50"/>
    <mergeCell ref="H48:H50"/>
    <mergeCell ref="I48:I50"/>
    <mergeCell ref="J48:J50"/>
    <mergeCell ref="K48:K50"/>
    <mergeCell ref="P51:P53"/>
    <mergeCell ref="Q51:Q53"/>
    <mergeCell ref="R51:R53"/>
    <mergeCell ref="AP54:AP67"/>
    <mergeCell ref="P63:P67"/>
    <mergeCell ref="Q63:Q67"/>
    <mergeCell ref="R63:R67"/>
    <mergeCell ref="G68:P68"/>
    <mergeCell ref="T68:Z68"/>
    <mergeCell ref="L54:L56"/>
    <mergeCell ref="M54:M56"/>
    <mergeCell ref="P54:P56"/>
    <mergeCell ref="Q54:Q56"/>
    <mergeCell ref="R54:R56"/>
    <mergeCell ref="G54:G56"/>
    <mergeCell ref="H54:H56"/>
    <mergeCell ref="I54:I56"/>
    <mergeCell ref="J54:J56"/>
    <mergeCell ref="K54:K56"/>
    <mergeCell ref="AG54:AG68"/>
    <mergeCell ref="AH54:AH68"/>
    <mergeCell ref="R57:R62"/>
    <mergeCell ref="S54:S68"/>
    <mergeCell ref="N57:N62"/>
    <mergeCell ref="O57:O62"/>
    <mergeCell ref="P57:P62"/>
    <mergeCell ref="Q57:Q62"/>
    <mergeCell ref="I84:I86"/>
    <mergeCell ref="AQ54:AQ67"/>
    <mergeCell ref="AR54:AR67"/>
    <mergeCell ref="G57:G62"/>
    <mergeCell ref="H57:H62"/>
    <mergeCell ref="I57:I62"/>
    <mergeCell ref="J57:J62"/>
    <mergeCell ref="K57:K62"/>
    <mergeCell ref="L57:L62"/>
    <mergeCell ref="M57:M62"/>
    <mergeCell ref="AJ54:AJ67"/>
    <mergeCell ref="AK54:AK67"/>
    <mergeCell ref="AL54:AL67"/>
    <mergeCell ref="AM54:AM67"/>
    <mergeCell ref="AN54:AN67"/>
    <mergeCell ref="AO54:AO67"/>
    <mergeCell ref="T54:T67"/>
    <mergeCell ref="U54:U67"/>
    <mergeCell ref="AA54:AA67"/>
    <mergeCell ref="AI54:AI67"/>
    <mergeCell ref="N54:N56"/>
    <mergeCell ref="O54:O56"/>
    <mergeCell ref="O76:O80"/>
    <mergeCell ref="I63:I67"/>
    <mergeCell ref="J63:J67"/>
    <mergeCell ref="K63:K67"/>
    <mergeCell ref="L63:L67"/>
    <mergeCell ref="M63:M67"/>
    <mergeCell ref="N63:N67"/>
    <mergeCell ref="O63:O67"/>
    <mergeCell ref="F69:F87"/>
    <mergeCell ref="G69:G73"/>
    <mergeCell ref="H69:H73"/>
    <mergeCell ref="I69:I73"/>
    <mergeCell ref="J69:J73"/>
    <mergeCell ref="N81:N83"/>
    <mergeCell ref="O81:O83"/>
    <mergeCell ref="M76:M80"/>
    <mergeCell ref="N76:N80"/>
    <mergeCell ref="G87:P87"/>
    <mergeCell ref="P81:P83"/>
    <mergeCell ref="J76:J80"/>
    <mergeCell ref="K76:K80"/>
    <mergeCell ref="L76:L80"/>
    <mergeCell ref="G84:G86"/>
    <mergeCell ref="H84:H86"/>
    <mergeCell ref="G76:G80"/>
    <mergeCell ref="H76:H80"/>
    <mergeCell ref="I76:I80"/>
    <mergeCell ref="K74:K75"/>
    <mergeCell ref="L74:L75"/>
    <mergeCell ref="K81:K83"/>
    <mergeCell ref="L81:L83"/>
    <mergeCell ref="M81:M83"/>
    <mergeCell ref="G74:G75"/>
    <mergeCell ref="H74:H75"/>
    <mergeCell ref="I74:I75"/>
    <mergeCell ref="J74:J75"/>
    <mergeCell ref="G81:G83"/>
    <mergeCell ref="H81:H83"/>
    <mergeCell ref="I81:I83"/>
    <mergeCell ref="J81:J83"/>
    <mergeCell ref="AP69:AP86"/>
    <mergeCell ref="AQ69:AQ77"/>
    <mergeCell ref="AR69:AR77"/>
    <mergeCell ref="AM78:AM86"/>
    <mergeCell ref="AN78:AN86"/>
    <mergeCell ref="AO78:AO86"/>
    <mergeCell ref="AQ78:AQ86"/>
    <mergeCell ref="AG69:AG86"/>
    <mergeCell ref="AH69:AH86"/>
    <mergeCell ref="AI69:AI77"/>
    <mergeCell ref="AJ69:AJ77"/>
    <mergeCell ref="AK69:AK77"/>
    <mergeCell ref="AL69:AL77"/>
    <mergeCell ref="AI78:AI86"/>
    <mergeCell ref="AJ78:AJ86"/>
    <mergeCell ref="AK78:AK86"/>
    <mergeCell ref="AL78:AL86"/>
    <mergeCell ref="AR78:AR86"/>
    <mergeCell ref="AO69:AO77"/>
    <mergeCell ref="AM69:AM77"/>
    <mergeCell ref="AN69:AN77"/>
    <mergeCell ref="J84:J86"/>
    <mergeCell ref="K84:K86"/>
    <mergeCell ref="L84:L86"/>
    <mergeCell ref="M84:M86"/>
    <mergeCell ref="N84:N86"/>
    <mergeCell ref="O84:O86"/>
    <mergeCell ref="U69:U86"/>
    <mergeCell ref="AA69:AA86"/>
    <mergeCell ref="K69:K73"/>
    <mergeCell ref="L69:L73"/>
    <mergeCell ref="M69:M73"/>
    <mergeCell ref="N69:N73"/>
    <mergeCell ref="O69:O73"/>
    <mergeCell ref="P69:P73"/>
    <mergeCell ref="M74:M75"/>
    <mergeCell ref="N74:N75"/>
    <mergeCell ref="O74:O75"/>
    <mergeCell ref="P74:P75"/>
    <mergeCell ref="Q74:Q75"/>
    <mergeCell ref="R74:R75"/>
    <mergeCell ref="Q81:Q83"/>
    <mergeCell ref="R81:R83"/>
    <mergeCell ref="P84:P86"/>
    <mergeCell ref="Q84:Q86"/>
    <mergeCell ref="R84:R86"/>
    <mergeCell ref="Q69:Q73"/>
    <mergeCell ref="R69:R73"/>
    <mergeCell ref="S69:S86"/>
    <mergeCell ref="T69:T86"/>
    <mergeCell ref="P76:P80"/>
    <mergeCell ref="P102:P103"/>
    <mergeCell ref="Q102:Q103"/>
    <mergeCell ref="R102:R103"/>
    <mergeCell ref="P92:P94"/>
    <mergeCell ref="Q92:Q94"/>
    <mergeCell ref="Q76:Q80"/>
    <mergeCell ref="R76:R80"/>
    <mergeCell ref="P95:P97"/>
    <mergeCell ref="Q95:Q97"/>
    <mergeCell ref="R95:R97"/>
    <mergeCell ref="S88:S103"/>
    <mergeCell ref="T88:T103"/>
    <mergeCell ref="O92:O94"/>
    <mergeCell ref="G92:G94"/>
    <mergeCell ref="H92:H94"/>
    <mergeCell ref="I92:I94"/>
    <mergeCell ref="J92:J94"/>
    <mergeCell ref="K92:K94"/>
    <mergeCell ref="G88:G89"/>
    <mergeCell ref="H88:H89"/>
    <mergeCell ref="I88:I89"/>
    <mergeCell ref="J88:J89"/>
    <mergeCell ref="K88:K89"/>
    <mergeCell ref="L88:L89"/>
    <mergeCell ref="H90:H91"/>
    <mergeCell ref="I90:I91"/>
    <mergeCell ref="J90:J91"/>
    <mergeCell ref="K90:K91"/>
    <mergeCell ref="L90:L91"/>
    <mergeCell ref="G90:G91"/>
    <mergeCell ref="AA88:AA103"/>
    <mergeCell ref="AG88:AG103"/>
    <mergeCell ref="AH88:AH103"/>
    <mergeCell ref="M88:M89"/>
    <mergeCell ref="N88:N89"/>
    <mergeCell ref="O88:O89"/>
    <mergeCell ref="P88:P89"/>
    <mergeCell ref="Q88:Q89"/>
    <mergeCell ref="R88:R89"/>
    <mergeCell ref="N90:N91"/>
    <mergeCell ref="O90:O91"/>
    <mergeCell ref="P90:P91"/>
    <mergeCell ref="Q90:Q91"/>
    <mergeCell ref="R90:R91"/>
    <mergeCell ref="M98:M100"/>
    <mergeCell ref="N98:N100"/>
    <mergeCell ref="O98:O100"/>
    <mergeCell ref="P98:P100"/>
    <mergeCell ref="Q98:Q100"/>
    <mergeCell ref="R98:R100"/>
    <mergeCell ref="M90:M91"/>
    <mergeCell ref="R92:R94"/>
    <mergeCell ref="M95:M97"/>
    <mergeCell ref="N95:N97"/>
    <mergeCell ref="AI97:AI103"/>
    <mergeCell ref="AJ97:AJ103"/>
    <mergeCell ref="AK97:AK103"/>
    <mergeCell ref="AP88:AP103"/>
    <mergeCell ref="AQ88:AQ96"/>
    <mergeCell ref="AR88:AR96"/>
    <mergeCell ref="AI88:AI96"/>
    <mergeCell ref="AJ88:AJ96"/>
    <mergeCell ref="AK88:AK96"/>
    <mergeCell ref="AL88:AL96"/>
    <mergeCell ref="AN88:AN96"/>
    <mergeCell ref="AO88:AO96"/>
    <mergeCell ref="AM88:AM96"/>
    <mergeCell ref="U88:U103"/>
    <mergeCell ref="I98:I100"/>
    <mergeCell ref="J98:J100"/>
    <mergeCell ref="K98:K100"/>
    <mergeCell ref="L98:L100"/>
    <mergeCell ref="M102:M103"/>
    <mergeCell ref="N102:N103"/>
    <mergeCell ref="O102:O103"/>
    <mergeCell ref="G102:G103"/>
    <mergeCell ref="H102:H103"/>
    <mergeCell ref="I102:I103"/>
    <mergeCell ref="J102:J103"/>
    <mergeCell ref="K102:K103"/>
    <mergeCell ref="L102:L103"/>
    <mergeCell ref="G95:G97"/>
    <mergeCell ref="H95:H97"/>
    <mergeCell ref="I95:I97"/>
    <mergeCell ref="J95:J97"/>
    <mergeCell ref="K95:K97"/>
    <mergeCell ref="L95:L97"/>
    <mergeCell ref="O95:O97"/>
    <mergeCell ref="L92:L94"/>
    <mergeCell ref="M92:M94"/>
    <mergeCell ref="N92:N94"/>
    <mergeCell ref="M104:M105"/>
    <mergeCell ref="N104:N105"/>
    <mergeCell ref="O104:O105"/>
    <mergeCell ref="P104:P105"/>
    <mergeCell ref="Q104:Q105"/>
    <mergeCell ref="R104:R105"/>
    <mergeCell ref="G104:G105"/>
    <mergeCell ref="H104:H105"/>
    <mergeCell ref="I104:I105"/>
    <mergeCell ref="J104:J105"/>
    <mergeCell ref="K104:K105"/>
    <mergeCell ref="L104:L105"/>
    <mergeCell ref="AJ114:AJ122"/>
    <mergeCell ref="AN114:AN122"/>
    <mergeCell ref="AO114:AO122"/>
    <mergeCell ref="AQ114:AQ122"/>
    <mergeCell ref="S104:S123"/>
    <mergeCell ref="T104:T122"/>
    <mergeCell ref="U104:U122"/>
    <mergeCell ref="AA104:AA122"/>
    <mergeCell ref="AG104:AG122"/>
    <mergeCell ref="AH104:AH122"/>
    <mergeCell ref="T123:Z123"/>
    <mergeCell ref="AI114:AI122"/>
    <mergeCell ref="AL104:AL113"/>
    <mergeCell ref="AM104:AM113"/>
    <mergeCell ref="AK114:AK122"/>
    <mergeCell ref="AL114:AL122"/>
    <mergeCell ref="AM114:AM122"/>
    <mergeCell ref="P106:P111"/>
    <mergeCell ref="Q106:Q111"/>
    <mergeCell ref="R106:R111"/>
    <mergeCell ref="G112:G117"/>
    <mergeCell ref="H112:H117"/>
    <mergeCell ref="I112:I117"/>
    <mergeCell ref="J112:J117"/>
    <mergeCell ref="K112:K117"/>
    <mergeCell ref="L112:L117"/>
    <mergeCell ref="M112:M117"/>
    <mergeCell ref="G106:G111"/>
    <mergeCell ref="H106:H111"/>
    <mergeCell ref="I106:I111"/>
    <mergeCell ref="J106:J111"/>
    <mergeCell ref="K106:K111"/>
    <mergeCell ref="L106:L111"/>
    <mergeCell ref="M106:M111"/>
    <mergeCell ref="N106:N111"/>
    <mergeCell ref="O106:O111"/>
    <mergeCell ref="N112:N117"/>
    <mergeCell ref="O112:O117"/>
    <mergeCell ref="P112:P117"/>
    <mergeCell ref="Q112:Q117"/>
    <mergeCell ref="R112:R117"/>
    <mergeCell ref="G118:G122"/>
    <mergeCell ref="H118:H122"/>
    <mergeCell ref="I118:I122"/>
    <mergeCell ref="J118:J122"/>
    <mergeCell ref="K118:K122"/>
    <mergeCell ref="L118:L122"/>
    <mergeCell ref="M118:M122"/>
    <mergeCell ref="N118:N122"/>
    <mergeCell ref="O118:O122"/>
    <mergeCell ref="P118:P122"/>
    <mergeCell ref="Q118:Q122"/>
    <mergeCell ref="R118:R122"/>
    <mergeCell ref="AR104:AR113"/>
    <mergeCell ref="AI104:AI113"/>
    <mergeCell ref="AJ104:AJ113"/>
    <mergeCell ref="AN104:AN113"/>
    <mergeCell ref="AO104:AO113"/>
    <mergeCell ref="N124:N128"/>
    <mergeCell ref="O124:O128"/>
    <mergeCell ref="P124:P128"/>
    <mergeCell ref="Q124:Q128"/>
    <mergeCell ref="R124:R128"/>
    <mergeCell ref="S124:S137"/>
    <mergeCell ref="P129:P133"/>
    <mergeCell ref="Q129:Q133"/>
    <mergeCell ref="R129:R133"/>
    <mergeCell ref="O134:O136"/>
    <mergeCell ref="G137:P137"/>
    <mergeCell ref="T137:Z137"/>
    <mergeCell ref="AN124:AN127"/>
    <mergeCell ref="AO124:AO127"/>
    <mergeCell ref="T124:T136"/>
    <mergeCell ref="U124:U136"/>
    <mergeCell ref="AR128:AR132"/>
    <mergeCell ref="G129:G133"/>
    <mergeCell ref="H129:H133"/>
    <mergeCell ref="I129:I133"/>
    <mergeCell ref="J129:J133"/>
    <mergeCell ref="K129:K133"/>
    <mergeCell ref="L129:L133"/>
    <mergeCell ref="M129:M133"/>
    <mergeCell ref="N129:N133"/>
    <mergeCell ref="O129:O133"/>
    <mergeCell ref="AP124:AP136"/>
    <mergeCell ref="AQ124:AQ127"/>
    <mergeCell ref="AR124:AR127"/>
    <mergeCell ref="AI128:AI132"/>
    <mergeCell ref="AJ128:AJ132"/>
    <mergeCell ref="AK128:AK132"/>
    <mergeCell ref="AL128:AL132"/>
    <mergeCell ref="AN128:AN132"/>
    <mergeCell ref="AJ124:AJ127"/>
    <mergeCell ref="AK124:AK127"/>
    <mergeCell ref="AL124:AL127"/>
    <mergeCell ref="AM124:AM127"/>
    <mergeCell ref="AQ133:AQ136"/>
    <mergeCell ref="AR133:AR136"/>
    <mergeCell ref="G134:G136"/>
    <mergeCell ref="H134:H136"/>
    <mergeCell ref="I134:I136"/>
    <mergeCell ref="J134:J136"/>
    <mergeCell ref="K134:K136"/>
    <mergeCell ref="L134:L136"/>
    <mergeCell ref="M134:M136"/>
    <mergeCell ref="N134:N136"/>
    <mergeCell ref="AJ133:AJ136"/>
    <mergeCell ref="AK133:AK136"/>
    <mergeCell ref="AL133:AL136"/>
    <mergeCell ref="AM133:AM136"/>
    <mergeCell ref="AN133:AN136"/>
    <mergeCell ref="AO133:AO136"/>
    <mergeCell ref="P134:P136"/>
    <mergeCell ref="Q134:Q136"/>
    <mergeCell ref="R134:R136"/>
    <mergeCell ref="AA124:AA136"/>
    <mergeCell ref="AG124:AG136"/>
    <mergeCell ref="AH124:AH136"/>
    <mergeCell ref="AI124:AI127"/>
    <mergeCell ref="AI133:AI136"/>
    <mergeCell ref="AM128:AM132"/>
    <mergeCell ref="F138:F155"/>
    <mergeCell ref="G138:G148"/>
    <mergeCell ref="H138:H148"/>
    <mergeCell ref="I138:I148"/>
    <mergeCell ref="J138:J148"/>
    <mergeCell ref="Q138:Q148"/>
    <mergeCell ref="R138:R148"/>
    <mergeCell ref="G150:G152"/>
    <mergeCell ref="H150:H152"/>
    <mergeCell ref="I150:I152"/>
    <mergeCell ref="J150:J152"/>
    <mergeCell ref="G153:G154"/>
    <mergeCell ref="H153:H154"/>
    <mergeCell ref="I153:I154"/>
    <mergeCell ref="J153:J154"/>
    <mergeCell ref="L153:L154"/>
    <mergeCell ref="G155:P155"/>
    <mergeCell ref="AA138:AA154"/>
    <mergeCell ref="K138:K148"/>
    <mergeCell ref="L138:L148"/>
    <mergeCell ref="M138:M148"/>
    <mergeCell ref="N138:N148"/>
    <mergeCell ref="O138:O148"/>
    <mergeCell ref="P138:P148"/>
    <mergeCell ref="M150:M152"/>
    <mergeCell ref="N150:N152"/>
    <mergeCell ref="O150:O152"/>
    <mergeCell ref="P150:P152"/>
    <mergeCell ref="Q150:Q152"/>
    <mergeCell ref="R150:R152"/>
    <mergeCell ref="K150:K152"/>
    <mergeCell ref="L150:L152"/>
    <mergeCell ref="M153:M154"/>
    <mergeCell ref="N153:N154"/>
    <mergeCell ref="O153:O154"/>
    <mergeCell ref="P153:P154"/>
    <mergeCell ref="Q153:Q154"/>
    <mergeCell ref="R153:R154"/>
    <mergeCell ref="K153:K154"/>
    <mergeCell ref="S138:S155"/>
    <mergeCell ref="T138:T154"/>
    <mergeCell ref="T155:Z155"/>
    <mergeCell ref="U138:U154"/>
    <mergeCell ref="G178:P178"/>
    <mergeCell ref="I173:I177"/>
    <mergeCell ref="J173:J177"/>
    <mergeCell ref="K173:K177"/>
    <mergeCell ref="L173:L177"/>
    <mergeCell ref="M173:M177"/>
    <mergeCell ref="P168:P172"/>
    <mergeCell ref="G168:G172"/>
    <mergeCell ref="H168:H172"/>
    <mergeCell ref="I168:I172"/>
    <mergeCell ref="O168:O172"/>
    <mergeCell ref="N173:N177"/>
    <mergeCell ref="O173:O177"/>
    <mergeCell ref="P173:P177"/>
    <mergeCell ref="O156:O162"/>
    <mergeCell ref="L156:L162"/>
    <mergeCell ref="M156:M162"/>
    <mergeCell ref="P156:P162"/>
    <mergeCell ref="Q173:Q177"/>
    <mergeCell ref="R173:R177"/>
    <mergeCell ref="Q156:Q162"/>
    <mergeCell ref="AG138:AG154"/>
    <mergeCell ref="AH138:AH154"/>
    <mergeCell ref="AI138:AI154"/>
    <mergeCell ref="AJ138:AJ154"/>
    <mergeCell ref="AK138:AK154"/>
    <mergeCell ref="G163:G167"/>
    <mergeCell ref="H163:H167"/>
    <mergeCell ref="I163:I167"/>
    <mergeCell ref="J163:J167"/>
    <mergeCell ref="K163:K167"/>
    <mergeCell ref="L163:L167"/>
    <mergeCell ref="M163:M167"/>
    <mergeCell ref="AJ156:AJ177"/>
    <mergeCell ref="AK156:AK177"/>
    <mergeCell ref="T156:T177"/>
    <mergeCell ref="U156:U177"/>
    <mergeCell ref="AA156:AA177"/>
    <mergeCell ref="N163:N167"/>
    <mergeCell ref="O163:O167"/>
    <mergeCell ref="J168:J172"/>
    <mergeCell ref="K168:K172"/>
    <mergeCell ref="L168:L172"/>
    <mergeCell ref="M168:M172"/>
    <mergeCell ref="N168:N172"/>
    <mergeCell ref="AG156:AG177"/>
    <mergeCell ref="AH156:AH177"/>
    <mergeCell ref="AQ156:AQ177"/>
    <mergeCell ref="AR156:AR177"/>
    <mergeCell ref="AL156:AL177"/>
    <mergeCell ref="AM156:AM177"/>
    <mergeCell ref="AN156:AN177"/>
    <mergeCell ref="AO156:AO177"/>
    <mergeCell ref="R163:R167"/>
    <mergeCell ref="R156:R162"/>
    <mergeCell ref="S156:S178"/>
    <mergeCell ref="U179:U189"/>
    <mergeCell ref="AA179:AA189"/>
    <mergeCell ref="T190:Z190"/>
    <mergeCell ref="P163:P167"/>
    <mergeCell ref="Q163:Q167"/>
    <mergeCell ref="AI156:AI177"/>
    <mergeCell ref="N156:N162"/>
    <mergeCell ref="T178:Z178"/>
    <mergeCell ref="B179:B189"/>
    <mergeCell ref="C179:C189"/>
    <mergeCell ref="D179:D189"/>
    <mergeCell ref="E179:E189"/>
    <mergeCell ref="F179:F190"/>
    <mergeCell ref="G179:G189"/>
    <mergeCell ref="H179:H189"/>
    <mergeCell ref="I179:I189"/>
    <mergeCell ref="J179:J189"/>
    <mergeCell ref="G190:P190"/>
    <mergeCell ref="F156:F178"/>
    <mergeCell ref="G156:G162"/>
    <mergeCell ref="H156:H162"/>
    <mergeCell ref="I156:I162"/>
    <mergeCell ref="J156:J162"/>
    <mergeCell ref="K156:K162"/>
    <mergeCell ref="K179:K189"/>
    <mergeCell ref="L179:L189"/>
    <mergeCell ref="M179:M189"/>
    <mergeCell ref="N179:N189"/>
    <mergeCell ref="O179:O189"/>
    <mergeCell ref="P179:P189"/>
    <mergeCell ref="Q168:Q172"/>
    <mergeCell ref="R168:R172"/>
    <mergeCell ref="G173:G177"/>
    <mergeCell ref="H173:H177"/>
    <mergeCell ref="Q179:Q189"/>
    <mergeCell ref="R179:R189"/>
    <mergeCell ref="AW90:AW91"/>
    <mergeCell ref="AW92:AW94"/>
    <mergeCell ref="AW95:AW97"/>
    <mergeCell ref="AW98:AW100"/>
    <mergeCell ref="AW102:AW103"/>
    <mergeCell ref="AW104:AW105"/>
    <mergeCell ref="AW106:AW111"/>
    <mergeCell ref="AW112:AW117"/>
    <mergeCell ref="N191:P191"/>
    <mergeCell ref="X191:Z191"/>
    <mergeCell ref="AM179:AM189"/>
    <mergeCell ref="AN179:AN189"/>
    <mergeCell ref="AO179:AO189"/>
    <mergeCell ref="AP179:AP189"/>
    <mergeCell ref="AQ179:AQ189"/>
    <mergeCell ref="AR179:AR189"/>
    <mergeCell ref="AG179:AG189"/>
    <mergeCell ref="AH179:AH189"/>
    <mergeCell ref="AI179:AI189"/>
    <mergeCell ref="AJ179:AJ189"/>
    <mergeCell ref="AK179:AK189"/>
    <mergeCell ref="AL179:AL189"/>
    <mergeCell ref="S179:S190"/>
    <mergeCell ref="T179:T189"/>
  </mergeCells>
  <pageMargins left="0.7" right="0.7" top="0.75" bottom="0.75" header="0.3" footer="0.3"/>
  <pageSetup orientation="portrait" horizontalDpi="360" verticalDpi="36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D204"/>
  <sheetViews>
    <sheetView tabSelected="1" topLeftCell="F1" zoomScale="70" zoomScaleNormal="70" workbookViewId="0">
      <pane xSplit="1" ySplit="1" topLeftCell="H60" activePane="bottomRight" state="frozen"/>
      <selection activeCell="F1" sqref="F1"/>
      <selection pane="topRight" activeCell="G1" sqref="G1"/>
      <selection pane="bottomLeft" activeCell="F2" sqref="F2"/>
      <selection pane="bottomRight" activeCell="J60" sqref="J60:J65"/>
    </sheetView>
  </sheetViews>
  <sheetFormatPr baseColWidth="10" defaultColWidth="10.85546875" defaultRowHeight="15" x14ac:dyDescent="0.25"/>
  <cols>
    <col min="1" max="1" width="22.28515625" style="17" customWidth="1"/>
    <col min="2" max="2" width="42.140625" style="17" customWidth="1"/>
    <col min="3" max="3" width="45" style="17" customWidth="1"/>
    <col min="4" max="4" width="42.5703125" style="17" customWidth="1"/>
    <col min="5" max="5" width="40" style="17" customWidth="1"/>
    <col min="6" max="6" width="49.140625" style="17" customWidth="1"/>
    <col min="7" max="7" width="33.28515625" style="17" customWidth="1"/>
    <col min="8" max="8" width="26.140625" style="17" customWidth="1"/>
    <col min="9" max="9" width="25.5703125" style="216" customWidth="1"/>
    <col min="10" max="10" width="36.42578125" style="17" customWidth="1"/>
    <col min="11" max="11" width="32.42578125" style="17" customWidth="1"/>
    <col min="12" max="12" width="23.85546875" style="17" customWidth="1"/>
    <col min="13" max="13" width="29" style="17" customWidth="1"/>
    <col min="14" max="14" width="26.85546875" style="17" customWidth="1"/>
    <col min="15" max="15" width="26.42578125" style="17" customWidth="1"/>
    <col min="16" max="17" width="27" style="17" customWidth="1"/>
    <col min="18" max="18" width="33" style="17" customWidth="1"/>
    <col min="19" max="19" width="30.42578125" style="17" customWidth="1"/>
    <col min="20" max="20" width="31.42578125" style="17" customWidth="1"/>
    <col min="21" max="21" width="28.85546875" style="17" customWidth="1"/>
    <col min="22" max="22" width="33.28515625" style="217" customWidth="1"/>
    <col min="23" max="23" width="36.42578125" style="217" customWidth="1"/>
    <col min="24" max="24" width="39.5703125" style="217" customWidth="1"/>
    <col min="25" max="25" width="32.85546875" style="17" customWidth="1"/>
    <col min="26" max="26" width="29.28515625" style="17" customWidth="1"/>
    <col min="27" max="27" width="41.85546875" style="17" customWidth="1"/>
    <col min="28" max="28" width="34.140625" style="17" customWidth="1"/>
    <col min="29" max="29" width="33.28515625" style="17" customWidth="1"/>
    <col min="30" max="30" width="36.42578125" style="17" customWidth="1"/>
    <col min="31" max="31" width="34.28515625" style="17" customWidth="1"/>
    <col min="32" max="32" width="25.42578125" style="17" customWidth="1"/>
    <col min="33" max="33" width="32.28515625" style="17" customWidth="1"/>
    <col min="34" max="35" width="29.5703125" style="17" customWidth="1"/>
    <col min="36" max="36" width="34.7109375" style="209" customWidth="1"/>
    <col min="37" max="37" width="25" style="17" customWidth="1"/>
    <col min="38" max="38" width="24.7109375" style="17" customWidth="1"/>
    <col min="39" max="39" width="28.140625" style="17" customWidth="1"/>
    <col min="40" max="40" width="26.7109375" style="17" customWidth="1"/>
    <col min="41" max="41" width="30.28515625" style="17" customWidth="1"/>
    <col min="42" max="42" width="47.42578125" style="17" customWidth="1"/>
    <col min="43" max="43" width="36.85546875" style="215" customWidth="1"/>
    <col min="44" max="44" width="41.140625" style="215" customWidth="1"/>
    <col min="45" max="45" width="35.5703125" style="340" customWidth="1"/>
    <col min="46" max="46" width="27.7109375" style="215" customWidth="1"/>
    <col min="47" max="47" width="24.7109375" style="215" customWidth="1"/>
    <col min="48" max="48" width="25.140625" style="17" customWidth="1"/>
    <col min="49" max="49" width="28.85546875" style="17" customWidth="1"/>
    <col min="50" max="50" width="25" style="17" customWidth="1"/>
    <col min="51" max="51" width="31.85546875" style="215" customWidth="1"/>
    <col min="52" max="52" width="41.28515625" style="17" customWidth="1"/>
    <col min="53" max="53" width="44.85546875" style="17" customWidth="1"/>
    <col min="54" max="54" width="35.140625" style="17" customWidth="1"/>
    <col min="55" max="55" width="57.7109375" style="17" customWidth="1"/>
    <col min="56" max="56" width="57.28515625" style="17" customWidth="1"/>
    <col min="57" max="16384" width="10.85546875" style="17"/>
  </cols>
  <sheetData>
    <row r="1" spans="1:56" ht="90" customHeight="1" thickBot="1" x14ac:dyDescent="0.3">
      <c r="A1" s="140" t="s">
        <v>0</v>
      </c>
      <c r="B1" s="140" t="s">
        <v>1</v>
      </c>
      <c r="C1" s="266" t="s">
        <v>2</v>
      </c>
      <c r="D1" s="140" t="s">
        <v>3</v>
      </c>
      <c r="E1" s="266" t="s">
        <v>4</v>
      </c>
      <c r="F1" s="139" t="s">
        <v>5</v>
      </c>
      <c r="G1" s="266" t="s">
        <v>6</v>
      </c>
      <c r="H1" s="140" t="s">
        <v>7</v>
      </c>
      <c r="I1" s="140" t="s">
        <v>8</v>
      </c>
      <c r="J1" s="266" t="s">
        <v>9</v>
      </c>
      <c r="K1" s="140" t="s">
        <v>426</v>
      </c>
      <c r="L1" s="266" t="s">
        <v>11</v>
      </c>
      <c r="M1" s="140" t="s">
        <v>12</v>
      </c>
      <c r="N1" s="140" t="s">
        <v>427</v>
      </c>
      <c r="O1" s="140" t="s">
        <v>14</v>
      </c>
      <c r="P1" s="140" t="s">
        <v>436</v>
      </c>
      <c r="Q1" s="140" t="s">
        <v>447</v>
      </c>
      <c r="R1" s="140" t="s">
        <v>459</v>
      </c>
      <c r="S1" s="140" t="s">
        <v>15</v>
      </c>
      <c r="T1" s="140" t="s">
        <v>438</v>
      </c>
      <c r="U1" s="140" t="s">
        <v>439</v>
      </c>
      <c r="V1" s="347" t="s">
        <v>18</v>
      </c>
      <c r="W1" s="140" t="s">
        <v>432</v>
      </c>
      <c r="X1" s="140" t="s">
        <v>20</v>
      </c>
      <c r="Y1" s="140" t="s">
        <v>21</v>
      </c>
      <c r="Z1" s="140" t="s">
        <v>22</v>
      </c>
      <c r="AA1" s="175" t="s">
        <v>431</v>
      </c>
      <c r="AB1" s="175" t="s">
        <v>430</v>
      </c>
      <c r="AC1" s="175" t="s">
        <v>437</v>
      </c>
      <c r="AD1" s="175" t="s">
        <v>448</v>
      </c>
      <c r="AE1" s="316" t="s">
        <v>462</v>
      </c>
      <c r="AF1" s="267" t="s">
        <v>25</v>
      </c>
      <c r="AG1" s="267" t="s">
        <v>26</v>
      </c>
      <c r="AH1" s="393" t="s">
        <v>27</v>
      </c>
      <c r="AI1" s="393" t="s">
        <v>464</v>
      </c>
      <c r="AJ1" s="268" t="s">
        <v>28</v>
      </c>
      <c r="AK1" s="269" t="s">
        <v>29</v>
      </c>
      <c r="AL1" s="269" t="s">
        <v>30</v>
      </c>
      <c r="AM1" s="270" t="s">
        <v>31</v>
      </c>
      <c r="AN1" s="269" t="s">
        <v>32</v>
      </c>
      <c r="AO1" s="269" t="s">
        <v>33</v>
      </c>
      <c r="AP1" s="269" t="s">
        <v>34</v>
      </c>
      <c r="AQ1" s="271" t="s">
        <v>35</v>
      </c>
      <c r="AR1" s="408" t="s">
        <v>450</v>
      </c>
      <c r="AS1" s="338" t="s">
        <v>457</v>
      </c>
      <c r="AT1" s="271" t="s">
        <v>456</v>
      </c>
      <c r="AU1" s="271" t="s">
        <v>39</v>
      </c>
      <c r="AV1" s="269" t="s">
        <v>40</v>
      </c>
      <c r="AW1" s="269" t="s">
        <v>41</v>
      </c>
      <c r="AX1" s="272" t="s">
        <v>42</v>
      </c>
      <c r="AY1" s="271" t="s">
        <v>37</v>
      </c>
      <c r="AZ1" s="269" t="s">
        <v>43</v>
      </c>
      <c r="BA1" s="269" t="s">
        <v>44</v>
      </c>
      <c r="BB1" s="269" t="s">
        <v>45</v>
      </c>
      <c r="BC1" s="273" t="s">
        <v>46</v>
      </c>
      <c r="BD1" s="274" t="s">
        <v>47</v>
      </c>
    </row>
    <row r="2" spans="1:56" ht="160.5" customHeight="1" x14ac:dyDescent="0.25">
      <c r="A2" s="470" t="s">
        <v>458</v>
      </c>
      <c r="B2" s="470" t="s">
        <v>48</v>
      </c>
      <c r="C2" s="473" t="s">
        <v>49</v>
      </c>
      <c r="D2" s="652" t="s">
        <v>50</v>
      </c>
      <c r="E2" s="725" t="s">
        <v>51</v>
      </c>
      <c r="F2" s="619" t="s">
        <v>52</v>
      </c>
      <c r="G2" s="476" t="s">
        <v>53</v>
      </c>
      <c r="H2" s="473" t="s">
        <v>54</v>
      </c>
      <c r="I2" s="487" t="s">
        <v>55</v>
      </c>
      <c r="J2" s="473" t="s">
        <v>56</v>
      </c>
      <c r="K2" s="489">
        <v>100000</v>
      </c>
      <c r="L2" s="489">
        <v>35000</v>
      </c>
      <c r="M2" s="489">
        <v>14959</v>
      </c>
      <c r="N2" s="489">
        <v>230</v>
      </c>
      <c r="O2" s="489">
        <v>21113</v>
      </c>
      <c r="P2" s="489">
        <f>24467-O2-N2</f>
        <v>3124</v>
      </c>
      <c r="Q2" s="489">
        <f>54914-P2-O2-N2</f>
        <v>30447</v>
      </c>
      <c r="R2" s="489">
        <f>SUM(N2:Q11)</f>
        <v>54914</v>
      </c>
      <c r="S2" s="489">
        <f>M2+N2+O2+P2+Q2</f>
        <v>69873</v>
      </c>
      <c r="T2" s="650">
        <f>IF((SUM(N2:Q2)/L2)&gt;100%,100%,(SUM(N2:Q2)/L2))</f>
        <v>1</v>
      </c>
      <c r="U2" s="736">
        <f>+S2/K2</f>
        <v>0.69872999999999996</v>
      </c>
      <c r="V2" s="619" t="s">
        <v>463</v>
      </c>
      <c r="W2" s="730">
        <v>2021130010191</v>
      </c>
      <c r="X2" s="559" t="s">
        <v>58</v>
      </c>
      <c r="Y2" s="19" t="s">
        <v>428</v>
      </c>
      <c r="Z2" s="19">
        <v>1</v>
      </c>
      <c r="AA2" s="19">
        <v>1</v>
      </c>
      <c r="AB2" s="19">
        <v>0</v>
      </c>
      <c r="AC2" s="41">
        <v>1</v>
      </c>
      <c r="AD2" s="41">
        <v>0</v>
      </c>
      <c r="AE2" s="41">
        <v>2</v>
      </c>
      <c r="AF2" s="263">
        <v>1</v>
      </c>
      <c r="AG2" s="733">
        <f>+(SUM(AA6:AD6)+M2)/K2</f>
        <v>0.69872999999999996</v>
      </c>
      <c r="AH2" s="22">
        <v>44562</v>
      </c>
      <c r="AI2" s="22">
        <v>44926</v>
      </c>
      <c r="AJ2" s="23">
        <v>365</v>
      </c>
      <c r="AK2" s="22" t="s">
        <v>60</v>
      </c>
      <c r="AL2" s="22" t="s">
        <v>60</v>
      </c>
      <c r="AM2" s="275">
        <v>0.1</v>
      </c>
      <c r="AN2" s="446" t="s">
        <v>61</v>
      </c>
      <c r="AO2" s="446" t="s">
        <v>62</v>
      </c>
      <c r="AP2" s="446" t="s">
        <v>63</v>
      </c>
      <c r="AQ2" s="434"/>
      <c r="AR2" s="434">
        <v>1000000000</v>
      </c>
      <c r="AS2" s="434">
        <v>1000000000</v>
      </c>
      <c r="AT2" s="431">
        <f>+AS2/AR2</f>
        <v>1</v>
      </c>
      <c r="AU2" s="446" t="s">
        <v>63</v>
      </c>
      <c r="AV2" s="434" t="s">
        <v>64</v>
      </c>
      <c r="AW2" s="434"/>
      <c r="AX2" s="434" t="s">
        <v>65</v>
      </c>
      <c r="AY2" s="539">
        <f>AS2</f>
        <v>1000000000</v>
      </c>
      <c r="AZ2" s="19" t="s">
        <v>66</v>
      </c>
      <c r="BA2" s="26" t="s">
        <v>67</v>
      </c>
      <c r="BB2" s="19" t="s">
        <v>68</v>
      </c>
      <c r="BC2" s="19"/>
      <c r="BD2" s="19"/>
    </row>
    <row r="3" spans="1:56" ht="75.75" customHeight="1" x14ac:dyDescent="0.25">
      <c r="A3" s="470"/>
      <c r="B3" s="470"/>
      <c r="C3" s="473"/>
      <c r="D3" s="652"/>
      <c r="E3" s="725"/>
      <c r="F3" s="619"/>
      <c r="G3" s="476"/>
      <c r="H3" s="473"/>
      <c r="I3" s="487"/>
      <c r="J3" s="473"/>
      <c r="K3" s="489"/>
      <c r="L3" s="489"/>
      <c r="M3" s="489"/>
      <c r="N3" s="489"/>
      <c r="O3" s="489"/>
      <c r="P3" s="489"/>
      <c r="Q3" s="489"/>
      <c r="R3" s="489"/>
      <c r="S3" s="489"/>
      <c r="T3" s="650"/>
      <c r="U3" s="736"/>
      <c r="V3" s="619"/>
      <c r="W3" s="731"/>
      <c r="X3" s="648"/>
      <c r="Y3" s="26" t="s">
        <v>429</v>
      </c>
      <c r="Z3" s="26">
        <v>2</v>
      </c>
      <c r="AA3" s="26">
        <v>2</v>
      </c>
      <c r="AB3" s="26">
        <v>33</v>
      </c>
      <c r="AC3" s="26">
        <v>0</v>
      </c>
      <c r="AD3" s="19">
        <v>63</v>
      </c>
      <c r="AE3" s="19">
        <v>98</v>
      </c>
      <c r="AF3" s="263">
        <v>1</v>
      </c>
      <c r="AG3" s="734"/>
      <c r="AH3" s="22">
        <v>44562</v>
      </c>
      <c r="AI3" s="22">
        <v>44926</v>
      </c>
      <c r="AJ3" s="23">
        <v>365</v>
      </c>
      <c r="AK3" s="22" t="s">
        <v>60</v>
      </c>
      <c r="AL3" s="22" t="s">
        <v>60</v>
      </c>
      <c r="AM3" s="72">
        <v>0.1</v>
      </c>
      <c r="AN3" s="446"/>
      <c r="AO3" s="446"/>
      <c r="AP3" s="446"/>
      <c r="AQ3" s="434"/>
      <c r="AR3" s="434"/>
      <c r="AS3" s="434"/>
      <c r="AT3" s="431"/>
      <c r="AU3" s="446"/>
      <c r="AV3" s="434"/>
      <c r="AW3" s="434"/>
      <c r="AX3" s="434"/>
      <c r="AY3" s="539"/>
      <c r="AZ3" s="19" t="s">
        <v>66</v>
      </c>
      <c r="BA3" s="26" t="s">
        <v>67</v>
      </c>
      <c r="BB3" s="26" t="s">
        <v>68</v>
      </c>
      <c r="BC3" s="26"/>
      <c r="BD3" s="26"/>
    </row>
    <row r="4" spans="1:56" ht="63" customHeight="1" x14ac:dyDescent="0.25">
      <c r="A4" s="470"/>
      <c r="B4" s="470"/>
      <c r="C4" s="473"/>
      <c r="D4" s="652"/>
      <c r="E4" s="725"/>
      <c r="F4" s="619"/>
      <c r="G4" s="476"/>
      <c r="H4" s="473"/>
      <c r="I4" s="487"/>
      <c r="J4" s="473"/>
      <c r="K4" s="489"/>
      <c r="L4" s="489"/>
      <c r="M4" s="489"/>
      <c r="N4" s="489"/>
      <c r="O4" s="489"/>
      <c r="P4" s="489"/>
      <c r="Q4" s="489"/>
      <c r="R4" s="489"/>
      <c r="S4" s="489"/>
      <c r="T4" s="650"/>
      <c r="U4" s="736"/>
      <c r="V4" s="619"/>
      <c r="W4" s="731"/>
      <c r="X4" s="648"/>
      <c r="Y4" s="26" t="s">
        <v>70</v>
      </c>
      <c r="Z4" s="26">
        <v>50</v>
      </c>
      <c r="AA4" s="26">
        <v>7</v>
      </c>
      <c r="AB4" s="26">
        <v>18</v>
      </c>
      <c r="AC4" s="26">
        <v>43</v>
      </c>
      <c r="AD4" s="19">
        <v>91</v>
      </c>
      <c r="AE4" s="19">
        <v>159</v>
      </c>
      <c r="AF4" s="263">
        <v>1</v>
      </c>
      <c r="AG4" s="734"/>
      <c r="AH4" s="22">
        <v>44562</v>
      </c>
      <c r="AI4" s="22">
        <v>44926</v>
      </c>
      <c r="AJ4" s="23">
        <v>365</v>
      </c>
      <c r="AK4" s="22" t="s">
        <v>60</v>
      </c>
      <c r="AL4" s="22" t="s">
        <v>60</v>
      </c>
      <c r="AM4" s="72">
        <v>0.1</v>
      </c>
      <c r="AN4" s="446"/>
      <c r="AO4" s="446"/>
      <c r="AP4" s="446"/>
      <c r="AQ4" s="434"/>
      <c r="AR4" s="434"/>
      <c r="AS4" s="434"/>
      <c r="AT4" s="431"/>
      <c r="AU4" s="446"/>
      <c r="AV4" s="434"/>
      <c r="AW4" s="434"/>
      <c r="AX4" s="434"/>
      <c r="AY4" s="539"/>
      <c r="AZ4" s="19" t="s">
        <v>66</v>
      </c>
      <c r="BA4" s="26" t="s">
        <v>67</v>
      </c>
      <c r="BB4" s="26" t="s">
        <v>68</v>
      </c>
      <c r="BC4" s="26"/>
      <c r="BD4" s="26"/>
    </row>
    <row r="5" spans="1:56" ht="76.5" customHeight="1" thickBot="1" x14ac:dyDescent="0.3">
      <c r="A5" s="470"/>
      <c r="B5" s="470"/>
      <c r="C5" s="473"/>
      <c r="D5" s="652"/>
      <c r="E5" s="725"/>
      <c r="F5" s="619"/>
      <c r="G5" s="476"/>
      <c r="H5" s="473"/>
      <c r="I5" s="487"/>
      <c r="J5" s="473"/>
      <c r="K5" s="489"/>
      <c r="L5" s="489"/>
      <c r="M5" s="489"/>
      <c r="N5" s="489"/>
      <c r="O5" s="489"/>
      <c r="P5" s="489"/>
      <c r="Q5" s="489"/>
      <c r="R5" s="489"/>
      <c r="S5" s="489"/>
      <c r="T5" s="650"/>
      <c r="U5" s="736"/>
      <c r="V5" s="619"/>
      <c r="W5" s="731"/>
      <c r="X5" s="648"/>
      <c r="Y5" s="26" t="s">
        <v>71</v>
      </c>
      <c r="Z5" s="26">
        <v>30</v>
      </c>
      <c r="AA5" s="26">
        <v>4</v>
      </c>
      <c r="AB5" s="26">
        <v>21</v>
      </c>
      <c r="AC5" s="26">
        <v>0</v>
      </c>
      <c r="AD5" s="19">
        <v>48</v>
      </c>
      <c r="AE5" s="19">
        <v>73</v>
      </c>
      <c r="AF5" s="263">
        <f>IF((SUM(AA5:AD5)/Z5)&gt;100%,100%,SUM(AA5:AD5)/Z5)</f>
        <v>1</v>
      </c>
      <c r="AG5" s="734"/>
      <c r="AH5" s="22">
        <v>44562</v>
      </c>
      <c r="AI5" s="22">
        <v>44926</v>
      </c>
      <c r="AJ5" s="23">
        <v>365</v>
      </c>
      <c r="AK5" s="22" t="s">
        <v>60</v>
      </c>
      <c r="AL5" s="22" t="s">
        <v>60</v>
      </c>
      <c r="AM5" s="72">
        <v>0.1</v>
      </c>
      <c r="AN5" s="446"/>
      <c r="AO5" s="446"/>
      <c r="AP5" s="446"/>
      <c r="AQ5" s="434"/>
      <c r="AR5" s="434"/>
      <c r="AS5" s="434"/>
      <c r="AT5" s="431"/>
      <c r="AU5" s="446"/>
      <c r="AV5" s="434"/>
      <c r="AW5" s="434"/>
      <c r="AX5" s="434"/>
      <c r="AY5" s="539"/>
      <c r="AZ5" s="26" t="s">
        <v>66</v>
      </c>
      <c r="BA5" s="26" t="s">
        <v>67</v>
      </c>
      <c r="BB5" s="26" t="s">
        <v>68</v>
      </c>
      <c r="BC5" s="26"/>
      <c r="BD5" s="26"/>
    </row>
    <row r="6" spans="1:56" ht="72.75" customHeight="1" x14ac:dyDescent="0.25">
      <c r="A6" s="470"/>
      <c r="B6" s="470"/>
      <c r="C6" s="473"/>
      <c r="D6" s="652"/>
      <c r="E6" s="725"/>
      <c r="F6" s="619"/>
      <c r="G6" s="476"/>
      <c r="H6" s="473"/>
      <c r="I6" s="487"/>
      <c r="J6" s="473"/>
      <c r="K6" s="489"/>
      <c r="L6" s="489"/>
      <c r="M6" s="489"/>
      <c r="N6" s="489"/>
      <c r="O6" s="489"/>
      <c r="P6" s="489"/>
      <c r="Q6" s="489"/>
      <c r="R6" s="489"/>
      <c r="S6" s="489"/>
      <c r="T6" s="650"/>
      <c r="U6" s="736"/>
      <c r="V6" s="619"/>
      <c r="W6" s="731"/>
      <c r="X6" s="648"/>
      <c r="Y6" s="26" t="s">
        <v>72</v>
      </c>
      <c r="Z6" s="26">
        <v>35000</v>
      </c>
      <c r="AA6" s="26">
        <v>230</v>
      </c>
      <c r="AB6" s="26">
        <v>21113</v>
      </c>
      <c r="AC6" s="26">
        <f>24467-AB6-AA6</f>
        <v>3124</v>
      </c>
      <c r="AD6" s="19">
        <v>30447</v>
      </c>
      <c r="AE6" s="334">
        <f>69873-M2</f>
        <v>54914</v>
      </c>
      <c r="AF6" s="263">
        <f>IF((SUM(AA6:AD6)/Z6)&gt;100%,100%,SUM(AA6:AD6)/Z6)</f>
        <v>1</v>
      </c>
      <c r="AG6" s="734"/>
      <c r="AH6" s="22">
        <v>44562</v>
      </c>
      <c r="AI6" s="22">
        <v>44926</v>
      </c>
      <c r="AJ6" s="23">
        <v>365</v>
      </c>
      <c r="AK6" s="22" t="s">
        <v>60</v>
      </c>
      <c r="AL6" s="22" t="s">
        <v>60</v>
      </c>
      <c r="AM6" s="72">
        <v>0.1</v>
      </c>
      <c r="AN6" s="446"/>
      <c r="AO6" s="446"/>
      <c r="AP6" s="436" t="s">
        <v>73</v>
      </c>
      <c r="AQ6" s="433"/>
      <c r="AR6" s="433">
        <v>320944284.29000002</v>
      </c>
      <c r="AS6" s="726">
        <v>0</v>
      </c>
      <c r="AT6" s="430">
        <v>0</v>
      </c>
      <c r="AU6" s="436" t="s">
        <v>73</v>
      </c>
      <c r="AV6" s="656" t="s">
        <v>64</v>
      </c>
      <c r="AW6" s="727"/>
      <c r="AX6" s="662" t="s">
        <v>65</v>
      </c>
      <c r="AY6" s="662">
        <f>AS6</f>
        <v>0</v>
      </c>
      <c r="AZ6" s="19" t="s">
        <v>66</v>
      </c>
      <c r="BA6" s="19" t="s">
        <v>67</v>
      </c>
      <c r="BB6" s="26" t="s">
        <v>68</v>
      </c>
      <c r="BC6" s="26"/>
      <c r="BD6" s="26"/>
    </row>
    <row r="7" spans="1:56" ht="60.75" customHeight="1" x14ac:dyDescent="0.25">
      <c r="A7" s="470"/>
      <c r="B7" s="470"/>
      <c r="C7" s="473"/>
      <c r="D7" s="652"/>
      <c r="E7" s="725"/>
      <c r="F7" s="619"/>
      <c r="G7" s="476"/>
      <c r="H7" s="473"/>
      <c r="I7" s="487"/>
      <c r="J7" s="473"/>
      <c r="K7" s="489"/>
      <c r="L7" s="489"/>
      <c r="M7" s="489"/>
      <c r="N7" s="489"/>
      <c r="O7" s="489"/>
      <c r="P7" s="489"/>
      <c r="Q7" s="489"/>
      <c r="R7" s="489"/>
      <c r="S7" s="489"/>
      <c r="T7" s="650"/>
      <c r="U7" s="736"/>
      <c r="V7" s="619"/>
      <c r="W7" s="731"/>
      <c r="X7" s="648"/>
      <c r="Y7" s="26" t="s">
        <v>74</v>
      </c>
      <c r="Z7" s="26">
        <v>50</v>
      </c>
      <c r="AA7" s="26">
        <v>17</v>
      </c>
      <c r="AB7" s="26">
        <v>8</v>
      </c>
      <c r="AC7" s="26">
        <v>0</v>
      </c>
      <c r="AD7" s="19">
        <v>48</v>
      </c>
      <c r="AE7" s="19">
        <v>73</v>
      </c>
      <c r="AF7" s="263">
        <f>IF((SUM(AA7:AD7)/Z7)&gt;100%,100%,SUM(AA7:AD7)/Z7)</f>
        <v>1</v>
      </c>
      <c r="AG7" s="734"/>
      <c r="AH7" s="22">
        <v>44562</v>
      </c>
      <c r="AI7" s="22">
        <v>44926</v>
      </c>
      <c r="AJ7" s="23">
        <v>365</v>
      </c>
      <c r="AK7" s="22" t="s">
        <v>60</v>
      </c>
      <c r="AL7" s="22" t="s">
        <v>60</v>
      </c>
      <c r="AM7" s="72">
        <v>0.1</v>
      </c>
      <c r="AN7" s="446"/>
      <c r="AO7" s="446"/>
      <c r="AP7" s="437"/>
      <c r="AQ7" s="434"/>
      <c r="AR7" s="434"/>
      <c r="AS7" s="712"/>
      <c r="AT7" s="431"/>
      <c r="AU7" s="437"/>
      <c r="AV7" s="657"/>
      <c r="AW7" s="728"/>
      <c r="AX7" s="663"/>
      <c r="AY7" s="663"/>
      <c r="AZ7" s="19" t="s">
        <v>66</v>
      </c>
      <c r="BA7" s="26" t="s">
        <v>67</v>
      </c>
      <c r="BB7" s="26" t="s">
        <v>68</v>
      </c>
      <c r="BC7" s="26"/>
      <c r="BD7" s="26"/>
    </row>
    <row r="8" spans="1:56" ht="72.75" customHeight="1" x14ac:dyDescent="0.25">
      <c r="A8" s="470"/>
      <c r="B8" s="470"/>
      <c r="C8" s="473"/>
      <c r="D8" s="652"/>
      <c r="E8" s="725"/>
      <c r="F8" s="619"/>
      <c r="G8" s="476"/>
      <c r="H8" s="473"/>
      <c r="I8" s="487"/>
      <c r="J8" s="473"/>
      <c r="K8" s="489"/>
      <c r="L8" s="489"/>
      <c r="M8" s="489"/>
      <c r="N8" s="489"/>
      <c r="O8" s="489"/>
      <c r="P8" s="489"/>
      <c r="Q8" s="489"/>
      <c r="R8" s="489"/>
      <c r="S8" s="489"/>
      <c r="T8" s="650"/>
      <c r="U8" s="736"/>
      <c r="V8" s="619"/>
      <c r="W8" s="731"/>
      <c r="X8" s="648"/>
      <c r="Y8" s="26" t="s">
        <v>75</v>
      </c>
      <c r="Z8" s="30">
        <v>20000</v>
      </c>
      <c r="AA8" s="26">
        <v>2930</v>
      </c>
      <c r="AB8" s="26">
        <v>900</v>
      </c>
      <c r="AC8" s="26">
        <v>0</v>
      </c>
      <c r="AD8" s="19">
        <v>25185</v>
      </c>
      <c r="AE8" s="19">
        <v>29015</v>
      </c>
      <c r="AF8" s="263">
        <f>IF((SUM(AA8:AD8)/Z8)&gt;100%,100%,SUM(AA8:AD8)/Z8)</f>
        <v>1</v>
      </c>
      <c r="AG8" s="734"/>
      <c r="AH8" s="22">
        <v>44562</v>
      </c>
      <c r="AI8" s="22">
        <v>44926</v>
      </c>
      <c r="AJ8" s="23">
        <v>365</v>
      </c>
      <c r="AK8" s="22" t="s">
        <v>60</v>
      </c>
      <c r="AL8" s="22" t="s">
        <v>60</v>
      </c>
      <c r="AM8" s="72">
        <v>0.1</v>
      </c>
      <c r="AN8" s="446"/>
      <c r="AO8" s="446"/>
      <c r="AP8" s="437"/>
      <c r="AQ8" s="434"/>
      <c r="AR8" s="434"/>
      <c r="AS8" s="712"/>
      <c r="AT8" s="431"/>
      <c r="AU8" s="437"/>
      <c r="AV8" s="657"/>
      <c r="AW8" s="728"/>
      <c r="AX8" s="663"/>
      <c r="AY8" s="663"/>
      <c r="AZ8" s="19" t="s">
        <v>66</v>
      </c>
      <c r="BA8" s="26" t="s">
        <v>76</v>
      </c>
      <c r="BB8" s="26" t="s">
        <v>77</v>
      </c>
      <c r="BC8" s="26"/>
      <c r="BD8" s="26"/>
    </row>
    <row r="9" spans="1:56" ht="60.75" customHeight="1" x14ac:dyDescent="0.25">
      <c r="A9" s="470"/>
      <c r="B9" s="470"/>
      <c r="C9" s="473"/>
      <c r="D9" s="652"/>
      <c r="E9" s="725"/>
      <c r="F9" s="619"/>
      <c r="G9" s="476"/>
      <c r="H9" s="473"/>
      <c r="I9" s="487"/>
      <c r="J9" s="473"/>
      <c r="K9" s="489"/>
      <c r="L9" s="489"/>
      <c r="M9" s="489"/>
      <c r="N9" s="489"/>
      <c r="O9" s="489"/>
      <c r="P9" s="489"/>
      <c r="Q9" s="489"/>
      <c r="R9" s="489"/>
      <c r="S9" s="489"/>
      <c r="T9" s="650"/>
      <c r="U9" s="736"/>
      <c r="V9" s="619"/>
      <c r="W9" s="731"/>
      <c r="X9" s="648"/>
      <c r="Y9" s="26" t="s">
        <v>78</v>
      </c>
      <c r="Z9" s="26">
        <v>2</v>
      </c>
      <c r="AA9" s="26">
        <v>0</v>
      </c>
      <c r="AB9" s="258">
        <v>1</v>
      </c>
      <c r="AC9" s="276">
        <v>0</v>
      </c>
      <c r="AD9" s="19">
        <v>1</v>
      </c>
      <c r="AE9" s="317">
        <v>2</v>
      </c>
      <c r="AF9" s="263">
        <f>IF((SUM(AA9:AD9)/Z9)&gt;100%,100%,SUM(AA9:AD9)/Z9)</f>
        <v>1</v>
      </c>
      <c r="AG9" s="734"/>
      <c r="AH9" s="22">
        <v>44562</v>
      </c>
      <c r="AI9" s="22">
        <v>44926</v>
      </c>
      <c r="AJ9" s="23">
        <v>365</v>
      </c>
      <c r="AK9" s="22" t="s">
        <v>60</v>
      </c>
      <c r="AL9" s="22" t="s">
        <v>60</v>
      </c>
      <c r="AM9" s="72">
        <v>0.1</v>
      </c>
      <c r="AN9" s="446"/>
      <c r="AO9" s="446"/>
      <c r="AP9" s="437"/>
      <c r="AQ9" s="434"/>
      <c r="AR9" s="434"/>
      <c r="AS9" s="712"/>
      <c r="AT9" s="431"/>
      <c r="AU9" s="437"/>
      <c r="AV9" s="657"/>
      <c r="AW9" s="728"/>
      <c r="AX9" s="663"/>
      <c r="AY9" s="663"/>
      <c r="AZ9" s="19" t="s">
        <v>66</v>
      </c>
      <c r="BA9" s="26" t="s">
        <v>67</v>
      </c>
      <c r="BB9" s="26" t="s">
        <v>68</v>
      </c>
      <c r="BC9" s="26"/>
      <c r="BD9" s="26"/>
    </row>
    <row r="10" spans="1:56" ht="45.75" customHeight="1" x14ac:dyDescent="0.25">
      <c r="A10" s="470"/>
      <c r="B10" s="470"/>
      <c r="C10" s="473"/>
      <c r="D10" s="652"/>
      <c r="E10" s="725"/>
      <c r="F10" s="619"/>
      <c r="G10" s="476"/>
      <c r="H10" s="473"/>
      <c r="I10" s="487"/>
      <c r="J10" s="473"/>
      <c r="K10" s="489"/>
      <c r="L10" s="489"/>
      <c r="M10" s="489"/>
      <c r="N10" s="489"/>
      <c r="O10" s="489"/>
      <c r="P10" s="489"/>
      <c r="Q10" s="489"/>
      <c r="R10" s="489"/>
      <c r="S10" s="489"/>
      <c r="T10" s="650"/>
      <c r="U10" s="736"/>
      <c r="V10" s="619"/>
      <c r="W10" s="731"/>
      <c r="X10" s="648"/>
      <c r="Y10" s="26" t="s">
        <v>79</v>
      </c>
      <c r="Z10" s="26">
        <v>1</v>
      </c>
      <c r="AA10" s="26">
        <v>0</v>
      </c>
      <c r="AB10" s="26">
        <v>0</v>
      </c>
      <c r="AC10" s="26">
        <v>1</v>
      </c>
      <c r="AD10" s="19">
        <v>0</v>
      </c>
      <c r="AE10" s="19">
        <v>1</v>
      </c>
      <c r="AF10" s="263">
        <f t="shared" ref="AF10:AF31" si="0">SUM(AA10:AD10)/Z10</f>
        <v>1</v>
      </c>
      <c r="AG10" s="734"/>
      <c r="AH10" s="22">
        <v>44562</v>
      </c>
      <c r="AI10" s="22">
        <v>44926</v>
      </c>
      <c r="AJ10" s="23">
        <v>365</v>
      </c>
      <c r="AK10" s="22" t="s">
        <v>60</v>
      </c>
      <c r="AL10" s="22" t="s">
        <v>60</v>
      </c>
      <c r="AM10" s="72">
        <v>0.1</v>
      </c>
      <c r="AN10" s="446"/>
      <c r="AO10" s="446"/>
      <c r="AP10" s="437"/>
      <c r="AQ10" s="434"/>
      <c r="AR10" s="434"/>
      <c r="AS10" s="712"/>
      <c r="AT10" s="431"/>
      <c r="AU10" s="437"/>
      <c r="AV10" s="657"/>
      <c r="AW10" s="728"/>
      <c r="AX10" s="663"/>
      <c r="AY10" s="663"/>
      <c r="AZ10" s="19" t="s">
        <v>66</v>
      </c>
      <c r="BA10" s="26" t="s">
        <v>67</v>
      </c>
      <c r="BB10" s="26" t="s">
        <v>68</v>
      </c>
      <c r="BC10" s="26"/>
      <c r="BD10" s="26"/>
    </row>
    <row r="11" spans="1:56" ht="57.75" customHeight="1" thickBot="1" x14ac:dyDescent="0.3">
      <c r="A11" s="470"/>
      <c r="B11" s="470"/>
      <c r="C11" s="473"/>
      <c r="D11" s="652"/>
      <c r="E11" s="725"/>
      <c r="F11" s="619"/>
      <c r="G11" s="476"/>
      <c r="H11" s="473"/>
      <c r="I11" s="487"/>
      <c r="J11" s="473"/>
      <c r="K11" s="489"/>
      <c r="L11" s="495"/>
      <c r="M11" s="495"/>
      <c r="N11" s="495"/>
      <c r="O11" s="495"/>
      <c r="P11" s="495"/>
      <c r="Q11" s="495"/>
      <c r="R11" s="495"/>
      <c r="S11" s="495"/>
      <c r="T11" s="651"/>
      <c r="U11" s="737"/>
      <c r="V11" s="619"/>
      <c r="W11" s="732"/>
      <c r="X11" s="557"/>
      <c r="Y11" s="44" t="s">
        <v>433</v>
      </c>
      <c r="Z11" s="44">
        <v>1</v>
      </c>
      <c r="AA11" s="44">
        <v>0</v>
      </c>
      <c r="AB11" s="44">
        <v>0</v>
      </c>
      <c r="AC11" s="44">
        <v>0</v>
      </c>
      <c r="AD11" s="71">
        <v>0</v>
      </c>
      <c r="AE11" s="71">
        <v>0</v>
      </c>
      <c r="AF11" s="354">
        <f t="shared" si="0"/>
        <v>0</v>
      </c>
      <c r="AG11" s="735"/>
      <c r="AH11" s="22">
        <v>44562</v>
      </c>
      <c r="AI11" s="22">
        <v>44926</v>
      </c>
      <c r="AJ11" s="46">
        <v>365</v>
      </c>
      <c r="AK11" s="33" t="s">
        <v>60</v>
      </c>
      <c r="AL11" s="33" t="s">
        <v>60</v>
      </c>
      <c r="AM11" s="277">
        <v>0.1</v>
      </c>
      <c r="AN11" s="447"/>
      <c r="AO11" s="447"/>
      <c r="AP11" s="438"/>
      <c r="AQ11" s="435"/>
      <c r="AR11" s="435"/>
      <c r="AS11" s="713"/>
      <c r="AT11" s="431"/>
      <c r="AU11" s="438"/>
      <c r="AV11" s="658"/>
      <c r="AW11" s="729"/>
      <c r="AX11" s="664"/>
      <c r="AY11" s="664"/>
      <c r="AZ11" s="38" t="s">
        <v>66</v>
      </c>
      <c r="BA11" s="33" t="s">
        <v>67</v>
      </c>
      <c r="BB11" s="33" t="s">
        <v>68</v>
      </c>
      <c r="BC11" s="33"/>
      <c r="BD11" s="33"/>
    </row>
    <row r="12" spans="1:56" ht="57.75" customHeight="1" thickBot="1" x14ac:dyDescent="0.3">
      <c r="A12" s="470"/>
      <c r="B12" s="470"/>
      <c r="C12" s="473"/>
      <c r="D12" s="652"/>
      <c r="E12" s="725"/>
      <c r="F12" s="619"/>
      <c r="G12" s="203"/>
      <c r="H12" s="201"/>
      <c r="I12" s="348"/>
      <c r="J12" s="201"/>
      <c r="K12" s="349"/>
      <c r="L12" s="349"/>
      <c r="M12" s="349"/>
      <c r="N12" s="349"/>
      <c r="O12" s="349"/>
      <c r="P12" s="349"/>
      <c r="Q12" s="349"/>
      <c r="R12" s="349"/>
      <c r="S12" s="349"/>
      <c r="T12" s="352"/>
      <c r="U12" s="361"/>
      <c r="V12" s="619"/>
      <c r="W12" s="681" t="s">
        <v>461</v>
      </c>
      <c r="X12" s="681"/>
      <c r="Y12" s="681"/>
      <c r="Z12" s="681"/>
      <c r="AA12" s="681"/>
      <c r="AB12" s="681"/>
      <c r="AC12" s="681"/>
      <c r="AD12" s="681"/>
      <c r="AE12" s="681"/>
      <c r="AF12" s="363">
        <f>AVERAGE(AF2:AF11)</f>
        <v>0.9</v>
      </c>
      <c r="AG12" s="364"/>
      <c r="AH12" s="60"/>
      <c r="AI12" s="60"/>
      <c r="AJ12" s="61"/>
      <c r="AK12" s="184"/>
      <c r="AL12" s="71"/>
      <c r="AM12" s="353"/>
      <c r="AN12" s="66"/>
      <c r="AO12" s="687" t="s">
        <v>465</v>
      </c>
      <c r="AP12" s="688"/>
      <c r="AQ12" s="688"/>
      <c r="AR12" s="409">
        <f>SUM(AR2:AR11)</f>
        <v>1320944284.29</v>
      </c>
      <c r="AS12" s="409">
        <f>SUM(AS2:AS11)</f>
        <v>1000000000</v>
      </c>
      <c r="AT12" s="224">
        <f>+AS12/AR12</f>
        <v>0.75703420037696312</v>
      </c>
      <c r="AU12" s="356"/>
      <c r="AV12" s="358"/>
      <c r="AW12" s="359"/>
      <c r="AX12" s="360"/>
      <c r="AY12" s="360"/>
      <c r="AZ12" s="71"/>
      <c r="BA12" s="71"/>
      <c r="BB12" s="71"/>
      <c r="BC12" s="71"/>
      <c r="BD12" s="71"/>
    </row>
    <row r="13" spans="1:56" ht="63.75" customHeight="1" x14ac:dyDescent="0.25">
      <c r="A13" s="470"/>
      <c r="B13" s="470"/>
      <c r="C13" s="473"/>
      <c r="D13" s="652"/>
      <c r="E13" s="725"/>
      <c r="F13" s="619"/>
      <c r="G13" s="475" t="s">
        <v>80</v>
      </c>
      <c r="H13" s="472" t="s">
        <v>54</v>
      </c>
      <c r="I13" s="472" t="s">
        <v>81</v>
      </c>
      <c r="J13" s="472" t="s">
        <v>82</v>
      </c>
      <c r="K13" s="488">
        <v>1</v>
      </c>
      <c r="L13" s="463">
        <v>0.25</v>
      </c>
      <c r="M13" s="463">
        <v>0.48625000000000002</v>
      </c>
      <c r="N13" s="463">
        <v>0.10249999999999999</v>
      </c>
      <c r="O13" s="705">
        <v>7.6999999999999999E-2</v>
      </c>
      <c r="P13" s="705">
        <v>7.4999999999999997E-2</v>
      </c>
      <c r="Q13" s="705">
        <v>5.0000000000000001E-4</v>
      </c>
      <c r="R13" s="705">
        <f>SUM(N13:Q18)</f>
        <v>0.255</v>
      </c>
      <c r="S13" s="463">
        <f>M13+N13+P13+O13+Q13</f>
        <v>0.74124999999999985</v>
      </c>
      <c r="T13" s="430">
        <v>1</v>
      </c>
      <c r="U13" s="430">
        <f>+S13/K13</f>
        <v>0.74124999999999985</v>
      </c>
      <c r="V13" s="707" t="s">
        <v>83</v>
      </c>
      <c r="W13" s="437">
        <v>2020130010216</v>
      </c>
      <c r="X13" s="437" t="s">
        <v>84</v>
      </c>
      <c r="Y13" s="19" t="s">
        <v>85</v>
      </c>
      <c r="Z13" s="19">
        <v>6</v>
      </c>
      <c r="AA13" s="19">
        <v>6</v>
      </c>
      <c r="AB13" s="19">
        <v>0</v>
      </c>
      <c r="AC13" s="19">
        <v>0</v>
      </c>
      <c r="AD13" s="19">
        <v>0</v>
      </c>
      <c r="AE13" s="19">
        <v>6</v>
      </c>
      <c r="AF13" s="263">
        <f t="shared" si="0"/>
        <v>1</v>
      </c>
      <c r="AG13" s="738">
        <f>AVERAGE(AF13:AF18)</f>
        <v>0.85</v>
      </c>
      <c r="AH13" s="22">
        <v>44562</v>
      </c>
      <c r="AI13" s="22">
        <v>44926</v>
      </c>
      <c r="AJ13" s="23">
        <v>365</v>
      </c>
      <c r="AK13" s="39" t="s">
        <v>60</v>
      </c>
      <c r="AL13" s="39" t="s">
        <v>60</v>
      </c>
      <c r="AM13" s="278">
        <v>0.16600000000000001</v>
      </c>
      <c r="AN13" s="445" t="s">
        <v>61</v>
      </c>
      <c r="AO13" s="445" t="s">
        <v>62</v>
      </c>
      <c r="AP13" s="445" t="s">
        <v>63</v>
      </c>
      <c r="AQ13" s="433">
        <v>260000000</v>
      </c>
      <c r="AR13" s="433">
        <v>260000000</v>
      </c>
      <c r="AS13" s="433">
        <v>260000000</v>
      </c>
      <c r="AT13" s="431">
        <f>+AS13/AQ13</f>
        <v>1</v>
      </c>
      <c r="AU13" s="446" t="s">
        <v>63</v>
      </c>
      <c r="AV13" s="437" t="s">
        <v>64</v>
      </c>
      <c r="AW13" s="437"/>
      <c r="AX13" s="437" t="s">
        <v>65</v>
      </c>
      <c r="AY13" s="443">
        <f>AS13</f>
        <v>260000000</v>
      </c>
      <c r="AZ13" s="41" t="s">
        <v>66</v>
      </c>
      <c r="BA13" s="19" t="s">
        <v>86</v>
      </c>
      <c r="BB13" s="19" t="s">
        <v>77</v>
      </c>
      <c r="BC13" s="19"/>
      <c r="BD13" s="19"/>
    </row>
    <row r="14" spans="1:56" ht="102" customHeight="1" x14ac:dyDescent="0.25">
      <c r="A14" s="470"/>
      <c r="B14" s="470"/>
      <c r="C14" s="473"/>
      <c r="D14" s="652"/>
      <c r="E14" s="725"/>
      <c r="F14" s="619"/>
      <c r="G14" s="476"/>
      <c r="H14" s="473"/>
      <c r="I14" s="473"/>
      <c r="J14" s="473"/>
      <c r="K14" s="489"/>
      <c r="L14" s="464"/>
      <c r="M14" s="464"/>
      <c r="N14" s="464"/>
      <c r="O14" s="706"/>
      <c r="P14" s="706"/>
      <c r="Q14" s="706"/>
      <c r="R14" s="706"/>
      <c r="S14" s="464"/>
      <c r="T14" s="431"/>
      <c r="U14" s="431"/>
      <c r="V14" s="470"/>
      <c r="W14" s="437"/>
      <c r="X14" s="437"/>
      <c r="Y14" s="26" t="s">
        <v>87</v>
      </c>
      <c r="Z14" s="26">
        <v>1</v>
      </c>
      <c r="AA14" s="26">
        <v>1</v>
      </c>
      <c r="AB14" s="26">
        <v>0</v>
      </c>
      <c r="AC14" s="26">
        <v>0</v>
      </c>
      <c r="AD14" s="19">
        <v>0</v>
      </c>
      <c r="AE14" s="19">
        <v>1</v>
      </c>
      <c r="AF14" s="263">
        <f t="shared" si="0"/>
        <v>1</v>
      </c>
      <c r="AG14" s="738"/>
      <c r="AH14" s="22">
        <v>44562</v>
      </c>
      <c r="AI14" s="22">
        <v>44926</v>
      </c>
      <c r="AJ14" s="23">
        <v>365</v>
      </c>
      <c r="AK14" s="22" t="s">
        <v>60</v>
      </c>
      <c r="AL14" s="22" t="s">
        <v>60</v>
      </c>
      <c r="AM14" s="279">
        <v>0.16600000000000001</v>
      </c>
      <c r="AN14" s="446"/>
      <c r="AO14" s="446"/>
      <c r="AP14" s="446"/>
      <c r="AQ14" s="434"/>
      <c r="AR14" s="434"/>
      <c r="AS14" s="434"/>
      <c r="AT14" s="431"/>
      <c r="AU14" s="446"/>
      <c r="AV14" s="437"/>
      <c r="AW14" s="437"/>
      <c r="AX14" s="437"/>
      <c r="AY14" s="443"/>
      <c r="AZ14" s="19" t="s">
        <v>66</v>
      </c>
      <c r="BA14" s="26" t="s">
        <v>88</v>
      </c>
      <c r="BB14" s="26" t="s">
        <v>89</v>
      </c>
      <c r="BC14" s="26"/>
      <c r="BD14" s="26"/>
    </row>
    <row r="15" spans="1:56" ht="118.5" customHeight="1" x14ac:dyDescent="0.25">
      <c r="A15" s="470"/>
      <c r="B15" s="470"/>
      <c r="C15" s="473"/>
      <c r="D15" s="652"/>
      <c r="E15" s="725"/>
      <c r="F15" s="619"/>
      <c r="G15" s="476"/>
      <c r="H15" s="473"/>
      <c r="I15" s="473"/>
      <c r="J15" s="473"/>
      <c r="K15" s="489"/>
      <c r="L15" s="464"/>
      <c r="M15" s="464"/>
      <c r="N15" s="464"/>
      <c r="O15" s="706"/>
      <c r="P15" s="706"/>
      <c r="Q15" s="706"/>
      <c r="R15" s="706"/>
      <c r="S15" s="464"/>
      <c r="T15" s="431"/>
      <c r="U15" s="431"/>
      <c r="V15" s="470"/>
      <c r="W15" s="437"/>
      <c r="X15" s="437"/>
      <c r="Y15" s="26" t="s">
        <v>90</v>
      </c>
      <c r="Z15" s="26">
        <v>2</v>
      </c>
      <c r="AA15" s="26">
        <v>0</v>
      </c>
      <c r="AB15" s="26">
        <v>1</v>
      </c>
      <c r="AC15" s="26">
        <v>0</v>
      </c>
      <c r="AD15" s="19">
        <v>0</v>
      </c>
      <c r="AE15" s="19">
        <v>1</v>
      </c>
      <c r="AF15" s="263">
        <f t="shared" si="0"/>
        <v>0.5</v>
      </c>
      <c r="AG15" s="738"/>
      <c r="AH15" s="22">
        <v>44562</v>
      </c>
      <c r="AI15" s="22">
        <v>44926</v>
      </c>
      <c r="AJ15" s="23">
        <v>365</v>
      </c>
      <c r="AK15" s="22" t="s">
        <v>60</v>
      </c>
      <c r="AL15" s="22" t="s">
        <v>60</v>
      </c>
      <c r="AM15" s="279">
        <v>0.16600000000000001</v>
      </c>
      <c r="AN15" s="446"/>
      <c r="AO15" s="446"/>
      <c r="AP15" s="446"/>
      <c r="AQ15" s="434"/>
      <c r="AR15" s="434"/>
      <c r="AS15" s="434"/>
      <c r="AT15" s="431"/>
      <c r="AU15" s="446"/>
      <c r="AV15" s="437"/>
      <c r="AW15" s="437"/>
      <c r="AX15" s="437"/>
      <c r="AY15" s="443"/>
      <c r="AZ15" s="19" t="s">
        <v>66</v>
      </c>
      <c r="BA15" s="26" t="s">
        <v>91</v>
      </c>
      <c r="BB15" s="26" t="s">
        <v>92</v>
      </c>
      <c r="BC15" s="26"/>
      <c r="BD15" s="26"/>
    </row>
    <row r="16" spans="1:56" ht="114" customHeight="1" x14ac:dyDescent="0.25">
      <c r="A16" s="470"/>
      <c r="B16" s="470"/>
      <c r="C16" s="473"/>
      <c r="D16" s="652"/>
      <c r="E16" s="725"/>
      <c r="F16" s="619"/>
      <c r="G16" s="476"/>
      <c r="H16" s="473"/>
      <c r="I16" s="473"/>
      <c r="J16" s="473"/>
      <c r="K16" s="489"/>
      <c r="L16" s="464"/>
      <c r="M16" s="464"/>
      <c r="N16" s="464"/>
      <c r="O16" s="706"/>
      <c r="P16" s="706"/>
      <c r="Q16" s="706"/>
      <c r="R16" s="706"/>
      <c r="S16" s="464"/>
      <c r="T16" s="431"/>
      <c r="U16" s="431"/>
      <c r="V16" s="470"/>
      <c r="W16" s="437"/>
      <c r="X16" s="437"/>
      <c r="Y16" s="26" t="s">
        <v>93</v>
      </c>
      <c r="Z16" s="26">
        <v>1</v>
      </c>
      <c r="AA16" s="26">
        <v>0.12</v>
      </c>
      <c r="AB16" s="26">
        <v>0.48</v>
      </c>
      <c r="AC16" s="26">
        <v>0.2</v>
      </c>
      <c r="AD16" s="19">
        <v>1.2000000000000002</v>
      </c>
      <c r="AE16" s="23">
        <f>SUM(AA16:AD16)</f>
        <v>2</v>
      </c>
      <c r="AF16" s="263">
        <f>IF((SUM(AA16:AD16)/Z16)&gt;100%,100%,SUM(AA16:AD16)/Z16)</f>
        <v>1</v>
      </c>
      <c r="AG16" s="738"/>
      <c r="AH16" s="22">
        <v>44562</v>
      </c>
      <c r="AI16" s="22">
        <v>44926</v>
      </c>
      <c r="AJ16" s="23">
        <v>365</v>
      </c>
      <c r="AK16" s="22" t="s">
        <v>60</v>
      </c>
      <c r="AL16" s="22" t="s">
        <v>60</v>
      </c>
      <c r="AM16" s="279">
        <v>0.16600000000000001</v>
      </c>
      <c r="AN16" s="446"/>
      <c r="AO16" s="446"/>
      <c r="AP16" s="446"/>
      <c r="AQ16" s="434"/>
      <c r="AR16" s="434"/>
      <c r="AS16" s="434"/>
      <c r="AT16" s="431"/>
      <c r="AU16" s="446"/>
      <c r="AV16" s="437"/>
      <c r="AW16" s="437"/>
      <c r="AX16" s="437"/>
      <c r="AY16" s="443"/>
      <c r="AZ16" s="19" t="s">
        <v>66</v>
      </c>
      <c r="BA16" s="26" t="s">
        <v>67</v>
      </c>
      <c r="BB16" s="26" t="s">
        <v>68</v>
      </c>
      <c r="BC16" s="26"/>
      <c r="BD16" s="26"/>
    </row>
    <row r="17" spans="1:56" ht="81.75" customHeight="1" thickBot="1" x14ac:dyDescent="0.3">
      <c r="A17" s="470"/>
      <c r="B17" s="470"/>
      <c r="C17" s="473"/>
      <c r="D17" s="652"/>
      <c r="E17" s="725"/>
      <c r="F17" s="619"/>
      <c r="G17" s="476"/>
      <c r="H17" s="473"/>
      <c r="I17" s="473"/>
      <c r="J17" s="473"/>
      <c r="K17" s="489"/>
      <c r="L17" s="464"/>
      <c r="M17" s="464"/>
      <c r="N17" s="464"/>
      <c r="O17" s="706"/>
      <c r="P17" s="706"/>
      <c r="Q17" s="706"/>
      <c r="R17" s="706"/>
      <c r="S17" s="464"/>
      <c r="T17" s="431"/>
      <c r="U17" s="431"/>
      <c r="V17" s="470"/>
      <c r="W17" s="437"/>
      <c r="X17" s="437"/>
      <c r="Y17" s="26" t="s">
        <v>94</v>
      </c>
      <c r="Z17" s="26">
        <v>342</v>
      </c>
      <c r="AA17" s="26">
        <v>1000</v>
      </c>
      <c r="AB17" s="26">
        <v>0</v>
      </c>
      <c r="AC17" s="26">
        <v>0</v>
      </c>
      <c r="AD17" s="19">
        <v>245</v>
      </c>
      <c r="AE17" s="23">
        <v>1245</v>
      </c>
      <c r="AF17" s="263">
        <f>IF((SUM(AA17:AD17)/Z17)&gt;100%,100%,SUM(AA17:AD17)/Z17)</f>
        <v>1</v>
      </c>
      <c r="AG17" s="738"/>
      <c r="AH17" s="22">
        <v>44562</v>
      </c>
      <c r="AI17" s="22">
        <v>44926</v>
      </c>
      <c r="AJ17" s="23">
        <v>365</v>
      </c>
      <c r="AK17" s="22" t="s">
        <v>60</v>
      </c>
      <c r="AL17" s="22" t="s">
        <v>60</v>
      </c>
      <c r="AM17" s="279">
        <v>0.16600000000000001</v>
      </c>
      <c r="AN17" s="446"/>
      <c r="AO17" s="446"/>
      <c r="AP17" s="446"/>
      <c r="AQ17" s="434"/>
      <c r="AR17" s="434"/>
      <c r="AS17" s="434"/>
      <c r="AT17" s="431"/>
      <c r="AU17" s="446"/>
      <c r="AV17" s="437"/>
      <c r="AW17" s="437"/>
      <c r="AX17" s="437"/>
      <c r="AY17" s="443"/>
      <c r="AZ17" s="19" t="s">
        <v>66</v>
      </c>
      <c r="BA17" s="26" t="s">
        <v>67</v>
      </c>
      <c r="BB17" s="26" t="s">
        <v>68</v>
      </c>
      <c r="BC17" s="26"/>
      <c r="BD17" s="26"/>
    </row>
    <row r="18" spans="1:56" ht="66.75" hidden="1" customHeight="1" thickBot="1" x14ac:dyDescent="0.3">
      <c r="A18" s="470"/>
      <c r="B18" s="470"/>
      <c r="C18" s="473"/>
      <c r="D18" s="652"/>
      <c r="E18" s="725"/>
      <c r="F18" s="619"/>
      <c r="G18" s="477"/>
      <c r="H18" s="474"/>
      <c r="I18" s="474"/>
      <c r="J18" s="474"/>
      <c r="K18" s="495"/>
      <c r="L18" s="464"/>
      <c r="M18" s="464"/>
      <c r="N18" s="464"/>
      <c r="O18" s="706"/>
      <c r="P18" s="706"/>
      <c r="Q18" s="706"/>
      <c r="R18" s="706"/>
      <c r="S18" s="464"/>
      <c r="T18" s="431"/>
      <c r="U18" s="431"/>
      <c r="V18" s="470"/>
      <c r="W18" s="438"/>
      <c r="X18" s="438"/>
      <c r="Y18" s="44" t="s">
        <v>95</v>
      </c>
      <c r="Z18" s="44">
        <v>5</v>
      </c>
      <c r="AA18" s="44">
        <v>0</v>
      </c>
      <c r="AB18" s="44">
        <v>1</v>
      </c>
      <c r="AC18" s="44">
        <v>0</v>
      </c>
      <c r="AD18" s="71">
        <v>2</v>
      </c>
      <c r="AE18" s="71">
        <v>3</v>
      </c>
      <c r="AF18" s="263">
        <f t="shared" si="0"/>
        <v>0.6</v>
      </c>
      <c r="AG18" s="739"/>
      <c r="AH18" s="35">
        <v>44197</v>
      </c>
      <c r="AI18" s="57"/>
      <c r="AJ18" s="46">
        <v>365</v>
      </c>
      <c r="AK18" s="47" t="s">
        <v>60</v>
      </c>
      <c r="AL18" s="47" t="s">
        <v>60</v>
      </c>
      <c r="AM18" s="280">
        <v>0.16600000000000001</v>
      </c>
      <c r="AN18" s="447"/>
      <c r="AO18" s="446"/>
      <c r="AP18" s="446"/>
      <c r="AQ18" s="434"/>
      <c r="AR18" s="434"/>
      <c r="AS18" s="435"/>
      <c r="AT18" s="431"/>
      <c r="AU18" s="447"/>
      <c r="AV18" s="438"/>
      <c r="AW18" s="438"/>
      <c r="AX18" s="438"/>
      <c r="AY18" s="444"/>
      <c r="AZ18" s="38" t="s">
        <v>66</v>
      </c>
      <c r="BA18" s="44" t="s">
        <v>67</v>
      </c>
      <c r="BB18" s="44" t="s">
        <v>68</v>
      </c>
      <c r="BC18" s="44"/>
      <c r="BD18" s="44"/>
    </row>
    <row r="19" spans="1:56" ht="124.5" customHeight="1" thickBot="1" x14ac:dyDescent="0.3">
      <c r="A19" s="470"/>
      <c r="B19" s="470"/>
      <c r="C19" s="473"/>
      <c r="D19" s="652"/>
      <c r="E19" s="725"/>
      <c r="F19" s="619"/>
      <c r="G19" s="203"/>
      <c r="H19" s="201"/>
      <c r="I19" s="201"/>
      <c r="J19" s="201"/>
      <c r="K19" s="351"/>
      <c r="L19" s="346"/>
      <c r="M19" s="346"/>
      <c r="N19" s="346"/>
      <c r="O19" s="365"/>
      <c r="P19" s="365"/>
      <c r="Q19" s="365"/>
      <c r="R19" s="365"/>
      <c r="S19" s="346"/>
      <c r="T19" s="345"/>
      <c r="U19" s="345"/>
      <c r="V19" s="471"/>
      <c r="W19" s="499" t="s">
        <v>466</v>
      </c>
      <c r="X19" s="500"/>
      <c r="Y19" s="500"/>
      <c r="Z19" s="500"/>
      <c r="AA19" s="500"/>
      <c r="AB19" s="500"/>
      <c r="AC19" s="500"/>
      <c r="AD19" s="500"/>
      <c r="AE19" s="682"/>
      <c r="AF19" s="368">
        <f>AVERAGE(AF13:AF17)</f>
        <v>0.9</v>
      </c>
      <c r="AG19" s="353"/>
      <c r="AH19" s="22"/>
      <c r="AI19" s="22"/>
      <c r="AJ19" s="357"/>
      <c r="AK19" s="129"/>
      <c r="AL19" s="367"/>
      <c r="AM19" s="280"/>
      <c r="AN19" s="356"/>
      <c r="AO19" s="696" t="s">
        <v>467</v>
      </c>
      <c r="AP19" s="696"/>
      <c r="AQ19" s="696"/>
      <c r="AR19" s="415">
        <f>SUM(AR13)</f>
        <v>260000000</v>
      </c>
      <c r="AS19" s="413">
        <f>SUM(AS13)</f>
        <v>260000000</v>
      </c>
      <c r="AT19" s="366">
        <f>AVERAGE(AT13)</f>
        <v>1</v>
      </c>
      <c r="AU19" s="114"/>
      <c r="AV19" s="67"/>
      <c r="AW19" s="67"/>
      <c r="AX19" s="67"/>
      <c r="AY19" s="69"/>
      <c r="AZ19" s="71"/>
      <c r="BA19" s="71"/>
      <c r="BB19" s="71"/>
      <c r="BC19" s="71"/>
      <c r="BD19" s="71"/>
    </row>
    <row r="20" spans="1:56" ht="48.75" customHeight="1" x14ac:dyDescent="0.25">
      <c r="A20" s="470"/>
      <c r="B20" s="470"/>
      <c r="C20" s="473"/>
      <c r="D20" s="652"/>
      <c r="E20" s="725"/>
      <c r="F20" s="619"/>
      <c r="G20" s="475" t="s">
        <v>96</v>
      </c>
      <c r="H20" s="472" t="s">
        <v>54</v>
      </c>
      <c r="I20" s="472" t="s">
        <v>97</v>
      </c>
      <c r="J20" s="472" t="s">
        <v>96</v>
      </c>
      <c r="K20" s="646">
        <v>40</v>
      </c>
      <c r="L20" s="630">
        <v>10</v>
      </c>
      <c r="M20" s="630">
        <v>29</v>
      </c>
      <c r="N20" s="630">
        <v>4</v>
      </c>
      <c r="O20" s="630">
        <v>4</v>
      </c>
      <c r="P20" s="630">
        <v>2</v>
      </c>
      <c r="Q20" s="630">
        <v>0</v>
      </c>
      <c r="R20" s="630">
        <f>SUM(N20:Q24)</f>
        <v>10</v>
      </c>
      <c r="S20" s="630">
        <f>M20+N20+O20+P20+Q20</f>
        <v>39</v>
      </c>
      <c r="T20" s="636" cm="1">
        <f t="array" ref="T20">IF(SUM((N20:Q20)/L20)&gt;100%,100%,SUM((N20:Q20)/L20))</f>
        <v>1</v>
      </c>
      <c r="U20" s="636">
        <f>+S20/K20</f>
        <v>0.97499999999999998</v>
      </c>
      <c r="V20" s="491" t="s">
        <v>98</v>
      </c>
      <c r="W20" s="436">
        <v>2021130010197</v>
      </c>
      <c r="X20" s="436" t="s">
        <v>99</v>
      </c>
      <c r="Y20" s="370" t="s">
        <v>100</v>
      </c>
      <c r="Z20" s="370">
        <v>10</v>
      </c>
      <c r="AA20" s="41">
        <v>4</v>
      </c>
      <c r="AB20" s="41">
        <v>4</v>
      </c>
      <c r="AC20" s="41">
        <v>0</v>
      </c>
      <c r="AD20" s="41">
        <v>0</v>
      </c>
      <c r="AE20" s="41">
        <v>8</v>
      </c>
      <c r="AF20" s="81">
        <f t="shared" si="0"/>
        <v>0.8</v>
      </c>
      <c r="AG20" s="740">
        <f>AVERAGE(AF20:AF31)</f>
        <v>0.64861111111111103</v>
      </c>
      <c r="AH20" s="22">
        <v>44562</v>
      </c>
      <c r="AI20" s="22">
        <v>44926</v>
      </c>
      <c r="AJ20" s="52">
        <v>365</v>
      </c>
      <c r="AK20" s="39" t="s">
        <v>60</v>
      </c>
      <c r="AL20" s="247" t="s">
        <v>60</v>
      </c>
      <c r="AM20" s="278">
        <v>8.3000000000000004E-2</v>
      </c>
      <c r="AN20" s="494" t="s">
        <v>61</v>
      </c>
      <c r="AO20" s="446" t="s">
        <v>62</v>
      </c>
      <c r="AP20" s="446" t="s">
        <v>63</v>
      </c>
      <c r="AQ20" s="539"/>
      <c r="AR20" s="539">
        <v>1000000000</v>
      </c>
      <c r="AS20" s="547">
        <v>1000000000</v>
      </c>
      <c r="AT20" s="431">
        <f>+AS20/AR20</f>
        <v>1</v>
      </c>
      <c r="AU20" s="445" t="s">
        <v>63</v>
      </c>
      <c r="AV20" s="445" t="s">
        <v>63</v>
      </c>
      <c r="AW20" s="436"/>
      <c r="AX20" s="436" t="s">
        <v>65</v>
      </c>
      <c r="AY20" s="442">
        <f>AS20</f>
        <v>1000000000</v>
      </c>
      <c r="AZ20" s="19" t="s">
        <v>66</v>
      </c>
      <c r="BA20" s="41" t="s">
        <v>67</v>
      </c>
      <c r="BB20" s="41" t="s">
        <v>68</v>
      </c>
      <c r="BC20" s="41"/>
      <c r="BD20" s="41"/>
    </row>
    <row r="21" spans="1:56" ht="74.25" customHeight="1" x14ac:dyDescent="0.25">
      <c r="A21" s="470"/>
      <c r="B21" s="470"/>
      <c r="C21" s="473"/>
      <c r="D21" s="652"/>
      <c r="E21" s="725"/>
      <c r="F21" s="619"/>
      <c r="G21" s="476"/>
      <c r="H21" s="473"/>
      <c r="I21" s="473"/>
      <c r="J21" s="473"/>
      <c r="K21" s="647"/>
      <c r="L21" s="631"/>
      <c r="M21" s="631"/>
      <c r="N21" s="631"/>
      <c r="O21" s="631"/>
      <c r="P21" s="631"/>
      <c r="Q21" s="631"/>
      <c r="R21" s="631"/>
      <c r="S21" s="631"/>
      <c r="T21" s="637"/>
      <c r="U21" s="637"/>
      <c r="V21" s="492"/>
      <c r="W21" s="437"/>
      <c r="X21" s="437"/>
      <c r="Y21" s="371" t="s">
        <v>101</v>
      </c>
      <c r="Z21" s="371">
        <v>10</v>
      </c>
      <c r="AA21" s="26">
        <v>4</v>
      </c>
      <c r="AB21" s="26">
        <v>4</v>
      </c>
      <c r="AC21" s="26">
        <v>0</v>
      </c>
      <c r="AD21" s="19">
        <v>0</v>
      </c>
      <c r="AE21" s="19">
        <v>8</v>
      </c>
      <c r="AF21" s="263">
        <f t="shared" si="0"/>
        <v>0.8</v>
      </c>
      <c r="AG21" s="738"/>
      <c r="AH21" s="22">
        <v>44562</v>
      </c>
      <c r="AI21" s="22">
        <v>44926</v>
      </c>
      <c r="AJ21" s="54">
        <v>365</v>
      </c>
      <c r="AK21" s="22" t="s">
        <v>60</v>
      </c>
      <c r="AL21" s="53" t="s">
        <v>60</v>
      </c>
      <c r="AM21" s="259">
        <v>8.3000000000000004E-2</v>
      </c>
      <c r="AN21" s="579"/>
      <c r="AO21" s="446"/>
      <c r="AP21" s="446"/>
      <c r="AQ21" s="539"/>
      <c r="AR21" s="539"/>
      <c r="AS21" s="539"/>
      <c r="AT21" s="431"/>
      <c r="AU21" s="446"/>
      <c r="AV21" s="446"/>
      <c r="AW21" s="437"/>
      <c r="AX21" s="437"/>
      <c r="AY21" s="443"/>
      <c r="AZ21" s="19" t="s">
        <v>66</v>
      </c>
      <c r="BA21" s="26" t="s">
        <v>67</v>
      </c>
      <c r="BB21" s="26" t="s">
        <v>68</v>
      </c>
      <c r="BC21" s="26"/>
      <c r="BD21" s="26"/>
    </row>
    <row r="22" spans="1:56" ht="72" customHeight="1" x14ac:dyDescent="0.25">
      <c r="A22" s="470"/>
      <c r="B22" s="470"/>
      <c r="C22" s="473"/>
      <c r="D22" s="652"/>
      <c r="E22" s="725"/>
      <c r="F22" s="619"/>
      <c r="G22" s="476"/>
      <c r="H22" s="473"/>
      <c r="I22" s="473"/>
      <c r="J22" s="473"/>
      <c r="K22" s="647"/>
      <c r="L22" s="631"/>
      <c r="M22" s="631"/>
      <c r="N22" s="631"/>
      <c r="O22" s="631"/>
      <c r="P22" s="631"/>
      <c r="Q22" s="631"/>
      <c r="R22" s="631"/>
      <c r="S22" s="631"/>
      <c r="T22" s="637"/>
      <c r="U22" s="637"/>
      <c r="V22" s="492"/>
      <c r="W22" s="437"/>
      <c r="X22" s="437"/>
      <c r="Y22" s="371" t="s">
        <v>102</v>
      </c>
      <c r="Z22" s="371">
        <v>10</v>
      </c>
      <c r="AA22" s="26">
        <v>4</v>
      </c>
      <c r="AB22" s="26">
        <v>4</v>
      </c>
      <c r="AC22" s="26">
        <v>0</v>
      </c>
      <c r="AD22" s="19">
        <v>0</v>
      </c>
      <c r="AE22" s="19">
        <v>8</v>
      </c>
      <c r="AF22" s="263">
        <f t="shared" si="0"/>
        <v>0.8</v>
      </c>
      <c r="AG22" s="738"/>
      <c r="AH22" s="22">
        <v>44562</v>
      </c>
      <c r="AI22" s="22">
        <v>44926</v>
      </c>
      <c r="AJ22" s="54">
        <v>365</v>
      </c>
      <c r="AK22" s="22" t="s">
        <v>60</v>
      </c>
      <c r="AL22" s="53" t="s">
        <v>60</v>
      </c>
      <c r="AM22" s="259">
        <v>8.3000000000000004E-2</v>
      </c>
      <c r="AN22" s="579"/>
      <c r="AO22" s="446"/>
      <c r="AP22" s="446"/>
      <c r="AQ22" s="539"/>
      <c r="AR22" s="539"/>
      <c r="AS22" s="539"/>
      <c r="AT22" s="431"/>
      <c r="AU22" s="446"/>
      <c r="AV22" s="446"/>
      <c r="AW22" s="437"/>
      <c r="AX22" s="437"/>
      <c r="AY22" s="443"/>
      <c r="AZ22" s="19" t="s">
        <v>66</v>
      </c>
      <c r="BA22" s="26" t="s">
        <v>86</v>
      </c>
      <c r="BB22" s="26" t="s">
        <v>68</v>
      </c>
      <c r="BC22" s="26"/>
      <c r="BD22" s="26"/>
    </row>
    <row r="23" spans="1:56" ht="44.25" customHeight="1" x14ac:dyDescent="0.25">
      <c r="A23" s="470"/>
      <c r="B23" s="470"/>
      <c r="C23" s="473"/>
      <c r="D23" s="652"/>
      <c r="E23" s="725"/>
      <c r="F23" s="619"/>
      <c r="G23" s="476"/>
      <c r="H23" s="473"/>
      <c r="I23" s="473"/>
      <c r="J23" s="473"/>
      <c r="K23" s="647"/>
      <c r="L23" s="631"/>
      <c r="M23" s="631"/>
      <c r="N23" s="631"/>
      <c r="O23" s="631"/>
      <c r="P23" s="631"/>
      <c r="Q23" s="631"/>
      <c r="R23" s="631"/>
      <c r="S23" s="631"/>
      <c r="T23" s="637"/>
      <c r="U23" s="637"/>
      <c r="V23" s="492"/>
      <c r="W23" s="437"/>
      <c r="X23" s="437"/>
      <c r="Y23" s="371" t="s">
        <v>103</v>
      </c>
      <c r="Z23" s="371">
        <v>10</v>
      </c>
      <c r="AA23" s="26">
        <v>4</v>
      </c>
      <c r="AB23" s="26">
        <v>4</v>
      </c>
      <c r="AC23" s="26">
        <v>0</v>
      </c>
      <c r="AD23" s="19">
        <v>0</v>
      </c>
      <c r="AE23" s="19">
        <v>8</v>
      </c>
      <c r="AF23" s="263">
        <f t="shared" si="0"/>
        <v>0.8</v>
      </c>
      <c r="AG23" s="738"/>
      <c r="AH23" s="22">
        <v>44562</v>
      </c>
      <c r="AI23" s="22">
        <v>44926</v>
      </c>
      <c r="AJ23" s="54">
        <v>365</v>
      </c>
      <c r="AK23" s="22" t="s">
        <v>60</v>
      </c>
      <c r="AL23" s="53" t="s">
        <v>60</v>
      </c>
      <c r="AM23" s="259">
        <v>8.3000000000000004E-2</v>
      </c>
      <c r="AN23" s="579"/>
      <c r="AO23" s="446"/>
      <c r="AP23" s="446"/>
      <c r="AQ23" s="539"/>
      <c r="AR23" s="539"/>
      <c r="AS23" s="539"/>
      <c r="AT23" s="431"/>
      <c r="AU23" s="446"/>
      <c r="AV23" s="446"/>
      <c r="AW23" s="437"/>
      <c r="AX23" s="437"/>
      <c r="AY23" s="443"/>
      <c r="AZ23" s="19" t="s">
        <v>66</v>
      </c>
      <c r="BA23" s="26" t="s">
        <v>67</v>
      </c>
      <c r="BB23" s="26" t="s">
        <v>68</v>
      </c>
      <c r="BC23" s="26"/>
      <c r="BD23" s="26"/>
    </row>
    <row r="24" spans="1:56" ht="33.75" customHeight="1" thickBot="1" x14ac:dyDescent="0.3">
      <c r="A24" s="470"/>
      <c r="B24" s="470"/>
      <c r="C24" s="473"/>
      <c r="D24" s="652"/>
      <c r="E24" s="725"/>
      <c r="F24" s="619"/>
      <c r="G24" s="476"/>
      <c r="H24" s="473"/>
      <c r="I24" s="473"/>
      <c r="J24" s="473"/>
      <c r="K24" s="647"/>
      <c r="L24" s="632"/>
      <c r="M24" s="632"/>
      <c r="N24" s="632"/>
      <c r="O24" s="632"/>
      <c r="P24" s="632"/>
      <c r="Q24" s="632"/>
      <c r="R24" s="632"/>
      <c r="S24" s="632"/>
      <c r="T24" s="638"/>
      <c r="U24" s="638"/>
      <c r="V24" s="492"/>
      <c r="W24" s="437"/>
      <c r="X24" s="437"/>
      <c r="Y24" s="371" t="s">
        <v>104</v>
      </c>
      <c r="Z24" s="371">
        <v>10</v>
      </c>
      <c r="AA24" s="26">
        <v>4</v>
      </c>
      <c r="AB24" s="26">
        <v>11</v>
      </c>
      <c r="AC24" s="26">
        <v>0</v>
      </c>
      <c r="AD24" s="19">
        <v>0</v>
      </c>
      <c r="AE24" s="19">
        <v>15</v>
      </c>
      <c r="AF24" s="263">
        <f>IF((SUM(AA24:AD24)/Z24)&gt;100%,100%,SUM(AA24:AD24)/Z24)</f>
        <v>1</v>
      </c>
      <c r="AG24" s="738"/>
      <c r="AH24" s="22">
        <v>44562</v>
      </c>
      <c r="AI24" s="22">
        <v>44926</v>
      </c>
      <c r="AJ24" s="54">
        <v>365</v>
      </c>
      <c r="AK24" s="22" t="s">
        <v>60</v>
      </c>
      <c r="AL24" s="53" t="s">
        <v>60</v>
      </c>
      <c r="AM24" s="259">
        <v>8.3000000000000004E-2</v>
      </c>
      <c r="AN24" s="579"/>
      <c r="AO24" s="446"/>
      <c r="AP24" s="446"/>
      <c r="AQ24" s="539"/>
      <c r="AR24" s="539"/>
      <c r="AS24" s="539"/>
      <c r="AT24" s="431"/>
      <c r="AU24" s="446"/>
      <c r="AV24" s="446"/>
      <c r="AW24" s="437"/>
      <c r="AX24" s="437"/>
      <c r="AY24" s="443"/>
      <c r="AZ24" s="19" t="s">
        <v>66</v>
      </c>
      <c r="BA24" s="26" t="s">
        <v>67</v>
      </c>
      <c r="BB24" s="26" t="s">
        <v>68</v>
      </c>
      <c r="BC24" s="26"/>
      <c r="BD24" s="26"/>
    </row>
    <row r="25" spans="1:56" ht="44.25" customHeight="1" x14ac:dyDescent="0.25">
      <c r="A25" s="470"/>
      <c r="B25" s="470"/>
      <c r="C25" s="473"/>
      <c r="D25" s="652"/>
      <c r="E25" s="725"/>
      <c r="F25" s="619"/>
      <c r="G25" s="475" t="s">
        <v>105</v>
      </c>
      <c r="H25" s="472" t="s">
        <v>54</v>
      </c>
      <c r="I25" s="472" t="s">
        <v>106</v>
      </c>
      <c r="J25" s="472" t="s">
        <v>107</v>
      </c>
      <c r="K25" s="488">
        <v>150</v>
      </c>
      <c r="L25" s="489">
        <v>30</v>
      </c>
      <c r="M25" s="489">
        <v>18</v>
      </c>
      <c r="N25" s="489">
        <v>7</v>
      </c>
      <c r="O25" s="489">
        <v>3</v>
      </c>
      <c r="P25" s="489">
        <f>30-O25-N25</f>
        <v>20</v>
      </c>
      <c r="Q25" s="489">
        <v>0</v>
      </c>
      <c r="R25" s="489">
        <f>SUM(N25:Q28)</f>
        <v>30</v>
      </c>
      <c r="S25" s="489">
        <f>M25+N25+O25+P25+Q25</f>
        <v>48</v>
      </c>
      <c r="T25" s="431" cm="1">
        <f t="array" ref="T25">IF(SUM((N25:Q25)/L25)&gt;100%,100%,SUM((N25:Q25)/L25))</f>
        <v>1</v>
      </c>
      <c r="U25" s="431">
        <f>+S25/K25</f>
        <v>0.32</v>
      </c>
      <c r="V25" s="492"/>
      <c r="W25" s="437"/>
      <c r="X25" s="437"/>
      <c r="Y25" s="26" t="s">
        <v>108</v>
      </c>
      <c r="Z25" s="26">
        <v>30</v>
      </c>
      <c r="AA25" s="26">
        <v>7</v>
      </c>
      <c r="AB25" s="26">
        <v>3</v>
      </c>
      <c r="AC25" s="26">
        <v>0</v>
      </c>
      <c r="AD25" s="19">
        <v>0</v>
      </c>
      <c r="AE25" s="19">
        <v>10</v>
      </c>
      <c r="AF25" s="263">
        <f t="shared" si="0"/>
        <v>0.33333333333333331</v>
      </c>
      <c r="AG25" s="738"/>
      <c r="AH25" s="22">
        <v>44562</v>
      </c>
      <c r="AI25" s="22">
        <v>44926</v>
      </c>
      <c r="AJ25" s="54">
        <v>365</v>
      </c>
      <c r="AK25" s="22" t="s">
        <v>60</v>
      </c>
      <c r="AL25" s="53" t="s">
        <v>60</v>
      </c>
      <c r="AM25" s="259">
        <v>8.3000000000000004E-2</v>
      </c>
      <c r="AN25" s="579"/>
      <c r="AO25" s="446"/>
      <c r="AP25" s="446"/>
      <c r="AQ25" s="539"/>
      <c r="AR25" s="539"/>
      <c r="AS25" s="539"/>
      <c r="AT25" s="431"/>
      <c r="AU25" s="446"/>
      <c r="AV25" s="446"/>
      <c r="AW25" s="437"/>
      <c r="AX25" s="437"/>
      <c r="AY25" s="443"/>
      <c r="AZ25" s="19" t="s">
        <v>66</v>
      </c>
      <c r="BA25" s="26" t="s">
        <v>67</v>
      </c>
      <c r="BB25" s="26" t="s">
        <v>68</v>
      </c>
      <c r="BC25" s="26"/>
      <c r="BD25" s="26"/>
    </row>
    <row r="26" spans="1:56" ht="82.5" customHeight="1" x14ac:dyDescent="0.25">
      <c r="A26" s="470"/>
      <c r="B26" s="470"/>
      <c r="C26" s="473"/>
      <c r="D26" s="652"/>
      <c r="E26" s="725"/>
      <c r="F26" s="619"/>
      <c r="G26" s="476"/>
      <c r="H26" s="473"/>
      <c r="I26" s="473"/>
      <c r="J26" s="473"/>
      <c r="K26" s="489"/>
      <c r="L26" s="489"/>
      <c r="M26" s="489"/>
      <c r="N26" s="489"/>
      <c r="O26" s="489"/>
      <c r="P26" s="489"/>
      <c r="Q26" s="489"/>
      <c r="R26" s="489"/>
      <c r="S26" s="489"/>
      <c r="T26" s="431"/>
      <c r="U26" s="431"/>
      <c r="V26" s="492"/>
      <c r="W26" s="437"/>
      <c r="X26" s="437"/>
      <c r="Y26" s="26" t="s">
        <v>109</v>
      </c>
      <c r="Z26" s="26">
        <v>30</v>
      </c>
      <c r="AA26" s="26">
        <v>7</v>
      </c>
      <c r="AB26" s="26">
        <v>3</v>
      </c>
      <c r="AC26" s="26">
        <v>0</v>
      </c>
      <c r="AD26" s="19">
        <v>0</v>
      </c>
      <c r="AE26" s="19">
        <v>10</v>
      </c>
      <c r="AF26" s="263">
        <f t="shared" si="0"/>
        <v>0.33333333333333331</v>
      </c>
      <c r="AG26" s="738"/>
      <c r="AH26" s="22">
        <v>44562</v>
      </c>
      <c r="AI26" s="22">
        <v>44926</v>
      </c>
      <c r="AJ26" s="54">
        <v>365</v>
      </c>
      <c r="AK26" s="22" t="s">
        <v>60</v>
      </c>
      <c r="AL26" s="53" t="s">
        <v>60</v>
      </c>
      <c r="AM26" s="259">
        <v>8.3000000000000004E-2</v>
      </c>
      <c r="AN26" s="579"/>
      <c r="AO26" s="446"/>
      <c r="AP26" s="446"/>
      <c r="AQ26" s="539"/>
      <c r="AR26" s="539"/>
      <c r="AS26" s="539"/>
      <c r="AT26" s="431"/>
      <c r="AU26" s="446"/>
      <c r="AV26" s="446"/>
      <c r="AW26" s="437"/>
      <c r="AX26" s="437"/>
      <c r="AY26" s="443"/>
      <c r="AZ26" s="19" t="s">
        <v>66</v>
      </c>
      <c r="BA26" s="26" t="s">
        <v>67</v>
      </c>
      <c r="BB26" s="26" t="s">
        <v>68</v>
      </c>
      <c r="BC26" s="26"/>
      <c r="BD26" s="26"/>
    </row>
    <row r="27" spans="1:56" ht="103.5" customHeight="1" x14ac:dyDescent="0.25">
      <c r="A27" s="470"/>
      <c r="B27" s="470"/>
      <c r="C27" s="473"/>
      <c r="D27" s="652"/>
      <c r="E27" s="725"/>
      <c r="F27" s="619"/>
      <c r="G27" s="476"/>
      <c r="H27" s="473"/>
      <c r="I27" s="473"/>
      <c r="J27" s="473"/>
      <c r="K27" s="489"/>
      <c r="L27" s="489"/>
      <c r="M27" s="489"/>
      <c r="N27" s="489"/>
      <c r="O27" s="489"/>
      <c r="P27" s="489"/>
      <c r="Q27" s="489"/>
      <c r="R27" s="489"/>
      <c r="S27" s="489"/>
      <c r="T27" s="431"/>
      <c r="U27" s="431"/>
      <c r="V27" s="492"/>
      <c r="W27" s="437"/>
      <c r="X27" s="437"/>
      <c r="Y27" s="26" t="s">
        <v>110</v>
      </c>
      <c r="Z27" s="26">
        <v>30</v>
      </c>
      <c r="AA27" s="26">
        <v>7</v>
      </c>
      <c r="AB27" s="26">
        <v>3</v>
      </c>
      <c r="AC27" s="26">
        <v>0</v>
      </c>
      <c r="AD27" s="19">
        <v>0</v>
      </c>
      <c r="AE27" s="19">
        <v>10</v>
      </c>
      <c r="AF27" s="263">
        <f t="shared" si="0"/>
        <v>0.33333333333333331</v>
      </c>
      <c r="AG27" s="738"/>
      <c r="AH27" s="22">
        <v>44562</v>
      </c>
      <c r="AI27" s="22">
        <v>44926</v>
      </c>
      <c r="AJ27" s="54">
        <v>365</v>
      </c>
      <c r="AK27" s="22" t="s">
        <v>60</v>
      </c>
      <c r="AL27" s="53" t="s">
        <v>60</v>
      </c>
      <c r="AM27" s="259">
        <v>8.3000000000000004E-2</v>
      </c>
      <c r="AN27" s="579"/>
      <c r="AO27" s="446"/>
      <c r="AP27" s="446"/>
      <c r="AQ27" s="539"/>
      <c r="AR27" s="539"/>
      <c r="AS27" s="539"/>
      <c r="AT27" s="431"/>
      <c r="AU27" s="446"/>
      <c r="AV27" s="446"/>
      <c r="AW27" s="437"/>
      <c r="AX27" s="437"/>
      <c r="AY27" s="443"/>
      <c r="AZ27" s="19" t="s">
        <v>66</v>
      </c>
      <c r="BA27" s="26" t="s">
        <v>67</v>
      </c>
      <c r="BB27" s="26" t="s">
        <v>68</v>
      </c>
      <c r="BC27" s="26"/>
      <c r="BD27" s="26"/>
    </row>
    <row r="28" spans="1:56" ht="53.25" customHeight="1" thickBot="1" x14ac:dyDescent="0.3">
      <c r="A28" s="470"/>
      <c r="B28" s="470"/>
      <c r="C28" s="473"/>
      <c r="D28" s="652"/>
      <c r="E28" s="725"/>
      <c r="F28" s="619"/>
      <c r="G28" s="477"/>
      <c r="H28" s="474"/>
      <c r="I28" s="474"/>
      <c r="J28" s="474"/>
      <c r="K28" s="495"/>
      <c r="L28" s="495"/>
      <c r="M28" s="495"/>
      <c r="N28" s="495"/>
      <c r="O28" s="495"/>
      <c r="P28" s="495"/>
      <c r="Q28" s="495"/>
      <c r="R28" s="495"/>
      <c r="S28" s="495"/>
      <c r="T28" s="431"/>
      <c r="U28" s="431"/>
      <c r="V28" s="492"/>
      <c r="W28" s="437"/>
      <c r="X28" s="437"/>
      <c r="Y28" s="26" t="s">
        <v>74</v>
      </c>
      <c r="Z28" s="26">
        <v>30</v>
      </c>
      <c r="AA28" s="26">
        <v>7</v>
      </c>
      <c r="AB28" s="26">
        <v>3</v>
      </c>
      <c r="AC28" s="26">
        <v>0</v>
      </c>
      <c r="AD28" s="19">
        <v>0</v>
      </c>
      <c r="AE28" s="19">
        <v>10</v>
      </c>
      <c r="AF28" s="263">
        <f t="shared" si="0"/>
        <v>0.33333333333333331</v>
      </c>
      <c r="AG28" s="738"/>
      <c r="AH28" s="22">
        <v>44562</v>
      </c>
      <c r="AI28" s="22">
        <v>44926</v>
      </c>
      <c r="AJ28" s="54">
        <v>365</v>
      </c>
      <c r="AK28" s="22" t="s">
        <v>60</v>
      </c>
      <c r="AL28" s="53" t="s">
        <v>60</v>
      </c>
      <c r="AM28" s="259">
        <v>8.3000000000000004E-2</v>
      </c>
      <c r="AN28" s="579"/>
      <c r="AO28" s="446"/>
      <c r="AP28" s="446"/>
      <c r="AQ28" s="539"/>
      <c r="AR28" s="539"/>
      <c r="AS28" s="539"/>
      <c r="AT28" s="431"/>
      <c r="AU28" s="446"/>
      <c r="AV28" s="446"/>
      <c r="AW28" s="437"/>
      <c r="AX28" s="437"/>
      <c r="AY28" s="443"/>
      <c r="AZ28" s="19" t="s">
        <v>66</v>
      </c>
      <c r="BA28" s="26" t="s">
        <v>67</v>
      </c>
      <c r="BB28" s="26" t="s">
        <v>68</v>
      </c>
      <c r="BC28" s="26"/>
      <c r="BD28" s="26"/>
    </row>
    <row r="29" spans="1:56" ht="81" customHeight="1" x14ac:dyDescent="0.25">
      <c r="A29" s="470"/>
      <c r="B29" s="470"/>
      <c r="C29" s="473"/>
      <c r="D29" s="652"/>
      <c r="E29" s="725"/>
      <c r="F29" s="619"/>
      <c r="G29" s="475" t="s">
        <v>111</v>
      </c>
      <c r="H29" s="472" t="s">
        <v>54</v>
      </c>
      <c r="I29" s="472" t="s">
        <v>81</v>
      </c>
      <c r="J29" s="472" t="s">
        <v>112</v>
      </c>
      <c r="K29" s="488">
        <v>3</v>
      </c>
      <c r="L29" s="488">
        <v>1</v>
      </c>
      <c r="M29" s="463">
        <v>1.75</v>
      </c>
      <c r="N29" s="463">
        <v>0.2</v>
      </c>
      <c r="O29" s="463">
        <v>0.4</v>
      </c>
      <c r="P29" s="463">
        <v>0.15</v>
      </c>
      <c r="Q29" s="463">
        <v>0</v>
      </c>
      <c r="R29" s="463">
        <f>SUM(N29:Q31)</f>
        <v>0.75000000000000011</v>
      </c>
      <c r="S29" s="518">
        <f>M29+N29+O29+P29+Q29</f>
        <v>2.5</v>
      </c>
      <c r="T29" s="490" cm="1">
        <f t="array" ref="T29">IF(SUM((N29:Q29)/L29)&gt;100%,100%,SUM((N29:Q29)/L29))</f>
        <v>0.75000000000000011</v>
      </c>
      <c r="U29" s="490">
        <f>+S29/K29</f>
        <v>0.83333333333333337</v>
      </c>
      <c r="V29" s="492"/>
      <c r="W29" s="437"/>
      <c r="X29" s="437"/>
      <c r="Y29" s="26" t="s">
        <v>113</v>
      </c>
      <c r="Z29" s="26">
        <v>1</v>
      </c>
      <c r="AA29" s="26">
        <v>0.2</v>
      </c>
      <c r="AB29" s="26">
        <v>0.4</v>
      </c>
      <c r="AC29" s="26">
        <v>0.15</v>
      </c>
      <c r="AD29" s="19">
        <v>0</v>
      </c>
      <c r="AE29" s="19">
        <v>0.75</v>
      </c>
      <c r="AF29" s="263">
        <f t="shared" si="0"/>
        <v>0.75000000000000011</v>
      </c>
      <c r="AG29" s="738"/>
      <c r="AH29" s="22">
        <v>44562</v>
      </c>
      <c r="AI29" s="22">
        <v>44926</v>
      </c>
      <c r="AJ29" s="54">
        <v>365</v>
      </c>
      <c r="AK29" s="22" t="s">
        <v>60</v>
      </c>
      <c r="AL29" s="53" t="s">
        <v>60</v>
      </c>
      <c r="AM29" s="259">
        <v>8.3000000000000004E-2</v>
      </c>
      <c r="AN29" s="579"/>
      <c r="AO29" s="446"/>
      <c r="AP29" s="446" t="s">
        <v>73</v>
      </c>
      <c r="AQ29" s="407"/>
      <c r="AR29" s="695">
        <v>40000000</v>
      </c>
      <c r="AS29" s="695">
        <v>0</v>
      </c>
      <c r="AT29" s="431">
        <v>0</v>
      </c>
      <c r="AU29" s="446"/>
      <c r="AV29" s="446" t="s">
        <v>73</v>
      </c>
      <c r="AW29" s="437"/>
      <c r="AX29" s="437"/>
      <c r="AY29" s="443"/>
      <c r="AZ29" s="19" t="s">
        <v>66</v>
      </c>
      <c r="BA29" s="26" t="s">
        <v>67</v>
      </c>
      <c r="BB29" s="26" t="s">
        <v>68</v>
      </c>
      <c r="BC29" s="26"/>
      <c r="BD29" s="26"/>
    </row>
    <row r="30" spans="1:56" ht="81" customHeight="1" x14ac:dyDescent="0.25">
      <c r="A30" s="470"/>
      <c r="B30" s="470"/>
      <c r="C30" s="473"/>
      <c r="D30" s="652"/>
      <c r="E30" s="725"/>
      <c r="F30" s="619"/>
      <c r="G30" s="476"/>
      <c r="H30" s="473"/>
      <c r="I30" s="473"/>
      <c r="J30" s="473"/>
      <c r="K30" s="489"/>
      <c r="L30" s="489"/>
      <c r="M30" s="464"/>
      <c r="N30" s="464"/>
      <c r="O30" s="464"/>
      <c r="P30" s="464"/>
      <c r="Q30" s="464"/>
      <c r="R30" s="464"/>
      <c r="S30" s="519"/>
      <c r="T30" s="490"/>
      <c r="U30" s="490"/>
      <c r="V30" s="492"/>
      <c r="W30" s="437"/>
      <c r="X30" s="437"/>
      <c r="Y30" s="26" t="s">
        <v>114</v>
      </c>
      <c r="Z30" s="26">
        <v>1</v>
      </c>
      <c r="AA30" s="26">
        <v>0.2</v>
      </c>
      <c r="AB30" s="26">
        <v>0.4</v>
      </c>
      <c r="AC30" s="26">
        <v>0.15</v>
      </c>
      <c r="AD30" s="19">
        <v>0</v>
      </c>
      <c r="AE30" s="19">
        <v>0.75</v>
      </c>
      <c r="AF30" s="263">
        <f t="shared" si="0"/>
        <v>0.75000000000000011</v>
      </c>
      <c r="AG30" s="738"/>
      <c r="AH30" s="22">
        <v>44562</v>
      </c>
      <c r="AI30" s="22">
        <v>44926</v>
      </c>
      <c r="AJ30" s="54">
        <v>365</v>
      </c>
      <c r="AK30" s="22" t="s">
        <v>60</v>
      </c>
      <c r="AL30" s="53" t="s">
        <v>60</v>
      </c>
      <c r="AM30" s="259">
        <v>8.3000000000000004E-2</v>
      </c>
      <c r="AN30" s="579"/>
      <c r="AO30" s="446"/>
      <c r="AP30" s="446"/>
      <c r="AQ30" s="407"/>
      <c r="AR30" s="695"/>
      <c r="AS30" s="695"/>
      <c r="AT30" s="431"/>
      <c r="AU30" s="446"/>
      <c r="AV30" s="446"/>
      <c r="AW30" s="437"/>
      <c r="AX30" s="437"/>
      <c r="AY30" s="443"/>
      <c r="AZ30" s="19" t="s">
        <v>66</v>
      </c>
      <c r="BA30" s="26" t="s">
        <v>67</v>
      </c>
      <c r="BB30" s="26" t="s">
        <v>68</v>
      </c>
      <c r="BC30" s="26"/>
      <c r="BD30" s="26"/>
    </row>
    <row r="31" spans="1:56" ht="66" customHeight="1" thickBot="1" x14ac:dyDescent="0.3">
      <c r="A31" s="470"/>
      <c r="B31" s="470"/>
      <c r="C31" s="473"/>
      <c r="D31" s="652"/>
      <c r="E31" s="725"/>
      <c r="F31" s="619"/>
      <c r="G31" s="476"/>
      <c r="H31" s="473"/>
      <c r="I31" s="473"/>
      <c r="J31" s="473"/>
      <c r="K31" s="489"/>
      <c r="L31" s="489"/>
      <c r="M31" s="464"/>
      <c r="N31" s="464"/>
      <c r="O31" s="464"/>
      <c r="P31" s="464"/>
      <c r="Q31" s="465"/>
      <c r="R31" s="465"/>
      <c r="S31" s="519"/>
      <c r="T31" s="490"/>
      <c r="U31" s="490"/>
      <c r="V31" s="492"/>
      <c r="W31" s="437"/>
      <c r="X31" s="437"/>
      <c r="Y31" s="33" t="s">
        <v>115</v>
      </c>
      <c r="Z31" s="33">
        <v>1</v>
      </c>
      <c r="AA31" s="33">
        <v>0.2</v>
      </c>
      <c r="AB31" s="33">
        <v>0.4</v>
      </c>
      <c r="AC31" s="33">
        <v>0.15</v>
      </c>
      <c r="AD31" s="33">
        <v>0</v>
      </c>
      <c r="AE31" s="33">
        <v>0.75</v>
      </c>
      <c r="AF31" s="101">
        <f t="shared" si="0"/>
        <v>0.75000000000000011</v>
      </c>
      <c r="AG31" s="739"/>
      <c r="AH31" s="22">
        <v>44562</v>
      </c>
      <c r="AI31" s="22">
        <v>44926</v>
      </c>
      <c r="AJ31" s="36">
        <v>365</v>
      </c>
      <c r="AK31" s="47" t="s">
        <v>60</v>
      </c>
      <c r="AL31" s="281" t="s">
        <v>60</v>
      </c>
      <c r="AM31" s="282">
        <v>8.3000000000000004E-2</v>
      </c>
      <c r="AN31" s="579"/>
      <c r="AO31" s="446"/>
      <c r="AP31" s="446"/>
      <c r="AQ31" s="407"/>
      <c r="AR31" s="695"/>
      <c r="AS31" s="695"/>
      <c r="AT31" s="431"/>
      <c r="AU31" s="446"/>
      <c r="AV31" s="446"/>
      <c r="AW31" s="437"/>
      <c r="AX31" s="437"/>
      <c r="AY31" s="443"/>
      <c r="AZ31" s="19" t="s">
        <v>66</v>
      </c>
      <c r="BA31" s="26" t="s">
        <v>67</v>
      </c>
      <c r="BB31" s="26" t="s">
        <v>68</v>
      </c>
      <c r="BC31" s="26"/>
      <c r="BD31" s="26"/>
    </row>
    <row r="32" spans="1:56" ht="42" customHeight="1" x14ac:dyDescent="0.25">
      <c r="A32" s="470"/>
      <c r="B32" s="470"/>
      <c r="C32" s="473"/>
      <c r="D32" s="652"/>
      <c r="E32" s="725"/>
      <c r="F32" s="619"/>
      <c r="G32" s="475" t="s">
        <v>116</v>
      </c>
      <c r="H32" s="472" t="s">
        <v>54</v>
      </c>
      <c r="I32" s="472" t="s">
        <v>81</v>
      </c>
      <c r="J32" s="472" t="s">
        <v>117</v>
      </c>
      <c r="K32" s="488">
        <v>2</v>
      </c>
      <c r="L32" s="488">
        <v>0</v>
      </c>
      <c r="M32" s="463">
        <v>0.75</v>
      </c>
      <c r="N32" s="463">
        <v>0</v>
      </c>
      <c r="O32" s="463">
        <v>0</v>
      </c>
      <c r="P32" s="463">
        <v>0</v>
      </c>
      <c r="Q32" s="463">
        <v>0</v>
      </c>
      <c r="R32" s="463">
        <f>SUM(N32:Q33)</f>
        <v>0</v>
      </c>
      <c r="S32" s="463">
        <f>M32+N32+Q32</f>
        <v>0.75</v>
      </c>
      <c r="T32" s="463" t="s">
        <v>118</v>
      </c>
      <c r="U32" s="430">
        <f>+M32/K32</f>
        <v>0.375</v>
      </c>
      <c r="V32" s="492"/>
      <c r="W32" s="437"/>
      <c r="X32" s="437"/>
      <c r="Y32" s="19"/>
      <c r="Z32" s="19"/>
      <c r="AA32" s="19"/>
      <c r="AB32" s="19"/>
      <c r="AC32" s="19"/>
      <c r="AD32" s="19"/>
      <c r="AE32" s="19"/>
      <c r="AF32" s="19"/>
      <c r="AG32" s="19"/>
      <c r="AH32" s="22"/>
      <c r="AI32" s="22"/>
      <c r="AJ32" s="23"/>
      <c r="AK32" s="19"/>
      <c r="AL32" s="245"/>
      <c r="AM32" s="19"/>
      <c r="AN32" s="579"/>
      <c r="AO32" s="374"/>
      <c r="AP32" s="374"/>
      <c r="AQ32" s="407"/>
      <c r="AR32" s="695"/>
      <c r="AS32" s="695"/>
      <c r="AT32" s="431"/>
      <c r="AU32" s="446"/>
      <c r="AV32" s="446"/>
      <c r="AW32" s="437"/>
      <c r="AX32" s="437"/>
      <c r="AY32" s="443"/>
      <c r="AZ32" s="19"/>
      <c r="BA32" s="26"/>
      <c r="BB32" s="26"/>
      <c r="BC32" s="26"/>
      <c r="BD32" s="26"/>
    </row>
    <row r="33" spans="1:56" ht="133.5" customHeight="1" thickBot="1" x14ac:dyDescent="0.3">
      <c r="A33" s="470"/>
      <c r="B33" s="470"/>
      <c r="C33" s="473"/>
      <c r="D33" s="652"/>
      <c r="E33" s="725"/>
      <c r="F33" s="619"/>
      <c r="G33" s="476"/>
      <c r="H33" s="473"/>
      <c r="I33" s="473"/>
      <c r="J33" s="473"/>
      <c r="K33" s="489"/>
      <c r="L33" s="489"/>
      <c r="M33" s="464"/>
      <c r="N33" s="464"/>
      <c r="O33" s="464"/>
      <c r="P33" s="464"/>
      <c r="Q33" s="741"/>
      <c r="R33" s="741"/>
      <c r="S33" s="464"/>
      <c r="T33" s="464"/>
      <c r="U33" s="431"/>
      <c r="V33" s="492"/>
      <c r="W33" s="437"/>
      <c r="X33" s="437"/>
      <c r="Y33" s="689" t="s">
        <v>468</v>
      </c>
      <c r="Z33" s="690"/>
      <c r="AA33" s="690"/>
      <c r="AB33" s="690"/>
      <c r="AC33" s="690"/>
      <c r="AD33" s="690"/>
      <c r="AE33" s="691"/>
      <c r="AF33" s="372">
        <f>AVERAGE(AF20:AF31)</f>
        <v>0.64861111111111103</v>
      </c>
      <c r="AG33" s="44"/>
      <c r="AH33" s="57"/>
      <c r="AI33" s="57"/>
      <c r="AJ33" s="46"/>
      <c r="AK33" s="44"/>
      <c r="AL33" s="58"/>
      <c r="AM33" s="44"/>
      <c r="AN33" s="452"/>
      <c r="AO33" s="681" t="s">
        <v>469</v>
      </c>
      <c r="AP33" s="681"/>
      <c r="AQ33" s="681"/>
      <c r="AR33" s="414">
        <f>SUM(AR20:AR32)</f>
        <v>1040000000</v>
      </c>
      <c r="AS33" s="414">
        <f>SUM(AS20:AS32)</f>
        <v>1000000000</v>
      </c>
      <c r="AT33" s="366">
        <f>+AS33/AR33</f>
        <v>0.96153846153846156</v>
      </c>
      <c r="AU33" s="580"/>
      <c r="AV33" s="447"/>
      <c r="AW33" s="438"/>
      <c r="AX33" s="438"/>
      <c r="AY33" s="444"/>
      <c r="AZ33" s="19"/>
      <c r="BA33" s="33"/>
      <c r="BB33" s="33"/>
      <c r="BC33" s="33"/>
      <c r="BD33" s="33"/>
    </row>
    <row r="34" spans="1:56" ht="132.75" customHeight="1" thickBot="1" x14ac:dyDescent="0.3">
      <c r="A34" s="470"/>
      <c r="B34" s="470"/>
      <c r="C34" s="473"/>
      <c r="D34" s="652"/>
      <c r="E34" s="725"/>
      <c r="F34" s="619"/>
      <c r="G34" s="744" t="s">
        <v>119</v>
      </c>
      <c r="H34" s="428"/>
      <c r="I34" s="428"/>
      <c r="J34" s="428"/>
      <c r="K34" s="428"/>
      <c r="L34" s="428"/>
      <c r="M34" s="428"/>
      <c r="N34" s="428"/>
      <c r="O34" s="428"/>
      <c r="P34" s="428"/>
      <c r="Q34" s="428"/>
      <c r="R34" s="428"/>
      <c r="S34" s="428"/>
      <c r="T34" s="223">
        <f>AVERAGE(T2:T31)</f>
        <v>0.95</v>
      </c>
      <c r="U34" s="223">
        <f>AVERAGE(U2:U33)</f>
        <v>0.65721888888888891</v>
      </c>
      <c r="V34" s="479"/>
      <c r="W34" s="692" t="s">
        <v>120</v>
      </c>
      <c r="X34" s="693"/>
      <c r="Y34" s="693"/>
      <c r="Z34" s="693"/>
      <c r="AA34" s="693"/>
      <c r="AB34" s="693"/>
      <c r="AC34" s="693"/>
      <c r="AD34" s="693"/>
      <c r="AE34" s="694"/>
      <c r="AF34" s="373">
        <f>AVERAGE(AF12,AF19,AF33)</f>
        <v>0.81620370370370365</v>
      </c>
      <c r="AG34" s="283">
        <f>AVERAGE(AG2:AG31)</f>
        <v>0.73244703703703706</v>
      </c>
      <c r="AH34" s="60"/>
      <c r="AI34" s="60"/>
      <c r="AJ34" s="61"/>
      <c r="AK34" s="62"/>
      <c r="AL34" s="62"/>
      <c r="AM34" s="62"/>
      <c r="AN34" s="64"/>
      <c r="AO34" s="678" t="s">
        <v>440</v>
      </c>
      <c r="AP34" s="697"/>
      <c r="AQ34" s="686"/>
      <c r="AR34" s="416">
        <f>+AR12+AR13+AR20+AR29</f>
        <v>2620944284.29</v>
      </c>
      <c r="AS34" s="416">
        <f>+AS12+AS13+AS20</f>
        <v>2260000000</v>
      </c>
      <c r="AT34" s="375">
        <f>+AS34/AR34</f>
        <v>0.86228464051925546</v>
      </c>
      <c r="AU34" s="66"/>
      <c r="AV34" s="67"/>
      <c r="AW34" s="67"/>
      <c r="AX34" s="67"/>
      <c r="AY34" s="69"/>
      <c r="AZ34" s="19"/>
      <c r="BA34" s="71"/>
      <c r="BB34" s="71"/>
      <c r="BC34" s="71"/>
      <c r="BD34" s="71"/>
    </row>
    <row r="35" spans="1:56" ht="68.25" customHeight="1" x14ac:dyDescent="0.25">
      <c r="A35" s="470"/>
      <c r="B35" s="470"/>
      <c r="C35" s="473"/>
      <c r="D35" s="652"/>
      <c r="E35" s="473"/>
      <c r="F35" s="531" t="s">
        <v>121</v>
      </c>
      <c r="G35" s="572" t="s">
        <v>122</v>
      </c>
      <c r="H35" s="572" t="s">
        <v>54</v>
      </c>
      <c r="I35" s="581" t="s">
        <v>81</v>
      </c>
      <c r="J35" s="533" t="s">
        <v>123</v>
      </c>
      <c r="K35" s="469">
        <v>1</v>
      </c>
      <c r="L35" s="528" t="s">
        <v>124</v>
      </c>
      <c r="M35" s="528">
        <v>0.85</v>
      </c>
      <c r="N35" s="528">
        <v>0.05</v>
      </c>
      <c r="O35" s="528">
        <v>0.01</v>
      </c>
      <c r="P35" s="528">
        <v>0.01</v>
      </c>
      <c r="Q35" s="528">
        <v>0.01</v>
      </c>
      <c r="R35" s="528">
        <f>SUM(N35:Q38)</f>
        <v>0.08</v>
      </c>
      <c r="S35" s="625">
        <f>M35+N35+O35+P35+Q35</f>
        <v>0.93</v>
      </c>
      <c r="T35" s="742">
        <f>+SUM(N35:Q38)/10%</f>
        <v>0.79999999999999993</v>
      </c>
      <c r="U35" s="743">
        <f>+S35/K35</f>
        <v>0.93</v>
      </c>
      <c r="V35" s="716" t="s">
        <v>125</v>
      </c>
      <c r="W35" s="452">
        <v>2021130010201</v>
      </c>
      <c r="X35" s="437" t="s">
        <v>126</v>
      </c>
      <c r="Y35" s="19" t="s">
        <v>127</v>
      </c>
      <c r="Z35" s="72">
        <v>1</v>
      </c>
      <c r="AA35" s="72">
        <v>0.45</v>
      </c>
      <c r="AB35" s="72">
        <v>0.05</v>
      </c>
      <c r="AC35" s="72">
        <v>0.3</v>
      </c>
      <c r="AD35" s="72">
        <v>0.14999999999999986</v>
      </c>
      <c r="AE35" s="72">
        <v>0.95</v>
      </c>
      <c r="AF35" s="72">
        <f>SUM(AA35:AD35)/Z35</f>
        <v>0.95</v>
      </c>
      <c r="AG35" s="745">
        <f>AVERAGE(AF35:AF55)</f>
        <v>0.28647058823529409</v>
      </c>
      <c r="AH35" s="22">
        <v>44562</v>
      </c>
      <c r="AI35" s="22">
        <v>44926</v>
      </c>
      <c r="AJ35" s="23">
        <v>365</v>
      </c>
      <c r="AK35" s="19" t="s">
        <v>60</v>
      </c>
      <c r="AL35" s="19" t="s">
        <v>60</v>
      </c>
      <c r="AM35" s="284">
        <v>5.8000000000000003E-2</v>
      </c>
      <c r="AN35" s="446" t="s">
        <v>61</v>
      </c>
      <c r="AO35" s="437" t="s">
        <v>62</v>
      </c>
      <c r="AP35" s="445" t="s">
        <v>63</v>
      </c>
      <c r="AQ35" s="433"/>
      <c r="AR35" s="433">
        <v>178834818</v>
      </c>
      <c r="AS35" s="433">
        <v>178834818</v>
      </c>
      <c r="AT35" s="430">
        <f>+AS35/AR35</f>
        <v>1</v>
      </c>
      <c r="AU35" s="445" t="s">
        <v>63</v>
      </c>
      <c r="AV35" s="445" t="s">
        <v>64</v>
      </c>
      <c r="AW35" s="436"/>
      <c r="AX35" s="436" t="s">
        <v>65</v>
      </c>
      <c r="AY35" s="442">
        <f>AS35</f>
        <v>178834818</v>
      </c>
      <c r="AZ35" s="19" t="s">
        <v>66</v>
      </c>
      <c r="BA35" s="19" t="s">
        <v>67</v>
      </c>
      <c r="BB35" s="19" t="s">
        <v>68</v>
      </c>
      <c r="BC35" s="19"/>
      <c r="BD35" s="19"/>
    </row>
    <row r="36" spans="1:56" ht="96" customHeight="1" x14ac:dyDescent="0.25">
      <c r="A36" s="470"/>
      <c r="B36" s="470"/>
      <c r="C36" s="473"/>
      <c r="D36" s="652"/>
      <c r="E36" s="473"/>
      <c r="F36" s="531"/>
      <c r="G36" s="573"/>
      <c r="H36" s="573"/>
      <c r="I36" s="582"/>
      <c r="J36" s="534"/>
      <c r="K36" s="470"/>
      <c r="L36" s="620"/>
      <c r="M36" s="620"/>
      <c r="N36" s="620"/>
      <c r="O36" s="620"/>
      <c r="P36" s="620"/>
      <c r="Q36" s="620"/>
      <c r="R36" s="620"/>
      <c r="S36" s="626"/>
      <c r="T36" s="742"/>
      <c r="U36" s="743"/>
      <c r="V36" s="717"/>
      <c r="W36" s="452"/>
      <c r="X36" s="437"/>
      <c r="Y36" s="26" t="s">
        <v>128</v>
      </c>
      <c r="Z36" s="75">
        <v>1</v>
      </c>
      <c r="AA36" s="75">
        <v>0</v>
      </c>
      <c r="AB36" s="75">
        <v>0.5</v>
      </c>
      <c r="AC36" s="75">
        <v>0.1</v>
      </c>
      <c r="AD36" s="72">
        <v>1.0000000000000009E-2</v>
      </c>
      <c r="AE36" s="72">
        <v>0.61</v>
      </c>
      <c r="AF36" s="72">
        <f>SUM(AA36:AD36)/Z36</f>
        <v>0.61</v>
      </c>
      <c r="AG36" s="738"/>
      <c r="AH36" s="22">
        <v>44562</v>
      </c>
      <c r="AI36" s="22">
        <v>44926</v>
      </c>
      <c r="AJ36" s="54">
        <v>365</v>
      </c>
      <c r="AK36" s="19" t="s">
        <v>60</v>
      </c>
      <c r="AL36" s="19" t="s">
        <v>60</v>
      </c>
      <c r="AM36" s="284">
        <v>5.8000000000000003E-2</v>
      </c>
      <c r="AN36" s="446"/>
      <c r="AO36" s="437"/>
      <c r="AP36" s="446"/>
      <c r="AQ36" s="434"/>
      <c r="AR36" s="434"/>
      <c r="AS36" s="434"/>
      <c r="AT36" s="431"/>
      <c r="AU36" s="446"/>
      <c r="AV36" s="446"/>
      <c r="AW36" s="437"/>
      <c r="AX36" s="437"/>
      <c r="AY36" s="443"/>
      <c r="AZ36" s="19" t="s">
        <v>66</v>
      </c>
      <c r="BA36" s="26" t="s">
        <v>67</v>
      </c>
      <c r="BB36" s="26" t="s">
        <v>68</v>
      </c>
      <c r="BC36" s="26"/>
      <c r="BD36" s="26"/>
    </row>
    <row r="37" spans="1:56" ht="110.25" customHeight="1" x14ac:dyDescent="0.25">
      <c r="A37" s="470"/>
      <c r="B37" s="470"/>
      <c r="C37" s="473"/>
      <c r="D37" s="652"/>
      <c r="E37" s="473"/>
      <c r="F37" s="531"/>
      <c r="G37" s="573"/>
      <c r="H37" s="573"/>
      <c r="I37" s="582"/>
      <c r="J37" s="534"/>
      <c r="K37" s="470"/>
      <c r="L37" s="620"/>
      <c r="M37" s="620"/>
      <c r="N37" s="620"/>
      <c r="O37" s="620"/>
      <c r="P37" s="620"/>
      <c r="Q37" s="620"/>
      <c r="R37" s="620"/>
      <c r="S37" s="626"/>
      <c r="T37" s="742"/>
      <c r="U37" s="743"/>
      <c r="V37" s="717"/>
      <c r="W37" s="452"/>
      <c r="X37" s="437"/>
      <c r="Y37" s="26" t="s">
        <v>129</v>
      </c>
      <c r="Z37" s="75">
        <v>1</v>
      </c>
      <c r="AA37" s="75">
        <v>0.22</v>
      </c>
      <c r="AB37" s="75">
        <v>0.28000000000000003</v>
      </c>
      <c r="AC37" s="75">
        <v>0.2</v>
      </c>
      <c r="AD37" s="72">
        <v>-0.11000000000000007</v>
      </c>
      <c r="AE37" s="72">
        <v>0.59</v>
      </c>
      <c r="AF37" s="72">
        <f>SUM(AA37:AD37)/Z37</f>
        <v>0.58999999999999986</v>
      </c>
      <c r="AG37" s="738"/>
      <c r="AH37" s="22">
        <v>44562</v>
      </c>
      <c r="AI37" s="22">
        <v>44926</v>
      </c>
      <c r="AJ37" s="54">
        <v>365</v>
      </c>
      <c r="AK37" s="19" t="s">
        <v>60</v>
      </c>
      <c r="AL37" s="19" t="s">
        <v>60</v>
      </c>
      <c r="AM37" s="284">
        <v>5.8000000000000003E-2</v>
      </c>
      <c r="AN37" s="446"/>
      <c r="AO37" s="437"/>
      <c r="AP37" s="446"/>
      <c r="AQ37" s="434"/>
      <c r="AR37" s="434"/>
      <c r="AS37" s="434"/>
      <c r="AT37" s="431"/>
      <c r="AU37" s="446"/>
      <c r="AV37" s="446"/>
      <c r="AW37" s="437"/>
      <c r="AX37" s="437"/>
      <c r="AY37" s="443"/>
      <c r="AZ37" s="19" t="s">
        <v>66</v>
      </c>
      <c r="BA37" s="26" t="s">
        <v>67</v>
      </c>
      <c r="BB37" s="26" t="s">
        <v>68</v>
      </c>
      <c r="BC37" s="26"/>
      <c r="BD37" s="26"/>
    </row>
    <row r="38" spans="1:56" ht="91.5" customHeight="1" thickBot="1" x14ac:dyDescent="0.3">
      <c r="A38" s="470"/>
      <c r="B38" s="470"/>
      <c r="C38" s="473"/>
      <c r="D38" s="652"/>
      <c r="E38" s="473"/>
      <c r="F38" s="531"/>
      <c r="G38" s="573"/>
      <c r="H38" s="573"/>
      <c r="I38" s="582"/>
      <c r="J38" s="534"/>
      <c r="K38" s="471"/>
      <c r="L38" s="620"/>
      <c r="M38" s="620"/>
      <c r="N38" s="620"/>
      <c r="O38" s="620"/>
      <c r="P38" s="620"/>
      <c r="Q38" s="620"/>
      <c r="R38" s="620"/>
      <c r="S38" s="626"/>
      <c r="T38" s="742"/>
      <c r="U38" s="743"/>
      <c r="V38" s="717"/>
      <c r="W38" s="452"/>
      <c r="X38" s="437"/>
      <c r="Y38" s="26" t="s">
        <v>130</v>
      </c>
      <c r="Z38" s="75">
        <v>1</v>
      </c>
      <c r="AA38" s="75">
        <v>0.44</v>
      </c>
      <c r="AB38" s="75">
        <v>0.06</v>
      </c>
      <c r="AC38" s="75">
        <v>0.2</v>
      </c>
      <c r="AD38" s="72">
        <v>0.24999999999999994</v>
      </c>
      <c r="AE38" s="72">
        <v>0.95</v>
      </c>
      <c r="AF38" s="72">
        <f>SUM(AA38:AD38)/Z38</f>
        <v>0.95</v>
      </c>
      <c r="AG38" s="738"/>
      <c r="AH38" s="22">
        <v>44562</v>
      </c>
      <c r="AI38" s="22">
        <v>44926</v>
      </c>
      <c r="AJ38" s="54">
        <v>365</v>
      </c>
      <c r="AK38" s="19" t="s">
        <v>60</v>
      </c>
      <c r="AL38" s="19" t="s">
        <v>60</v>
      </c>
      <c r="AM38" s="284">
        <v>5.8000000000000003E-2</v>
      </c>
      <c r="AN38" s="446"/>
      <c r="AO38" s="437"/>
      <c r="AP38" s="446"/>
      <c r="AQ38" s="434"/>
      <c r="AR38" s="434"/>
      <c r="AS38" s="434"/>
      <c r="AT38" s="431"/>
      <c r="AU38" s="446"/>
      <c r="AV38" s="446"/>
      <c r="AW38" s="437"/>
      <c r="AX38" s="437"/>
      <c r="AY38" s="443"/>
      <c r="AZ38" s="19" t="s">
        <v>66</v>
      </c>
      <c r="BA38" s="26" t="s">
        <v>67</v>
      </c>
      <c r="BB38" s="26" t="s">
        <v>68</v>
      </c>
      <c r="BC38" s="26"/>
      <c r="BD38" s="26"/>
    </row>
    <row r="39" spans="1:56" ht="50.25" customHeight="1" x14ac:dyDescent="0.25">
      <c r="A39" s="470"/>
      <c r="B39" s="470"/>
      <c r="C39" s="473"/>
      <c r="D39" s="652"/>
      <c r="E39" s="473"/>
      <c r="F39" s="531"/>
      <c r="G39" s="572" t="s">
        <v>131</v>
      </c>
      <c r="H39" s="572" t="s">
        <v>54</v>
      </c>
      <c r="I39" s="533" t="s">
        <v>81</v>
      </c>
      <c r="J39" s="533" t="s">
        <v>132</v>
      </c>
      <c r="K39" s="485">
        <v>1</v>
      </c>
      <c r="L39" s="445">
        <v>0</v>
      </c>
      <c r="M39" s="430">
        <v>0.05</v>
      </c>
      <c r="N39" s="445">
        <v>0</v>
      </c>
      <c r="O39" s="445">
        <v>0</v>
      </c>
      <c r="P39" s="512">
        <v>0</v>
      </c>
      <c r="Q39" s="512">
        <v>0</v>
      </c>
      <c r="R39" s="512">
        <f>SUM(N39:Q42)</f>
        <v>0</v>
      </c>
      <c r="S39" s="625">
        <f>M39+N39+O39+P39+Q39</f>
        <v>0.05</v>
      </c>
      <c r="T39" s="627">
        <f>SUM(N39:Q42)</f>
        <v>0</v>
      </c>
      <c r="U39" s="613">
        <v>0.05</v>
      </c>
      <c r="V39" s="717"/>
      <c r="W39" s="452"/>
      <c r="X39" s="437"/>
      <c r="Y39" s="26"/>
      <c r="Z39" s="26"/>
      <c r="AA39" s="26"/>
      <c r="AB39" s="26"/>
      <c r="AC39" s="26"/>
      <c r="AD39" s="26">
        <v>0</v>
      </c>
      <c r="AE39" s="26"/>
      <c r="AF39" s="26"/>
      <c r="AG39" s="738"/>
      <c r="AH39" s="28"/>
      <c r="AI39" s="28"/>
      <c r="AJ39" s="54"/>
      <c r="AK39" s="26"/>
      <c r="AL39" s="26"/>
      <c r="AM39" s="26"/>
      <c r="AN39" s="446"/>
      <c r="AO39" s="437"/>
      <c r="AP39" s="446"/>
      <c r="AQ39" s="434"/>
      <c r="AR39" s="434"/>
      <c r="AS39" s="434"/>
      <c r="AT39" s="431"/>
      <c r="AU39" s="446"/>
      <c r="AV39" s="446"/>
      <c r="AW39" s="437"/>
      <c r="AX39" s="437"/>
      <c r="AY39" s="443"/>
      <c r="AZ39" s="19"/>
      <c r="BA39" s="26"/>
      <c r="BB39" s="26"/>
      <c r="BC39" s="26"/>
      <c r="BD39" s="26"/>
    </row>
    <row r="40" spans="1:56" ht="45.75" customHeight="1" x14ac:dyDescent="0.25">
      <c r="A40" s="470"/>
      <c r="B40" s="470"/>
      <c r="C40" s="473"/>
      <c r="D40" s="652"/>
      <c r="E40" s="473"/>
      <c r="F40" s="531"/>
      <c r="G40" s="573"/>
      <c r="H40" s="573"/>
      <c r="I40" s="534"/>
      <c r="J40" s="534"/>
      <c r="K40" s="485"/>
      <c r="L40" s="446"/>
      <c r="M40" s="431"/>
      <c r="N40" s="446"/>
      <c r="O40" s="446"/>
      <c r="P40" s="513"/>
      <c r="Q40" s="513"/>
      <c r="R40" s="513"/>
      <c r="S40" s="626"/>
      <c r="T40" s="627"/>
      <c r="U40" s="614"/>
      <c r="V40" s="717"/>
      <c r="W40" s="452"/>
      <c r="X40" s="437"/>
      <c r="Y40" s="26"/>
      <c r="Z40" s="26"/>
      <c r="AA40" s="26"/>
      <c r="AB40" s="26"/>
      <c r="AC40" s="26"/>
      <c r="AD40" s="26">
        <v>0</v>
      </c>
      <c r="AE40" s="26"/>
      <c r="AF40" s="26"/>
      <c r="AG40" s="738"/>
      <c r="AH40" s="28"/>
      <c r="AI40" s="28"/>
      <c r="AJ40" s="54"/>
      <c r="AK40" s="26"/>
      <c r="AL40" s="26"/>
      <c r="AM40" s="26"/>
      <c r="AN40" s="446"/>
      <c r="AO40" s="437"/>
      <c r="AP40" s="446"/>
      <c r="AQ40" s="434"/>
      <c r="AR40" s="434"/>
      <c r="AS40" s="434"/>
      <c r="AT40" s="431"/>
      <c r="AU40" s="446"/>
      <c r="AV40" s="446"/>
      <c r="AW40" s="437"/>
      <c r="AX40" s="437"/>
      <c r="AY40" s="443"/>
      <c r="AZ40" s="19"/>
      <c r="BA40" s="26"/>
      <c r="BB40" s="26"/>
      <c r="BC40" s="26"/>
      <c r="BD40" s="26"/>
    </row>
    <row r="41" spans="1:56" ht="39.75" customHeight="1" x14ac:dyDescent="0.25">
      <c r="A41" s="470"/>
      <c r="B41" s="470"/>
      <c r="C41" s="473"/>
      <c r="D41" s="652"/>
      <c r="E41" s="473"/>
      <c r="F41" s="531"/>
      <c r="G41" s="573"/>
      <c r="H41" s="573"/>
      <c r="I41" s="534"/>
      <c r="J41" s="534"/>
      <c r="K41" s="485"/>
      <c r="L41" s="446"/>
      <c r="M41" s="431"/>
      <c r="N41" s="446"/>
      <c r="O41" s="446"/>
      <c r="P41" s="513"/>
      <c r="Q41" s="513"/>
      <c r="R41" s="513"/>
      <c r="S41" s="626"/>
      <c r="T41" s="627"/>
      <c r="U41" s="614"/>
      <c r="V41" s="717"/>
      <c r="W41" s="452"/>
      <c r="X41" s="437"/>
      <c r="Y41" s="26"/>
      <c r="Z41" s="26"/>
      <c r="AA41" s="26"/>
      <c r="AB41" s="26"/>
      <c r="AC41" s="26"/>
      <c r="AD41" s="26">
        <v>0</v>
      </c>
      <c r="AE41" s="26"/>
      <c r="AF41" s="26"/>
      <c r="AG41" s="738"/>
      <c r="AH41" s="28"/>
      <c r="AI41" s="28"/>
      <c r="AJ41" s="54"/>
      <c r="AK41" s="26"/>
      <c r="AL41" s="26"/>
      <c r="AM41" s="26"/>
      <c r="AN41" s="446"/>
      <c r="AO41" s="437"/>
      <c r="AP41" s="446"/>
      <c r="AQ41" s="434"/>
      <c r="AR41" s="434"/>
      <c r="AS41" s="434"/>
      <c r="AT41" s="431"/>
      <c r="AU41" s="446"/>
      <c r="AV41" s="446"/>
      <c r="AW41" s="437"/>
      <c r="AX41" s="437"/>
      <c r="AY41" s="443"/>
      <c r="AZ41" s="19"/>
      <c r="BA41" s="26"/>
      <c r="BB41" s="26"/>
      <c r="BC41" s="26"/>
      <c r="BD41" s="26"/>
    </row>
    <row r="42" spans="1:56" ht="74.25" customHeight="1" thickBot="1" x14ac:dyDescent="0.3">
      <c r="A42" s="470"/>
      <c r="B42" s="470"/>
      <c r="C42" s="473"/>
      <c r="D42" s="652"/>
      <c r="E42" s="473"/>
      <c r="F42" s="531"/>
      <c r="G42" s="622"/>
      <c r="H42" s="622"/>
      <c r="I42" s="535"/>
      <c r="J42" s="535"/>
      <c r="K42" s="524"/>
      <c r="L42" s="447"/>
      <c r="M42" s="459"/>
      <c r="N42" s="447"/>
      <c r="O42" s="447"/>
      <c r="P42" s="514"/>
      <c r="Q42" s="514"/>
      <c r="R42" s="514"/>
      <c r="S42" s="626"/>
      <c r="T42" s="627"/>
      <c r="U42" s="618"/>
      <c r="V42" s="717"/>
      <c r="W42" s="452"/>
      <c r="X42" s="437"/>
      <c r="Y42" s="26"/>
      <c r="Z42" s="26"/>
      <c r="AA42" s="26"/>
      <c r="AB42" s="26"/>
      <c r="AC42" s="26"/>
      <c r="AD42" s="26">
        <v>0</v>
      </c>
      <c r="AE42" s="26"/>
      <c r="AF42" s="26"/>
      <c r="AG42" s="738"/>
      <c r="AH42" s="28"/>
      <c r="AI42" s="28"/>
      <c r="AJ42" s="54"/>
      <c r="AK42" s="26"/>
      <c r="AL42" s="26"/>
      <c r="AM42" s="26"/>
      <c r="AN42" s="446"/>
      <c r="AO42" s="437"/>
      <c r="AP42" s="446"/>
      <c r="AQ42" s="434"/>
      <c r="AR42" s="434"/>
      <c r="AS42" s="434"/>
      <c r="AT42" s="431"/>
      <c r="AU42" s="446"/>
      <c r="AV42" s="446"/>
      <c r="AW42" s="437"/>
      <c r="AX42" s="437"/>
      <c r="AY42" s="443"/>
      <c r="AZ42" s="19"/>
      <c r="BA42" s="26"/>
      <c r="BB42" s="26"/>
      <c r="BC42" s="26"/>
      <c r="BD42" s="26"/>
    </row>
    <row r="43" spans="1:56" ht="51.95" customHeight="1" x14ac:dyDescent="0.25">
      <c r="A43" s="470"/>
      <c r="B43" s="470"/>
      <c r="C43" s="473"/>
      <c r="D43" s="652"/>
      <c r="E43" s="473"/>
      <c r="F43" s="531"/>
      <c r="G43" s="572" t="s">
        <v>133</v>
      </c>
      <c r="H43" s="572" t="s">
        <v>54</v>
      </c>
      <c r="I43" s="533" t="s">
        <v>81</v>
      </c>
      <c r="J43" s="533" t="s">
        <v>134</v>
      </c>
      <c r="K43" s="485">
        <v>1</v>
      </c>
      <c r="L43" s="528" t="s">
        <v>135</v>
      </c>
      <c r="M43" s="528">
        <v>0.62</v>
      </c>
      <c r="N43" s="528">
        <v>0</v>
      </c>
      <c r="O43" s="528">
        <v>0</v>
      </c>
      <c r="P43" s="528">
        <v>0.12</v>
      </c>
      <c r="Q43" s="752">
        <v>0</v>
      </c>
      <c r="R43" s="752">
        <f>SUM(N43:Q45)</f>
        <v>0.12</v>
      </c>
      <c r="S43" s="528">
        <f>SUM(M43:Q45)</f>
        <v>0.74</v>
      </c>
      <c r="T43" s="528">
        <f>+SUM(N43:Q45)/20%</f>
        <v>0.6</v>
      </c>
      <c r="U43" s="625">
        <f>+S43/K43</f>
        <v>0.74</v>
      </c>
      <c r="V43" s="717"/>
      <c r="W43" s="452"/>
      <c r="X43" s="437"/>
      <c r="Y43" s="26" t="s">
        <v>136</v>
      </c>
      <c r="Z43" s="75">
        <v>1</v>
      </c>
      <c r="AA43" s="75">
        <v>0</v>
      </c>
      <c r="AB43" s="75">
        <v>0.3</v>
      </c>
      <c r="AC43" s="75">
        <v>0</v>
      </c>
      <c r="AD43" s="72">
        <v>0</v>
      </c>
      <c r="AE43" s="325">
        <v>0.3</v>
      </c>
      <c r="AF43" s="72">
        <f t="shared" ref="AF43:AF49" si="1">SUM(AA43:AD43)/Z43</f>
        <v>0.3</v>
      </c>
      <c r="AG43" s="738"/>
      <c r="AH43" s="22">
        <v>44562</v>
      </c>
      <c r="AI43" s="22">
        <v>44926</v>
      </c>
      <c r="AJ43" s="54">
        <v>365</v>
      </c>
      <c r="AK43" s="26" t="s">
        <v>60</v>
      </c>
      <c r="AL43" s="26" t="s">
        <v>60</v>
      </c>
      <c r="AM43" s="284">
        <v>5.8000000000000003E-2</v>
      </c>
      <c r="AN43" s="446"/>
      <c r="AO43" s="437"/>
      <c r="AP43" s="446"/>
      <c r="AQ43" s="434"/>
      <c r="AR43" s="434"/>
      <c r="AS43" s="434"/>
      <c r="AT43" s="431"/>
      <c r="AU43" s="446"/>
      <c r="AV43" s="446"/>
      <c r="AW43" s="437"/>
      <c r="AX43" s="437"/>
      <c r="AY43" s="443"/>
      <c r="AZ43" s="19" t="s">
        <v>66</v>
      </c>
      <c r="BA43" s="26" t="s">
        <v>137</v>
      </c>
      <c r="BB43" s="26" t="s">
        <v>138</v>
      </c>
      <c r="BC43" s="26"/>
      <c r="BD43" s="26"/>
    </row>
    <row r="44" spans="1:56" ht="42.75" customHeight="1" x14ac:dyDescent="0.25">
      <c r="A44" s="470"/>
      <c r="B44" s="470"/>
      <c r="C44" s="473"/>
      <c r="D44" s="652"/>
      <c r="E44" s="473"/>
      <c r="F44" s="531"/>
      <c r="G44" s="573"/>
      <c r="H44" s="573"/>
      <c r="I44" s="534"/>
      <c r="J44" s="534"/>
      <c r="K44" s="485"/>
      <c r="L44" s="620"/>
      <c r="M44" s="620"/>
      <c r="N44" s="620"/>
      <c r="O44" s="620"/>
      <c r="P44" s="620"/>
      <c r="Q44" s="753"/>
      <c r="R44" s="753"/>
      <c r="S44" s="620"/>
      <c r="T44" s="620"/>
      <c r="U44" s="626"/>
      <c r="V44" s="717"/>
      <c r="W44" s="452"/>
      <c r="X44" s="437"/>
      <c r="Y44" s="26" t="s">
        <v>139</v>
      </c>
      <c r="Z44" s="75">
        <v>1</v>
      </c>
      <c r="AA44" s="75">
        <v>0</v>
      </c>
      <c r="AB44" s="75">
        <v>0</v>
      </c>
      <c r="AC44" s="75">
        <v>0</v>
      </c>
      <c r="AD44" s="72">
        <v>0</v>
      </c>
      <c r="AE44" s="325">
        <v>0</v>
      </c>
      <c r="AF44" s="72">
        <f t="shared" si="1"/>
        <v>0</v>
      </c>
      <c r="AG44" s="738"/>
      <c r="AH44" s="22">
        <v>44562</v>
      </c>
      <c r="AI44" s="22">
        <v>44926</v>
      </c>
      <c r="AJ44" s="54">
        <v>365</v>
      </c>
      <c r="AK44" s="26" t="s">
        <v>60</v>
      </c>
      <c r="AL44" s="26" t="s">
        <v>60</v>
      </c>
      <c r="AM44" s="284">
        <v>5.8000000000000003E-2</v>
      </c>
      <c r="AN44" s="446"/>
      <c r="AO44" s="437"/>
      <c r="AP44" s="446"/>
      <c r="AQ44" s="434"/>
      <c r="AR44" s="434"/>
      <c r="AS44" s="434"/>
      <c r="AT44" s="431"/>
      <c r="AU44" s="446"/>
      <c r="AV44" s="446"/>
      <c r="AW44" s="437"/>
      <c r="AX44" s="437"/>
      <c r="AY44" s="443"/>
      <c r="AZ44" s="19" t="s">
        <v>66</v>
      </c>
      <c r="BA44" s="26" t="s">
        <v>67</v>
      </c>
      <c r="BB44" s="26" t="s">
        <v>68</v>
      </c>
      <c r="BC44" s="26"/>
      <c r="BD44" s="26"/>
    </row>
    <row r="45" spans="1:56" ht="29.25" customHeight="1" thickBot="1" x14ac:dyDescent="0.3">
      <c r="A45" s="470"/>
      <c r="B45" s="470"/>
      <c r="C45" s="473"/>
      <c r="D45" s="652"/>
      <c r="E45" s="473"/>
      <c r="F45" s="531"/>
      <c r="G45" s="622"/>
      <c r="H45" s="622"/>
      <c r="I45" s="535"/>
      <c r="J45" s="535"/>
      <c r="K45" s="524"/>
      <c r="L45" s="621"/>
      <c r="M45" s="621"/>
      <c r="N45" s="621"/>
      <c r="O45" s="621"/>
      <c r="P45" s="621"/>
      <c r="Q45" s="754"/>
      <c r="R45" s="754"/>
      <c r="S45" s="621"/>
      <c r="T45" s="621"/>
      <c r="U45" s="748"/>
      <c r="V45" s="717"/>
      <c r="W45" s="452"/>
      <c r="X45" s="437"/>
      <c r="Y45" s="26" t="s">
        <v>140</v>
      </c>
      <c r="Z45" s="75">
        <v>1</v>
      </c>
      <c r="AA45" s="75">
        <v>0</v>
      </c>
      <c r="AB45" s="75">
        <v>0.05</v>
      </c>
      <c r="AC45" s="75">
        <v>0</v>
      </c>
      <c r="AD45" s="72">
        <v>0</v>
      </c>
      <c r="AE45" s="325">
        <v>0.05</v>
      </c>
      <c r="AF45" s="72">
        <f t="shared" si="1"/>
        <v>0.05</v>
      </c>
      <c r="AG45" s="738"/>
      <c r="AH45" s="22">
        <v>44562</v>
      </c>
      <c r="AI45" s="22">
        <v>44926</v>
      </c>
      <c r="AJ45" s="54">
        <v>365</v>
      </c>
      <c r="AK45" s="26" t="s">
        <v>60</v>
      </c>
      <c r="AL45" s="26" t="s">
        <v>60</v>
      </c>
      <c r="AM45" s="284">
        <v>5.8000000000000003E-2</v>
      </c>
      <c r="AN45" s="446"/>
      <c r="AO45" s="446"/>
      <c r="AP45" s="446"/>
      <c r="AQ45" s="434"/>
      <c r="AR45" s="434"/>
      <c r="AS45" s="434"/>
      <c r="AT45" s="431"/>
      <c r="AU45" s="446"/>
      <c r="AV45" s="446"/>
      <c r="AW45" s="437"/>
      <c r="AX45" s="437"/>
      <c r="AY45" s="443"/>
      <c r="AZ45" s="19" t="s">
        <v>66</v>
      </c>
      <c r="BA45" s="26" t="s">
        <v>67</v>
      </c>
      <c r="BB45" s="26" t="s">
        <v>141</v>
      </c>
      <c r="BC45" s="26"/>
      <c r="BD45" s="26"/>
    </row>
    <row r="46" spans="1:56" ht="44.1" customHeight="1" x14ac:dyDescent="0.25">
      <c r="A46" s="470"/>
      <c r="B46" s="470"/>
      <c r="C46" s="473"/>
      <c r="D46" s="652"/>
      <c r="E46" s="473"/>
      <c r="F46" s="531"/>
      <c r="G46" s="572" t="s">
        <v>142</v>
      </c>
      <c r="H46" s="572" t="s">
        <v>54</v>
      </c>
      <c r="I46" s="533" t="s">
        <v>81</v>
      </c>
      <c r="J46" s="533" t="s">
        <v>143</v>
      </c>
      <c r="K46" s="469">
        <v>1</v>
      </c>
      <c r="L46" s="469">
        <v>1</v>
      </c>
      <c r="M46" s="430">
        <v>0.5</v>
      </c>
      <c r="N46" s="469">
        <v>0</v>
      </c>
      <c r="O46" s="430">
        <v>0.05</v>
      </c>
      <c r="P46" s="430">
        <v>0</v>
      </c>
      <c r="Q46" s="430">
        <v>0</v>
      </c>
      <c r="R46" s="430">
        <f>SUM(N46:Q49)</f>
        <v>0.05</v>
      </c>
      <c r="S46" s="430">
        <f>M46+N46+O46+P46+Q46</f>
        <v>0.55000000000000004</v>
      </c>
      <c r="T46" s="430">
        <f>(N46+O46+P46+Q46)/L46</f>
        <v>0.05</v>
      </c>
      <c r="U46" s="613">
        <f>+S46/K46</f>
        <v>0.55000000000000004</v>
      </c>
      <c r="V46" s="717"/>
      <c r="W46" s="452"/>
      <c r="X46" s="437"/>
      <c r="Y46" s="26" t="s">
        <v>144</v>
      </c>
      <c r="Z46" s="75">
        <v>1</v>
      </c>
      <c r="AA46" s="75">
        <v>0.05</v>
      </c>
      <c r="AB46" s="75">
        <v>0</v>
      </c>
      <c r="AC46" s="75">
        <v>0.15</v>
      </c>
      <c r="AD46" s="72">
        <v>-0.15</v>
      </c>
      <c r="AE46" s="325">
        <v>0.05</v>
      </c>
      <c r="AF46" s="72">
        <f t="shared" si="1"/>
        <v>5.0000000000000017E-2</v>
      </c>
      <c r="AG46" s="738"/>
      <c r="AH46" s="22">
        <v>44562</v>
      </c>
      <c r="AI46" s="22">
        <v>44926</v>
      </c>
      <c r="AJ46" s="54">
        <v>365</v>
      </c>
      <c r="AK46" s="26" t="s">
        <v>60</v>
      </c>
      <c r="AL46" s="26" t="s">
        <v>60</v>
      </c>
      <c r="AM46" s="284">
        <v>5.8000000000000003E-2</v>
      </c>
      <c r="AN46" s="446"/>
      <c r="AO46" s="446"/>
      <c r="AP46" s="446"/>
      <c r="AQ46" s="434"/>
      <c r="AR46" s="434"/>
      <c r="AS46" s="434"/>
      <c r="AT46" s="431"/>
      <c r="AU46" s="446"/>
      <c r="AV46" s="446"/>
      <c r="AW46" s="437"/>
      <c r="AX46" s="437"/>
      <c r="AY46" s="443"/>
      <c r="AZ46" s="19" t="s">
        <v>66</v>
      </c>
      <c r="BA46" s="26" t="s">
        <v>137</v>
      </c>
      <c r="BB46" s="26" t="s">
        <v>145</v>
      </c>
      <c r="BC46" s="26"/>
      <c r="BD46" s="26"/>
    </row>
    <row r="47" spans="1:56" ht="45" customHeight="1" x14ac:dyDescent="0.25">
      <c r="A47" s="470"/>
      <c r="B47" s="470"/>
      <c r="C47" s="473"/>
      <c r="D47" s="652"/>
      <c r="E47" s="473"/>
      <c r="F47" s="531"/>
      <c r="G47" s="573"/>
      <c r="H47" s="573"/>
      <c r="I47" s="534"/>
      <c r="J47" s="534"/>
      <c r="K47" s="470"/>
      <c r="L47" s="470"/>
      <c r="M47" s="431"/>
      <c r="N47" s="470"/>
      <c r="O47" s="431"/>
      <c r="P47" s="431"/>
      <c r="Q47" s="431"/>
      <c r="R47" s="431"/>
      <c r="S47" s="431"/>
      <c r="T47" s="431"/>
      <c r="U47" s="614"/>
      <c r="V47" s="717"/>
      <c r="W47" s="452"/>
      <c r="X47" s="437"/>
      <c r="Y47" s="26" t="s">
        <v>434</v>
      </c>
      <c r="Z47" s="75">
        <v>1</v>
      </c>
      <c r="AA47" s="75">
        <v>0</v>
      </c>
      <c r="AB47" s="75">
        <v>0</v>
      </c>
      <c r="AC47" s="75">
        <v>0</v>
      </c>
      <c r="AD47" s="72">
        <v>0</v>
      </c>
      <c r="AE47" s="326">
        <v>0</v>
      </c>
      <c r="AF47" s="72">
        <f t="shared" si="1"/>
        <v>0</v>
      </c>
      <c r="AG47" s="738"/>
      <c r="AH47" s="22">
        <v>44562</v>
      </c>
      <c r="AI47" s="22">
        <v>44926</v>
      </c>
      <c r="AJ47" s="54">
        <v>365</v>
      </c>
      <c r="AK47" s="26" t="s">
        <v>60</v>
      </c>
      <c r="AL47" s="26" t="s">
        <v>60</v>
      </c>
      <c r="AM47" s="284">
        <v>5.8000000000000003E-2</v>
      </c>
      <c r="AN47" s="446"/>
      <c r="AO47" s="446"/>
      <c r="AP47" s="446"/>
      <c r="AQ47" s="434"/>
      <c r="AR47" s="434"/>
      <c r="AS47" s="434"/>
      <c r="AT47" s="431"/>
      <c r="AU47" s="446"/>
      <c r="AV47" s="446"/>
      <c r="AW47" s="437"/>
      <c r="AX47" s="437"/>
      <c r="AY47" s="443"/>
      <c r="AZ47" s="19" t="s">
        <v>66</v>
      </c>
      <c r="BA47" s="26" t="s">
        <v>67</v>
      </c>
      <c r="BB47" s="26" t="s">
        <v>68</v>
      </c>
      <c r="BC47" s="26"/>
      <c r="BD47" s="26"/>
    </row>
    <row r="48" spans="1:56" ht="93" customHeight="1" x14ac:dyDescent="0.25">
      <c r="A48" s="470"/>
      <c r="B48" s="470"/>
      <c r="C48" s="473"/>
      <c r="D48" s="652"/>
      <c r="E48" s="473"/>
      <c r="F48" s="531"/>
      <c r="G48" s="573"/>
      <c r="H48" s="573"/>
      <c r="I48" s="534"/>
      <c r="J48" s="534"/>
      <c r="K48" s="470"/>
      <c r="L48" s="470"/>
      <c r="M48" s="431"/>
      <c r="N48" s="470"/>
      <c r="O48" s="431"/>
      <c r="P48" s="431"/>
      <c r="Q48" s="431"/>
      <c r="R48" s="431"/>
      <c r="S48" s="431"/>
      <c r="T48" s="431"/>
      <c r="U48" s="614"/>
      <c r="V48" s="717"/>
      <c r="W48" s="452"/>
      <c r="X48" s="437"/>
      <c r="Y48" s="26" t="s">
        <v>147</v>
      </c>
      <c r="Z48" s="75">
        <v>1</v>
      </c>
      <c r="AA48" s="75">
        <v>0</v>
      </c>
      <c r="AB48" s="75">
        <v>0</v>
      </c>
      <c r="AC48" s="75">
        <v>0</v>
      </c>
      <c r="AD48" s="72">
        <v>0</v>
      </c>
      <c r="AE48" s="72">
        <v>0</v>
      </c>
      <c r="AF48" s="72">
        <f t="shared" si="1"/>
        <v>0</v>
      </c>
      <c r="AG48" s="738"/>
      <c r="AH48" s="22">
        <v>44562</v>
      </c>
      <c r="AI48" s="22">
        <v>44926</v>
      </c>
      <c r="AJ48" s="54">
        <v>365</v>
      </c>
      <c r="AK48" s="26" t="s">
        <v>60</v>
      </c>
      <c r="AL48" s="26" t="s">
        <v>60</v>
      </c>
      <c r="AM48" s="284">
        <v>5.8000000000000003E-2</v>
      </c>
      <c r="AN48" s="446"/>
      <c r="AO48" s="446"/>
      <c r="AP48" s="446"/>
      <c r="AQ48" s="434"/>
      <c r="AR48" s="434"/>
      <c r="AS48" s="434"/>
      <c r="AT48" s="431"/>
      <c r="AU48" s="446"/>
      <c r="AV48" s="446"/>
      <c r="AW48" s="437"/>
      <c r="AX48" s="437"/>
      <c r="AY48" s="443"/>
      <c r="AZ48" s="19" t="s">
        <v>66</v>
      </c>
      <c r="BA48" s="26" t="s">
        <v>67</v>
      </c>
      <c r="BB48" s="26" t="s">
        <v>68</v>
      </c>
      <c r="BC48" s="26"/>
      <c r="BD48" s="26"/>
    </row>
    <row r="49" spans="1:56" ht="101.25" customHeight="1" thickBot="1" x14ac:dyDescent="0.3">
      <c r="A49" s="470"/>
      <c r="B49" s="470"/>
      <c r="C49" s="473"/>
      <c r="D49" s="652"/>
      <c r="E49" s="473"/>
      <c r="F49" s="531"/>
      <c r="G49" s="622"/>
      <c r="H49" s="622"/>
      <c r="I49" s="535"/>
      <c r="J49" s="535"/>
      <c r="K49" s="471"/>
      <c r="L49" s="471"/>
      <c r="M49" s="459"/>
      <c r="N49" s="471"/>
      <c r="O49" s="459"/>
      <c r="P49" s="459"/>
      <c r="Q49" s="459"/>
      <c r="R49" s="459"/>
      <c r="S49" s="459"/>
      <c r="T49" s="459"/>
      <c r="U49" s="618"/>
      <c r="V49" s="717"/>
      <c r="W49" s="452"/>
      <c r="X49" s="437"/>
      <c r="Y49" s="26" t="s">
        <v>435</v>
      </c>
      <c r="Z49" s="75">
        <v>1</v>
      </c>
      <c r="AA49" s="75">
        <v>0</v>
      </c>
      <c r="AB49" s="75">
        <v>0</v>
      </c>
      <c r="AC49" s="75">
        <v>0</v>
      </c>
      <c r="AD49" s="72">
        <v>0</v>
      </c>
      <c r="AE49" s="72">
        <v>0</v>
      </c>
      <c r="AF49" s="72">
        <f t="shared" si="1"/>
        <v>0</v>
      </c>
      <c r="AG49" s="738"/>
      <c r="AH49" s="22">
        <v>44562</v>
      </c>
      <c r="AI49" s="22">
        <v>44926</v>
      </c>
      <c r="AJ49" s="54">
        <v>365</v>
      </c>
      <c r="AK49" s="26" t="s">
        <v>60</v>
      </c>
      <c r="AL49" s="26" t="s">
        <v>60</v>
      </c>
      <c r="AM49" s="284">
        <v>5.8000000000000003E-2</v>
      </c>
      <c r="AN49" s="446"/>
      <c r="AO49" s="446"/>
      <c r="AP49" s="446"/>
      <c r="AQ49" s="434"/>
      <c r="AR49" s="434"/>
      <c r="AS49" s="434"/>
      <c r="AT49" s="431"/>
      <c r="AU49" s="446"/>
      <c r="AV49" s="446"/>
      <c r="AW49" s="437"/>
      <c r="AX49" s="437"/>
      <c r="AY49" s="443"/>
      <c r="AZ49" s="19" t="s">
        <v>66</v>
      </c>
      <c r="BA49" s="26" t="s">
        <v>67</v>
      </c>
      <c r="BB49" s="26" t="s">
        <v>68</v>
      </c>
      <c r="BC49" s="26"/>
      <c r="BD49" s="26"/>
    </row>
    <row r="50" spans="1:56" ht="98.25" customHeight="1" x14ac:dyDescent="0.25">
      <c r="A50" s="470"/>
      <c r="B50" s="470"/>
      <c r="C50" s="473"/>
      <c r="D50" s="652"/>
      <c r="E50" s="473"/>
      <c r="F50" s="531"/>
      <c r="G50" s="533" t="s">
        <v>149</v>
      </c>
      <c r="H50" s="533" t="s">
        <v>54</v>
      </c>
      <c r="I50" s="533" t="s">
        <v>81</v>
      </c>
      <c r="J50" s="533" t="s">
        <v>150</v>
      </c>
      <c r="K50" s="469">
        <v>4</v>
      </c>
      <c r="L50" s="469">
        <v>1</v>
      </c>
      <c r="M50" s="469">
        <v>2</v>
      </c>
      <c r="N50" s="469">
        <v>0.13</v>
      </c>
      <c r="O50" s="469">
        <v>0</v>
      </c>
      <c r="P50" s="469">
        <v>0.17</v>
      </c>
      <c r="Q50" s="469">
        <v>0.04</v>
      </c>
      <c r="R50" s="469">
        <f>SUM(N50:Q52)</f>
        <v>0.34</v>
      </c>
      <c r="S50" s="469">
        <f>M50+N50+O50+P50+Q50</f>
        <v>2.34</v>
      </c>
      <c r="T50" s="430">
        <f>(N50+O50+P50+Q50)/L50</f>
        <v>0.34</v>
      </c>
      <c r="U50" s="613">
        <f>+S50/K50</f>
        <v>0.58499999999999996</v>
      </c>
      <c r="V50" s="717"/>
      <c r="W50" s="452"/>
      <c r="X50" s="437"/>
      <c r="Y50" s="26" t="s">
        <v>151</v>
      </c>
      <c r="Z50" s="75">
        <v>0</v>
      </c>
      <c r="AA50" s="75">
        <v>0.3</v>
      </c>
      <c r="AB50" s="75">
        <v>0</v>
      </c>
      <c r="AC50" s="75">
        <v>0.05</v>
      </c>
      <c r="AD50" s="72">
        <v>1.0000000000000009E-2</v>
      </c>
      <c r="AE50" s="72">
        <v>0.36</v>
      </c>
      <c r="AF50" s="72">
        <f>SUM(AA50:AD50)</f>
        <v>0.36</v>
      </c>
      <c r="AG50" s="738"/>
      <c r="AH50" s="22">
        <v>44562</v>
      </c>
      <c r="AI50" s="22">
        <v>44926</v>
      </c>
      <c r="AJ50" s="54">
        <v>365</v>
      </c>
      <c r="AK50" s="26" t="s">
        <v>60</v>
      </c>
      <c r="AL50" s="26" t="s">
        <v>60</v>
      </c>
      <c r="AM50" s="284">
        <v>5.8000000000000003E-2</v>
      </c>
      <c r="AN50" s="446"/>
      <c r="AO50" s="446"/>
      <c r="AP50" s="446"/>
      <c r="AQ50" s="434"/>
      <c r="AR50" s="434"/>
      <c r="AS50" s="434"/>
      <c r="AT50" s="431"/>
      <c r="AU50" s="446"/>
      <c r="AV50" s="446"/>
      <c r="AW50" s="437"/>
      <c r="AX50" s="437"/>
      <c r="AY50" s="443"/>
      <c r="AZ50" s="19" t="s">
        <v>66</v>
      </c>
      <c r="BA50" s="26" t="s">
        <v>67</v>
      </c>
      <c r="BB50" s="26" t="s">
        <v>68</v>
      </c>
      <c r="BC50" s="26"/>
      <c r="BD50" s="26"/>
    </row>
    <row r="51" spans="1:56" ht="70.5" customHeight="1" x14ac:dyDescent="0.25">
      <c r="A51" s="470"/>
      <c r="B51" s="470"/>
      <c r="C51" s="473"/>
      <c r="D51" s="652"/>
      <c r="E51" s="473"/>
      <c r="F51" s="531"/>
      <c r="G51" s="534"/>
      <c r="H51" s="534"/>
      <c r="I51" s="534"/>
      <c r="J51" s="534"/>
      <c r="K51" s="470"/>
      <c r="L51" s="470"/>
      <c r="M51" s="470"/>
      <c r="N51" s="470"/>
      <c r="O51" s="470"/>
      <c r="P51" s="470"/>
      <c r="Q51" s="470"/>
      <c r="R51" s="470"/>
      <c r="S51" s="470"/>
      <c r="T51" s="431"/>
      <c r="U51" s="614"/>
      <c r="V51" s="717"/>
      <c r="W51" s="452"/>
      <c r="X51" s="437"/>
      <c r="Y51" s="26" t="s">
        <v>152</v>
      </c>
      <c r="Z51" s="75">
        <v>1</v>
      </c>
      <c r="AA51" s="75">
        <v>0.1</v>
      </c>
      <c r="AB51" s="75">
        <v>0.1</v>
      </c>
      <c r="AC51" s="75">
        <v>0.05</v>
      </c>
      <c r="AD51" s="72">
        <v>1.0000000000000009E-2</v>
      </c>
      <c r="AE51" s="72">
        <v>0.26</v>
      </c>
      <c r="AF51" s="72">
        <f>SUM(AA51:AD51)/Z51</f>
        <v>0.26</v>
      </c>
      <c r="AG51" s="738"/>
      <c r="AH51" s="22">
        <v>44562</v>
      </c>
      <c r="AI51" s="22">
        <v>44926</v>
      </c>
      <c r="AJ51" s="54">
        <v>365</v>
      </c>
      <c r="AK51" s="26" t="s">
        <v>60</v>
      </c>
      <c r="AL51" s="26" t="s">
        <v>60</v>
      </c>
      <c r="AM51" s="284">
        <v>5.8000000000000003E-2</v>
      </c>
      <c r="AN51" s="446"/>
      <c r="AO51" s="446"/>
      <c r="AP51" s="446"/>
      <c r="AQ51" s="434"/>
      <c r="AR51" s="434"/>
      <c r="AS51" s="434"/>
      <c r="AT51" s="431"/>
      <c r="AU51" s="446"/>
      <c r="AV51" s="446"/>
      <c r="AW51" s="437"/>
      <c r="AX51" s="437"/>
      <c r="AY51" s="443"/>
      <c r="AZ51" s="19" t="s">
        <v>66</v>
      </c>
      <c r="BA51" s="26" t="s">
        <v>67</v>
      </c>
      <c r="BB51" s="26" t="s">
        <v>68</v>
      </c>
      <c r="BC51" s="26"/>
      <c r="BD51" s="26"/>
    </row>
    <row r="52" spans="1:56" ht="99" customHeight="1" thickBot="1" x14ac:dyDescent="0.3">
      <c r="A52" s="470"/>
      <c r="B52" s="470"/>
      <c r="C52" s="473"/>
      <c r="D52" s="652"/>
      <c r="E52" s="473"/>
      <c r="F52" s="531"/>
      <c r="G52" s="535"/>
      <c r="H52" s="535"/>
      <c r="I52" s="535"/>
      <c r="J52" s="535"/>
      <c r="K52" s="471"/>
      <c r="L52" s="471"/>
      <c r="M52" s="471"/>
      <c r="N52" s="471"/>
      <c r="O52" s="471"/>
      <c r="P52" s="471"/>
      <c r="Q52" s="471"/>
      <c r="R52" s="471"/>
      <c r="S52" s="471"/>
      <c r="T52" s="459"/>
      <c r="U52" s="618"/>
      <c r="V52" s="717"/>
      <c r="W52" s="452"/>
      <c r="X52" s="437"/>
      <c r="Y52" s="26" t="s">
        <v>153</v>
      </c>
      <c r="Z52" s="75">
        <v>1</v>
      </c>
      <c r="AA52" s="75">
        <v>0.25</v>
      </c>
      <c r="AB52" s="75">
        <v>0</v>
      </c>
      <c r="AC52" s="75">
        <v>0.05</v>
      </c>
      <c r="AD52" s="72">
        <v>0.14000000000000001</v>
      </c>
      <c r="AE52" s="72">
        <v>0.44</v>
      </c>
      <c r="AF52" s="72">
        <f>SUM(AA52:AD52)/Z52</f>
        <v>0.44</v>
      </c>
      <c r="AG52" s="738"/>
      <c r="AH52" s="22">
        <v>44562</v>
      </c>
      <c r="AI52" s="22">
        <v>44926</v>
      </c>
      <c r="AJ52" s="54">
        <v>365</v>
      </c>
      <c r="AK52" s="26" t="s">
        <v>60</v>
      </c>
      <c r="AL52" s="26" t="s">
        <v>60</v>
      </c>
      <c r="AM52" s="284">
        <v>5.8000000000000003E-2</v>
      </c>
      <c r="AN52" s="446"/>
      <c r="AO52" s="446"/>
      <c r="AP52" s="446"/>
      <c r="AQ52" s="434"/>
      <c r="AR52" s="434"/>
      <c r="AS52" s="434"/>
      <c r="AT52" s="431"/>
      <c r="AU52" s="446"/>
      <c r="AV52" s="446"/>
      <c r="AW52" s="437"/>
      <c r="AX52" s="437"/>
      <c r="AY52" s="443"/>
      <c r="AZ52" s="19" t="s">
        <v>66</v>
      </c>
      <c r="BA52" s="26" t="s">
        <v>67</v>
      </c>
      <c r="BB52" s="26" t="s">
        <v>68</v>
      </c>
      <c r="BC52" s="26"/>
      <c r="BD52" s="26"/>
    </row>
    <row r="53" spans="1:56" ht="81" customHeight="1" x14ac:dyDescent="0.25">
      <c r="A53" s="470"/>
      <c r="B53" s="470"/>
      <c r="C53" s="473"/>
      <c r="D53" s="652"/>
      <c r="E53" s="473"/>
      <c r="F53" s="531"/>
      <c r="G53" s="533" t="s">
        <v>154</v>
      </c>
      <c r="H53" s="533" t="s">
        <v>54</v>
      </c>
      <c r="I53" s="533" t="s">
        <v>81</v>
      </c>
      <c r="J53" s="533" t="s">
        <v>155</v>
      </c>
      <c r="K53" s="469">
        <v>1</v>
      </c>
      <c r="L53" s="469">
        <v>1</v>
      </c>
      <c r="M53" s="469">
        <v>0</v>
      </c>
      <c r="N53" s="469">
        <v>0.13</v>
      </c>
      <c r="O53" s="469">
        <v>0</v>
      </c>
      <c r="P53" s="469">
        <v>13.34</v>
      </c>
      <c r="Q53" s="469">
        <v>0.76</v>
      </c>
      <c r="R53" s="469">
        <f>SUM(N53:Q55)</f>
        <v>14.23</v>
      </c>
      <c r="S53" s="747">
        <f>(M53+N53+O53+P53+Q53)/100</f>
        <v>0.14230000000000001</v>
      </c>
      <c r="T53" s="747">
        <f>+(N53+O53+P53+Q53)/100</f>
        <v>0.14230000000000001</v>
      </c>
      <c r="U53" s="746">
        <f>+S53/K53</f>
        <v>0.14230000000000001</v>
      </c>
      <c r="V53" s="717"/>
      <c r="W53" s="452"/>
      <c r="X53" s="437"/>
      <c r="Y53" s="26" t="s">
        <v>156</v>
      </c>
      <c r="Z53" s="75">
        <v>1</v>
      </c>
      <c r="AA53" s="259">
        <v>4.0000000000000001E-3</v>
      </c>
      <c r="AB53" s="75">
        <v>0</v>
      </c>
      <c r="AC53" s="75">
        <v>0.4</v>
      </c>
      <c r="AD53" s="72">
        <v>-9.4000000000000028E-2</v>
      </c>
      <c r="AE53" s="72">
        <v>0.31</v>
      </c>
      <c r="AF53" s="279">
        <f>SUM(AA53:AD53)/Z53</f>
        <v>0.31</v>
      </c>
      <c r="AG53" s="738"/>
      <c r="AH53" s="22">
        <v>44562</v>
      </c>
      <c r="AI53" s="22">
        <v>44926</v>
      </c>
      <c r="AJ53" s="54">
        <v>365</v>
      </c>
      <c r="AK53" s="26" t="s">
        <v>60</v>
      </c>
      <c r="AL53" s="26" t="s">
        <v>60</v>
      </c>
      <c r="AM53" s="284">
        <v>5.8000000000000003E-2</v>
      </c>
      <c r="AN53" s="446"/>
      <c r="AO53" s="446"/>
      <c r="AP53" s="446"/>
      <c r="AQ53" s="434"/>
      <c r="AR53" s="434"/>
      <c r="AS53" s="434"/>
      <c r="AT53" s="431"/>
      <c r="AU53" s="446"/>
      <c r="AV53" s="446"/>
      <c r="AW53" s="437"/>
      <c r="AX53" s="437"/>
      <c r="AY53" s="443"/>
      <c r="AZ53" s="19" t="s">
        <v>66</v>
      </c>
      <c r="BA53" s="26" t="s">
        <v>67</v>
      </c>
      <c r="BB53" s="26" t="s">
        <v>68</v>
      </c>
      <c r="BC53" s="26"/>
      <c r="BD53" s="26"/>
    </row>
    <row r="54" spans="1:56" ht="54" customHeight="1" x14ac:dyDescent="0.25">
      <c r="A54" s="470"/>
      <c r="B54" s="470"/>
      <c r="C54" s="473"/>
      <c r="D54" s="652"/>
      <c r="E54" s="473"/>
      <c r="F54" s="531"/>
      <c r="G54" s="534"/>
      <c r="H54" s="534"/>
      <c r="I54" s="534"/>
      <c r="J54" s="534"/>
      <c r="K54" s="470"/>
      <c r="L54" s="470"/>
      <c r="M54" s="470"/>
      <c r="N54" s="470"/>
      <c r="O54" s="470"/>
      <c r="P54" s="470"/>
      <c r="Q54" s="470"/>
      <c r="R54" s="470"/>
      <c r="S54" s="650"/>
      <c r="T54" s="650"/>
      <c r="U54" s="736"/>
      <c r="V54" s="717"/>
      <c r="W54" s="452"/>
      <c r="X54" s="437"/>
      <c r="Y54" s="26" t="s">
        <v>157</v>
      </c>
      <c r="Z54" s="75">
        <v>0</v>
      </c>
      <c r="AA54" s="75">
        <v>0</v>
      </c>
      <c r="AB54" s="75">
        <v>0</v>
      </c>
      <c r="AC54" s="75">
        <v>0</v>
      </c>
      <c r="AD54" s="75">
        <v>0</v>
      </c>
      <c r="AE54" s="75">
        <v>0</v>
      </c>
      <c r="AF54" s="259">
        <v>0</v>
      </c>
      <c r="AG54" s="738"/>
      <c r="AH54" s="22">
        <v>44562</v>
      </c>
      <c r="AI54" s="22">
        <v>44926</v>
      </c>
      <c r="AJ54" s="54">
        <v>365</v>
      </c>
      <c r="AK54" s="26" t="s">
        <v>60</v>
      </c>
      <c r="AL54" s="26" t="s">
        <v>60</v>
      </c>
      <c r="AM54" s="284">
        <v>5.8000000000000003E-2</v>
      </c>
      <c r="AN54" s="446"/>
      <c r="AO54" s="446"/>
      <c r="AP54" s="446"/>
      <c r="AQ54" s="434"/>
      <c r="AR54" s="434"/>
      <c r="AS54" s="434"/>
      <c r="AT54" s="431"/>
      <c r="AU54" s="446"/>
      <c r="AV54" s="446"/>
      <c r="AW54" s="437"/>
      <c r="AX54" s="437"/>
      <c r="AY54" s="443"/>
      <c r="AZ54" s="19" t="s">
        <v>66</v>
      </c>
      <c r="BA54" s="26" t="s">
        <v>67</v>
      </c>
      <c r="BB54" s="26" t="s">
        <v>68</v>
      </c>
      <c r="BC54" s="26"/>
      <c r="BD54" s="26"/>
    </row>
    <row r="55" spans="1:56" ht="83.25" customHeight="1" thickBot="1" x14ac:dyDescent="0.3">
      <c r="A55" s="470"/>
      <c r="B55" s="470"/>
      <c r="C55" s="473"/>
      <c r="D55" s="652"/>
      <c r="E55" s="473"/>
      <c r="F55" s="531"/>
      <c r="G55" s="535"/>
      <c r="H55" s="535"/>
      <c r="I55" s="535"/>
      <c r="J55" s="535"/>
      <c r="K55" s="471"/>
      <c r="L55" s="471"/>
      <c r="M55" s="471"/>
      <c r="N55" s="471"/>
      <c r="O55" s="471"/>
      <c r="P55" s="471"/>
      <c r="Q55" s="471"/>
      <c r="R55" s="471"/>
      <c r="S55" s="651"/>
      <c r="T55" s="651"/>
      <c r="U55" s="737"/>
      <c r="V55" s="717"/>
      <c r="W55" s="452"/>
      <c r="X55" s="437"/>
      <c r="Y55" s="44" t="s">
        <v>158</v>
      </c>
      <c r="Z55" s="77">
        <v>1</v>
      </c>
      <c r="AA55" s="77">
        <v>0</v>
      </c>
      <c r="AB55" s="77">
        <v>0</v>
      </c>
      <c r="AC55" s="77">
        <v>0</v>
      </c>
      <c r="AD55" s="77">
        <v>0</v>
      </c>
      <c r="AE55" s="77">
        <v>0</v>
      </c>
      <c r="AF55" s="287">
        <f t="shared" ref="AF55:AF70" si="2">SUM(AA55:AD55)/Z55</f>
        <v>0</v>
      </c>
      <c r="AG55" s="739"/>
      <c r="AH55" s="53">
        <v>44562</v>
      </c>
      <c r="AI55" s="60">
        <v>44926</v>
      </c>
      <c r="AJ55" s="61">
        <v>365</v>
      </c>
      <c r="AK55" s="126" t="s">
        <v>60</v>
      </c>
      <c r="AL55" s="44" t="s">
        <v>60</v>
      </c>
      <c r="AM55" s="285">
        <v>5.8000000000000003E-2</v>
      </c>
      <c r="AN55" s="447"/>
      <c r="AO55" s="447"/>
      <c r="AP55" s="447"/>
      <c r="AQ55" s="435"/>
      <c r="AR55" s="435"/>
      <c r="AS55" s="435"/>
      <c r="AT55" s="459"/>
      <c r="AU55" s="447"/>
      <c r="AV55" s="447"/>
      <c r="AW55" s="437"/>
      <c r="AX55" s="437"/>
      <c r="AY55" s="443"/>
      <c r="AZ55" s="19" t="s">
        <v>66</v>
      </c>
      <c r="BA55" s="44" t="s">
        <v>67</v>
      </c>
      <c r="BB55" s="44" t="s">
        <v>68</v>
      </c>
      <c r="BC55" s="44"/>
      <c r="BD55" s="44"/>
    </row>
    <row r="56" spans="1:56" ht="83.25" customHeight="1" thickBot="1" x14ac:dyDescent="0.3">
      <c r="A56" s="470"/>
      <c r="B56" s="470"/>
      <c r="C56" s="473"/>
      <c r="D56" s="652"/>
      <c r="E56" s="473"/>
      <c r="F56" s="531"/>
      <c r="G56" s="71"/>
      <c r="H56" s="71"/>
      <c r="I56" s="71"/>
      <c r="J56" s="71"/>
      <c r="K56" s="200"/>
      <c r="L56" s="200"/>
      <c r="M56" s="200"/>
      <c r="N56" s="200"/>
      <c r="O56" s="200"/>
      <c r="P56" s="200"/>
      <c r="Q56" s="200"/>
      <c r="R56" s="200"/>
      <c r="S56" s="352"/>
      <c r="T56" s="352"/>
      <c r="U56" s="361"/>
      <c r="V56" s="718"/>
      <c r="W56" s="714" t="s">
        <v>470</v>
      </c>
      <c r="X56" s="715"/>
      <c r="Y56" s="715"/>
      <c r="Z56" s="715"/>
      <c r="AA56" s="715"/>
      <c r="AB56" s="715"/>
      <c r="AC56" s="715"/>
      <c r="AD56" s="715"/>
      <c r="AE56" s="715"/>
      <c r="AF56" s="377">
        <f>AVERAGE(AF35:AF55)</f>
        <v>0.28647058823529409</v>
      </c>
      <c r="AG56" s="355"/>
      <c r="AH56" s="111"/>
      <c r="AI56" s="394"/>
      <c r="AJ56" s="130"/>
      <c r="AK56" s="71"/>
      <c r="AL56" s="131"/>
      <c r="AM56" s="285"/>
      <c r="AN56" s="114"/>
      <c r="AO56" s="683" t="s">
        <v>473</v>
      </c>
      <c r="AP56" s="721"/>
      <c r="AQ56" s="721"/>
      <c r="AR56" s="410">
        <f>SUM(AR35:AR55)</f>
        <v>178834818</v>
      </c>
      <c r="AS56" s="410">
        <f>SUM(AS35:AS55)</f>
        <v>178834818</v>
      </c>
      <c r="AT56" s="350">
        <f>+AS56/AR56</f>
        <v>1</v>
      </c>
      <c r="AU56" s="66"/>
      <c r="AV56" s="66"/>
      <c r="AW56" s="67"/>
      <c r="AX56" s="67"/>
      <c r="AY56" s="69"/>
      <c r="AZ56" s="19"/>
      <c r="BA56" s="71"/>
      <c r="BB56" s="71"/>
      <c r="BC56" s="71"/>
      <c r="BD56" s="71"/>
    </row>
    <row r="57" spans="1:56" ht="71.25" customHeight="1" x14ac:dyDescent="0.25">
      <c r="A57" s="470"/>
      <c r="B57" s="470"/>
      <c r="C57" s="473"/>
      <c r="D57" s="652"/>
      <c r="E57" s="473"/>
      <c r="F57" s="531"/>
      <c r="G57" s="533" t="s">
        <v>159</v>
      </c>
      <c r="H57" s="533" t="s">
        <v>54</v>
      </c>
      <c r="I57" s="533" t="s">
        <v>81</v>
      </c>
      <c r="J57" s="533" t="s">
        <v>160</v>
      </c>
      <c r="K57" s="469">
        <v>3</v>
      </c>
      <c r="L57" s="469">
        <v>1</v>
      </c>
      <c r="M57" s="469">
        <v>1.2</v>
      </c>
      <c r="N57" s="610">
        <v>0.8</v>
      </c>
      <c r="O57" s="610">
        <v>0.11</v>
      </c>
      <c r="P57" s="610">
        <f>0.93-N57-O57</f>
        <v>2.0000000000000004E-2</v>
      </c>
      <c r="Q57" s="610">
        <v>1.07</v>
      </c>
      <c r="R57" s="610">
        <f>SUM(N57:Q59)</f>
        <v>2</v>
      </c>
      <c r="S57" s="610">
        <f>M57+N57+O57+P57+Q57</f>
        <v>3.2</v>
      </c>
      <c r="T57" s="430">
        <f>+IF((SUM(N57:Q57)/L57)&gt;100%,100%,SUM(N57:Q57)/L57)</f>
        <v>1</v>
      </c>
      <c r="U57" s="613">
        <v>1</v>
      </c>
      <c r="V57" s="719" t="s">
        <v>161</v>
      </c>
      <c r="W57" s="579">
        <v>2021130010200</v>
      </c>
      <c r="X57" s="446" t="s">
        <v>162</v>
      </c>
      <c r="Y57" s="245" t="s">
        <v>163</v>
      </c>
      <c r="Z57" s="263">
        <v>1</v>
      </c>
      <c r="AA57" s="318">
        <v>1</v>
      </c>
      <c r="AB57" s="318">
        <v>0</v>
      </c>
      <c r="AC57" s="318">
        <v>0</v>
      </c>
      <c r="AD57" s="318">
        <v>0</v>
      </c>
      <c r="AE57" s="318">
        <v>1</v>
      </c>
      <c r="AF57" s="72">
        <f t="shared" si="2"/>
        <v>1</v>
      </c>
      <c r="AG57" s="749">
        <f>AVERAGE(AF57:AF70)</f>
        <v>0.82118571428571419</v>
      </c>
      <c r="AH57" s="60">
        <v>44562</v>
      </c>
      <c r="AI57" s="60">
        <v>44926</v>
      </c>
      <c r="AJ57" s="61">
        <v>365</v>
      </c>
      <c r="AK57" s="62" t="s">
        <v>60</v>
      </c>
      <c r="AL57" s="62" t="s">
        <v>60</v>
      </c>
      <c r="AM57" s="288">
        <v>7.1400000000000005E-2</v>
      </c>
      <c r="AN57" s="578" t="s">
        <v>61</v>
      </c>
      <c r="AO57" s="676" t="s">
        <v>62</v>
      </c>
      <c r="AP57" s="494" t="s">
        <v>63</v>
      </c>
      <c r="AQ57" s="433"/>
      <c r="AR57" s="433">
        <v>250000000</v>
      </c>
      <c r="AS57" s="433">
        <v>183000000</v>
      </c>
      <c r="AT57" s="430">
        <f>+AS57/AR57</f>
        <v>0.73199999999999998</v>
      </c>
      <c r="AU57" s="433" t="s">
        <v>63</v>
      </c>
      <c r="AV57" s="445" t="s">
        <v>64</v>
      </c>
      <c r="AW57" s="445"/>
      <c r="AX57" s="445" t="s">
        <v>65</v>
      </c>
      <c r="AY57" s="433">
        <f>AS57</f>
        <v>183000000</v>
      </c>
      <c r="AZ57" s="19" t="s">
        <v>66</v>
      </c>
      <c r="BA57" s="41" t="s">
        <v>67</v>
      </c>
      <c r="BB57" s="41" t="s">
        <v>68</v>
      </c>
      <c r="BC57" s="41"/>
      <c r="BD57" s="41"/>
    </row>
    <row r="58" spans="1:56" ht="72.75" customHeight="1" x14ac:dyDescent="0.25">
      <c r="A58" s="470"/>
      <c r="B58" s="470"/>
      <c r="C58" s="473"/>
      <c r="D58" s="652"/>
      <c r="E58" s="473"/>
      <c r="F58" s="531"/>
      <c r="G58" s="534"/>
      <c r="H58" s="534"/>
      <c r="I58" s="534"/>
      <c r="J58" s="534"/>
      <c r="K58" s="470"/>
      <c r="L58" s="470"/>
      <c r="M58" s="470"/>
      <c r="N58" s="611"/>
      <c r="O58" s="611"/>
      <c r="P58" s="611"/>
      <c r="Q58" s="611"/>
      <c r="R58" s="611"/>
      <c r="S58" s="470"/>
      <c r="T58" s="431"/>
      <c r="U58" s="614"/>
      <c r="V58" s="719"/>
      <c r="W58" s="579"/>
      <c r="X58" s="446"/>
      <c r="Y58" s="56" t="s">
        <v>164</v>
      </c>
      <c r="Z58" s="88">
        <v>1</v>
      </c>
      <c r="AA58" s="89">
        <v>0.8</v>
      </c>
      <c r="AB58" s="89">
        <v>0.09</v>
      </c>
      <c r="AC58" s="89">
        <v>0.03</v>
      </c>
      <c r="AD58" s="89">
        <v>7.999999999999996E-2</v>
      </c>
      <c r="AE58" s="89">
        <v>1</v>
      </c>
      <c r="AF58" s="88">
        <f t="shared" si="2"/>
        <v>1</v>
      </c>
      <c r="AG58" s="750"/>
      <c r="AH58" s="22">
        <v>44562</v>
      </c>
      <c r="AI58" s="22">
        <v>44926</v>
      </c>
      <c r="AJ58" s="61">
        <v>365</v>
      </c>
      <c r="AK58" s="62" t="s">
        <v>60</v>
      </c>
      <c r="AL58" s="62" t="s">
        <v>60</v>
      </c>
      <c r="AM58" s="288">
        <v>7.1400000000000005E-2</v>
      </c>
      <c r="AN58" s="578"/>
      <c r="AO58" s="677"/>
      <c r="AP58" s="579"/>
      <c r="AQ58" s="434"/>
      <c r="AR58" s="434"/>
      <c r="AS58" s="434"/>
      <c r="AT58" s="431"/>
      <c r="AU58" s="434"/>
      <c r="AV58" s="446"/>
      <c r="AW58" s="446"/>
      <c r="AX58" s="446"/>
      <c r="AY58" s="434"/>
      <c r="AZ58" s="19" t="s">
        <v>66</v>
      </c>
      <c r="BA58" s="26" t="s">
        <v>67</v>
      </c>
      <c r="BB58" s="26" t="s">
        <v>68</v>
      </c>
      <c r="BC58" s="26"/>
      <c r="BD58" s="26"/>
    </row>
    <row r="59" spans="1:56" ht="62.25" customHeight="1" thickBot="1" x14ac:dyDescent="0.3">
      <c r="A59" s="470"/>
      <c r="B59" s="470"/>
      <c r="C59" s="473"/>
      <c r="D59" s="652"/>
      <c r="E59" s="473"/>
      <c r="F59" s="531"/>
      <c r="G59" s="535"/>
      <c r="H59" s="535"/>
      <c r="I59" s="535"/>
      <c r="J59" s="535"/>
      <c r="K59" s="471"/>
      <c r="L59" s="471"/>
      <c r="M59" s="471"/>
      <c r="N59" s="612"/>
      <c r="O59" s="612"/>
      <c r="P59" s="612"/>
      <c r="Q59" s="612"/>
      <c r="R59" s="612"/>
      <c r="S59" s="471"/>
      <c r="T59" s="459"/>
      <c r="U59" s="618"/>
      <c r="V59" s="719"/>
      <c r="W59" s="579"/>
      <c r="X59" s="446"/>
      <c r="Y59" s="56" t="s">
        <v>165</v>
      </c>
      <c r="Z59" s="88">
        <v>1</v>
      </c>
      <c r="AA59" s="89">
        <v>0.6</v>
      </c>
      <c r="AB59" s="89">
        <v>0.22</v>
      </c>
      <c r="AC59" s="89">
        <v>0.14000000000000001</v>
      </c>
      <c r="AD59" s="89">
        <v>4.0000000000000036E-2</v>
      </c>
      <c r="AE59" s="89">
        <v>1</v>
      </c>
      <c r="AF59" s="88">
        <f t="shared" si="2"/>
        <v>1</v>
      </c>
      <c r="AG59" s="750"/>
      <c r="AH59" s="22">
        <v>44562</v>
      </c>
      <c r="AI59" s="22">
        <v>44926</v>
      </c>
      <c r="AJ59" s="61">
        <v>365</v>
      </c>
      <c r="AK59" s="62" t="s">
        <v>60</v>
      </c>
      <c r="AL59" s="62" t="s">
        <v>60</v>
      </c>
      <c r="AM59" s="288">
        <v>7.1400000000000005E-2</v>
      </c>
      <c r="AN59" s="578"/>
      <c r="AO59" s="677"/>
      <c r="AP59" s="579"/>
      <c r="AQ59" s="434"/>
      <c r="AR59" s="434"/>
      <c r="AS59" s="434"/>
      <c r="AT59" s="431"/>
      <c r="AU59" s="434"/>
      <c r="AV59" s="446"/>
      <c r="AW59" s="446"/>
      <c r="AX59" s="446"/>
      <c r="AY59" s="434"/>
      <c r="AZ59" s="19" t="s">
        <v>66</v>
      </c>
      <c r="BA59" s="26" t="s">
        <v>67</v>
      </c>
      <c r="BB59" s="26" t="s">
        <v>68</v>
      </c>
      <c r="BC59" s="26"/>
      <c r="BD59" s="26"/>
    </row>
    <row r="60" spans="1:56" ht="85.5" x14ac:dyDescent="0.25">
      <c r="A60" s="470"/>
      <c r="B60" s="470"/>
      <c r="C60" s="473"/>
      <c r="D60" s="652"/>
      <c r="E60" s="473"/>
      <c r="F60" s="531"/>
      <c r="G60" s="533" t="s">
        <v>166</v>
      </c>
      <c r="H60" s="533" t="s">
        <v>54</v>
      </c>
      <c r="I60" s="533" t="s">
        <v>81</v>
      </c>
      <c r="J60" s="533" t="s">
        <v>167</v>
      </c>
      <c r="K60" s="469">
        <v>3</v>
      </c>
      <c r="L60" s="469">
        <v>1</v>
      </c>
      <c r="M60" s="469">
        <v>1.1000000000000001</v>
      </c>
      <c r="N60" s="469">
        <v>0.52</v>
      </c>
      <c r="O60" s="469">
        <v>0.28000000000000003</v>
      </c>
      <c r="P60" s="469">
        <f>0.83-O60-N60</f>
        <v>2.9999999999999916E-2</v>
      </c>
      <c r="Q60" s="469">
        <v>4.4999999999999998E-2</v>
      </c>
      <c r="R60" s="469">
        <f>SUM(N60:Q65)</f>
        <v>0.875</v>
      </c>
      <c r="S60" s="469">
        <f>M60+N60+O60+P60+Q60</f>
        <v>1.9750000000000001</v>
      </c>
      <c r="T60" s="430">
        <f>(N60+O60+P60+Q60)/L60</f>
        <v>0.875</v>
      </c>
      <c r="U60" s="613">
        <f>+S60/K60</f>
        <v>0.65833333333333333</v>
      </c>
      <c r="V60" s="719"/>
      <c r="W60" s="579"/>
      <c r="X60" s="446"/>
      <c r="Y60" s="56" t="s">
        <v>168</v>
      </c>
      <c r="Z60" s="94">
        <v>8</v>
      </c>
      <c r="AA60" s="95">
        <v>6</v>
      </c>
      <c r="AB60" s="95">
        <v>0</v>
      </c>
      <c r="AC60" s="95">
        <v>0</v>
      </c>
      <c r="AD60" s="95">
        <v>1</v>
      </c>
      <c r="AE60" s="95">
        <f>+SUM(AA60:AD60)/Z60</f>
        <v>0.875</v>
      </c>
      <c r="AF60" s="88">
        <f t="shared" si="2"/>
        <v>0.875</v>
      </c>
      <c r="AG60" s="750"/>
      <c r="AH60" s="22">
        <v>44562</v>
      </c>
      <c r="AI60" s="22">
        <v>44926</v>
      </c>
      <c r="AJ60" s="61">
        <v>365</v>
      </c>
      <c r="AK60" s="62" t="s">
        <v>60</v>
      </c>
      <c r="AL60" s="62" t="s">
        <v>60</v>
      </c>
      <c r="AM60" s="288">
        <v>7.1400000000000005E-2</v>
      </c>
      <c r="AN60" s="578"/>
      <c r="AO60" s="677"/>
      <c r="AP60" s="579"/>
      <c r="AQ60" s="434"/>
      <c r="AR60" s="434"/>
      <c r="AS60" s="434"/>
      <c r="AT60" s="431"/>
      <c r="AU60" s="434"/>
      <c r="AV60" s="446"/>
      <c r="AW60" s="446"/>
      <c r="AX60" s="446"/>
      <c r="AY60" s="434"/>
      <c r="AZ60" s="19" t="s">
        <v>66</v>
      </c>
      <c r="BA60" s="26" t="s">
        <v>137</v>
      </c>
      <c r="BB60" s="26" t="s">
        <v>169</v>
      </c>
      <c r="BC60" s="26"/>
      <c r="BD60" s="26"/>
    </row>
    <row r="61" spans="1:56" ht="28.5" x14ac:dyDescent="0.25">
      <c r="A61" s="470"/>
      <c r="B61" s="470"/>
      <c r="C61" s="473"/>
      <c r="D61" s="652"/>
      <c r="E61" s="473"/>
      <c r="F61" s="531"/>
      <c r="G61" s="534"/>
      <c r="H61" s="534"/>
      <c r="I61" s="534"/>
      <c r="J61" s="534"/>
      <c r="K61" s="470"/>
      <c r="L61" s="470"/>
      <c r="M61" s="470"/>
      <c r="N61" s="470"/>
      <c r="O61" s="470"/>
      <c r="P61" s="470"/>
      <c r="Q61" s="470"/>
      <c r="R61" s="470"/>
      <c r="S61" s="470"/>
      <c r="T61" s="431"/>
      <c r="U61" s="614"/>
      <c r="V61" s="719"/>
      <c r="W61" s="579"/>
      <c r="X61" s="446"/>
      <c r="Y61" s="56" t="s">
        <v>170</v>
      </c>
      <c r="Z61" s="94">
        <v>8</v>
      </c>
      <c r="AA61" s="95">
        <v>6</v>
      </c>
      <c r="AB61" s="95">
        <v>0</v>
      </c>
      <c r="AC61" s="95">
        <v>0</v>
      </c>
      <c r="AD61" s="95">
        <v>1</v>
      </c>
      <c r="AE61" s="95">
        <v>7</v>
      </c>
      <c r="AF61" s="88">
        <f t="shared" si="2"/>
        <v>0.875</v>
      </c>
      <c r="AG61" s="750"/>
      <c r="AH61" s="22">
        <v>44562</v>
      </c>
      <c r="AI61" s="22">
        <v>44926</v>
      </c>
      <c r="AJ61" s="61">
        <v>365</v>
      </c>
      <c r="AK61" s="62" t="s">
        <v>60</v>
      </c>
      <c r="AL61" s="62" t="s">
        <v>60</v>
      </c>
      <c r="AM61" s="288">
        <v>7.1400000000000005E-2</v>
      </c>
      <c r="AN61" s="578"/>
      <c r="AO61" s="677"/>
      <c r="AP61" s="579"/>
      <c r="AQ61" s="434"/>
      <c r="AR61" s="434"/>
      <c r="AS61" s="434"/>
      <c r="AT61" s="431"/>
      <c r="AU61" s="434"/>
      <c r="AV61" s="446"/>
      <c r="AW61" s="446"/>
      <c r="AX61" s="446"/>
      <c r="AY61" s="434"/>
      <c r="AZ61" s="19" t="s">
        <v>66</v>
      </c>
      <c r="BA61" s="26" t="s">
        <v>67</v>
      </c>
      <c r="BB61" s="26" t="s">
        <v>68</v>
      </c>
      <c r="BC61" s="26"/>
      <c r="BD61" s="26"/>
    </row>
    <row r="62" spans="1:56" ht="28.5" x14ac:dyDescent="0.25">
      <c r="A62" s="470"/>
      <c r="B62" s="470"/>
      <c r="C62" s="473"/>
      <c r="D62" s="652"/>
      <c r="E62" s="473"/>
      <c r="F62" s="531"/>
      <c r="G62" s="534"/>
      <c r="H62" s="534"/>
      <c r="I62" s="534"/>
      <c r="J62" s="534"/>
      <c r="K62" s="470"/>
      <c r="L62" s="470"/>
      <c r="M62" s="470"/>
      <c r="N62" s="470"/>
      <c r="O62" s="470"/>
      <c r="P62" s="470"/>
      <c r="Q62" s="470"/>
      <c r="R62" s="470"/>
      <c r="S62" s="470"/>
      <c r="T62" s="431"/>
      <c r="U62" s="614"/>
      <c r="V62" s="719"/>
      <c r="W62" s="579"/>
      <c r="X62" s="446"/>
      <c r="Y62" s="56" t="s">
        <v>171</v>
      </c>
      <c r="Z62" s="94">
        <v>8</v>
      </c>
      <c r="AA62" s="95">
        <v>6</v>
      </c>
      <c r="AB62" s="95">
        <v>2</v>
      </c>
      <c r="AC62" s="95">
        <v>0</v>
      </c>
      <c r="AD62" s="95">
        <v>0</v>
      </c>
      <c r="AE62" s="95">
        <v>8</v>
      </c>
      <c r="AF62" s="88">
        <f t="shared" si="2"/>
        <v>1</v>
      </c>
      <c r="AG62" s="750"/>
      <c r="AH62" s="22">
        <v>44562</v>
      </c>
      <c r="AI62" s="22">
        <v>44926</v>
      </c>
      <c r="AJ62" s="61">
        <v>365</v>
      </c>
      <c r="AK62" s="62" t="s">
        <v>60</v>
      </c>
      <c r="AL62" s="62" t="s">
        <v>60</v>
      </c>
      <c r="AM62" s="288">
        <v>7.1400000000000005E-2</v>
      </c>
      <c r="AN62" s="578"/>
      <c r="AO62" s="677"/>
      <c r="AP62" s="579"/>
      <c r="AQ62" s="434"/>
      <c r="AR62" s="434"/>
      <c r="AS62" s="434"/>
      <c r="AT62" s="431"/>
      <c r="AU62" s="434"/>
      <c r="AV62" s="446"/>
      <c r="AW62" s="446"/>
      <c r="AX62" s="446"/>
      <c r="AY62" s="434"/>
      <c r="AZ62" s="19" t="s">
        <v>66</v>
      </c>
      <c r="BA62" s="26" t="s">
        <v>67</v>
      </c>
      <c r="BB62" s="26" t="s">
        <v>68</v>
      </c>
      <c r="BC62" s="26"/>
      <c r="BD62" s="26"/>
    </row>
    <row r="63" spans="1:56" ht="28.5" x14ac:dyDescent="0.25">
      <c r="A63" s="470"/>
      <c r="B63" s="470"/>
      <c r="C63" s="473"/>
      <c r="D63" s="652"/>
      <c r="E63" s="473"/>
      <c r="F63" s="531"/>
      <c r="G63" s="534"/>
      <c r="H63" s="534"/>
      <c r="I63" s="534"/>
      <c r="J63" s="534"/>
      <c r="K63" s="470"/>
      <c r="L63" s="470"/>
      <c r="M63" s="470"/>
      <c r="N63" s="470"/>
      <c r="O63" s="470"/>
      <c r="P63" s="470"/>
      <c r="Q63" s="470"/>
      <c r="R63" s="470"/>
      <c r="S63" s="470"/>
      <c r="T63" s="431"/>
      <c r="U63" s="614"/>
      <c r="V63" s="719"/>
      <c r="W63" s="579"/>
      <c r="X63" s="446"/>
      <c r="Y63" s="56" t="s">
        <v>172</v>
      </c>
      <c r="Z63" s="94">
        <v>8</v>
      </c>
      <c r="AA63" s="95">
        <v>0</v>
      </c>
      <c r="AB63" s="95">
        <v>0</v>
      </c>
      <c r="AC63" s="95">
        <v>8</v>
      </c>
      <c r="AD63" s="95">
        <v>0</v>
      </c>
      <c r="AE63" s="95">
        <v>8</v>
      </c>
      <c r="AF63" s="88">
        <f t="shared" si="2"/>
        <v>1</v>
      </c>
      <c r="AG63" s="750"/>
      <c r="AH63" s="22">
        <v>44562</v>
      </c>
      <c r="AI63" s="22">
        <v>44926</v>
      </c>
      <c r="AJ63" s="61">
        <v>365</v>
      </c>
      <c r="AK63" s="62" t="s">
        <v>60</v>
      </c>
      <c r="AL63" s="62" t="s">
        <v>60</v>
      </c>
      <c r="AM63" s="288">
        <v>7.1400000000000005E-2</v>
      </c>
      <c r="AN63" s="578"/>
      <c r="AO63" s="677"/>
      <c r="AP63" s="579"/>
      <c r="AQ63" s="434"/>
      <c r="AR63" s="434"/>
      <c r="AS63" s="434"/>
      <c r="AT63" s="431"/>
      <c r="AU63" s="434"/>
      <c r="AV63" s="446"/>
      <c r="AW63" s="446"/>
      <c r="AX63" s="446"/>
      <c r="AY63" s="434"/>
      <c r="AZ63" s="19" t="s">
        <v>66</v>
      </c>
      <c r="BA63" s="26" t="s">
        <v>67</v>
      </c>
      <c r="BB63" s="26" t="s">
        <v>68</v>
      </c>
      <c r="BC63" s="26"/>
      <c r="BD63" s="26"/>
    </row>
    <row r="64" spans="1:56" ht="42.75" x14ac:dyDescent="0.25">
      <c r="A64" s="470"/>
      <c r="B64" s="470"/>
      <c r="C64" s="473"/>
      <c r="D64" s="652"/>
      <c r="E64" s="473"/>
      <c r="F64" s="531"/>
      <c r="G64" s="534"/>
      <c r="H64" s="534"/>
      <c r="I64" s="534"/>
      <c r="J64" s="534"/>
      <c r="K64" s="470"/>
      <c r="L64" s="470"/>
      <c r="M64" s="470"/>
      <c r="N64" s="470"/>
      <c r="O64" s="470"/>
      <c r="P64" s="470"/>
      <c r="Q64" s="470"/>
      <c r="R64" s="470"/>
      <c r="S64" s="470"/>
      <c r="T64" s="431"/>
      <c r="U64" s="614"/>
      <c r="V64" s="719"/>
      <c r="W64" s="579"/>
      <c r="X64" s="446"/>
      <c r="Y64" s="56" t="s">
        <v>173</v>
      </c>
      <c r="Z64" s="94">
        <v>8</v>
      </c>
      <c r="AA64" s="95">
        <v>0</v>
      </c>
      <c r="AB64" s="95">
        <v>0</v>
      </c>
      <c r="AC64" s="95">
        <v>0</v>
      </c>
      <c r="AD64" s="95">
        <v>3.6</v>
      </c>
      <c r="AE64" s="95">
        <v>3.6</v>
      </c>
      <c r="AF64" s="88">
        <f t="shared" si="2"/>
        <v>0.45</v>
      </c>
      <c r="AG64" s="750"/>
      <c r="AH64" s="22">
        <v>44562</v>
      </c>
      <c r="AI64" s="22">
        <v>44926</v>
      </c>
      <c r="AJ64" s="61">
        <v>365</v>
      </c>
      <c r="AK64" s="62" t="s">
        <v>60</v>
      </c>
      <c r="AL64" s="62" t="s">
        <v>60</v>
      </c>
      <c r="AM64" s="288">
        <v>7.1400000000000005E-2</v>
      </c>
      <c r="AN64" s="578"/>
      <c r="AO64" s="677"/>
      <c r="AP64" s="579"/>
      <c r="AQ64" s="434"/>
      <c r="AR64" s="434"/>
      <c r="AS64" s="434"/>
      <c r="AT64" s="431"/>
      <c r="AU64" s="434"/>
      <c r="AV64" s="446"/>
      <c r="AW64" s="446"/>
      <c r="AX64" s="446"/>
      <c r="AY64" s="434"/>
      <c r="AZ64" s="19" t="s">
        <v>66</v>
      </c>
      <c r="BA64" s="26" t="s">
        <v>67</v>
      </c>
      <c r="BB64" s="26" t="s">
        <v>68</v>
      </c>
      <c r="BC64" s="26"/>
      <c r="BD64" s="26"/>
    </row>
    <row r="65" spans="1:56" ht="29.25" thickBot="1" x14ac:dyDescent="0.3">
      <c r="A65" s="470"/>
      <c r="B65" s="470"/>
      <c r="C65" s="473"/>
      <c r="D65" s="652"/>
      <c r="E65" s="473"/>
      <c r="F65" s="531"/>
      <c r="G65" s="535"/>
      <c r="H65" s="535"/>
      <c r="I65" s="535"/>
      <c r="J65" s="535"/>
      <c r="K65" s="471"/>
      <c r="L65" s="471"/>
      <c r="M65" s="471"/>
      <c r="N65" s="471"/>
      <c r="O65" s="471"/>
      <c r="P65" s="471"/>
      <c r="Q65" s="471"/>
      <c r="R65" s="471"/>
      <c r="S65" s="471"/>
      <c r="T65" s="459"/>
      <c r="U65" s="618"/>
      <c r="V65" s="719"/>
      <c r="W65" s="579"/>
      <c r="X65" s="446"/>
      <c r="Y65" s="56" t="s">
        <v>74</v>
      </c>
      <c r="Z65" s="94">
        <v>8</v>
      </c>
      <c r="AA65" s="95">
        <v>3</v>
      </c>
      <c r="AB65" s="95">
        <v>3</v>
      </c>
      <c r="AC65" s="95">
        <v>2</v>
      </c>
      <c r="AD65" s="95">
        <v>0</v>
      </c>
      <c r="AE65" s="95">
        <v>8</v>
      </c>
      <c r="AF65" s="88">
        <f t="shared" si="2"/>
        <v>1</v>
      </c>
      <c r="AG65" s="750"/>
      <c r="AH65" s="22">
        <v>44562</v>
      </c>
      <c r="AI65" s="22">
        <v>44926</v>
      </c>
      <c r="AJ65" s="61">
        <v>365</v>
      </c>
      <c r="AK65" s="62" t="s">
        <v>60</v>
      </c>
      <c r="AL65" s="62" t="s">
        <v>60</v>
      </c>
      <c r="AM65" s="288">
        <v>7.1400000000000005E-2</v>
      </c>
      <c r="AN65" s="578"/>
      <c r="AO65" s="677"/>
      <c r="AP65" s="579"/>
      <c r="AQ65" s="434"/>
      <c r="AR65" s="434"/>
      <c r="AS65" s="434"/>
      <c r="AT65" s="431"/>
      <c r="AU65" s="434"/>
      <c r="AV65" s="446"/>
      <c r="AW65" s="446"/>
      <c r="AX65" s="446"/>
      <c r="AY65" s="434"/>
      <c r="AZ65" s="19" t="s">
        <v>66</v>
      </c>
      <c r="BA65" s="26" t="s">
        <v>67</v>
      </c>
      <c r="BB65" s="26" t="s">
        <v>68</v>
      </c>
      <c r="BC65" s="26"/>
      <c r="BD65" s="26"/>
    </row>
    <row r="66" spans="1:56" ht="75" customHeight="1" x14ac:dyDescent="0.25">
      <c r="A66" s="470"/>
      <c r="B66" s="470"/>
      <c r="C66" s="473"/>
      <c r="D66" s="652"/>
      <c r="E66" s="473"/>
      <c r="F66" s="531"/>
      <c r="G66" s="533" t="s">
        <v>174</v>
      </c>
      <c r="H66" s="533" t="s">
        <v>54</v>
      </c>
      <c r="I66" s="533" t="s">
        <v>81</v>
      </c>
      <c r="J66" s="533" t="s">
        <v>175</v>
      </c>
      <c r="K66" s="469">
        <v>3</v>
      </c>
      <c r="L66" s="469">
        <v>1</v>
      </c>
      <c r="M66" s="469">
        <v>0.5</v>
      </c>
      <c r="N66" s="469">
        <v>0.33</v>
      </c>
      <c r="O66" s="469">
        <v>0</v>
      </c>
      <c r="P66" s="469">
        <v>0</v>
      </c>
      <c r="Q66" s="469">
        <v>0</v>
      </c>
      <c r="R66" s="469">
        <f>SUM(N66:Q70)</f>
        <v>0.33</v>
      </c>
      <c r="S66" s="469">
        <f>M66+N66+O66+P66</f>
        <v>0.83000000000000007</v>
      </c>
      <c r="T66" s="430">
        <f>+N66/L66</f>
        <v>0.33</v>
      </c>
      <c r="U66" s="613">
        <f>+S66/K66</f>
        <v>0.27666666666666667</v>
      </c>
      <c r="V66" s="719"/>
      <c r="W66" s="579"/>
      <c r="X66" s="446"/>
      <c r="Y66" s="286" t="s">
        <v>176</v>
      </c>
      <c r="Z66" s="88">
        <v>1</v>
      </c>
      <c r="AA66" s="89">
        <v>0.4</v>
      </c>
      <c r="AB66" s="89">
        <v>0.2</v>
      </c>
      <c r="AC66" s="89">
        <v>0.4</v>
      </c>
      <c r="AD66" s="89">
        <v>0</v>
      </c>
      <c r="AE66" s="89">
        <f t="shared" ref="AE66:AE70" si="3">+SUM(AA66:AD66)/Z66</f>
        <v>1</v>
      </c>
      <c r="AF66" s="88">
        <f t="shared" si="2"/>
        <v>1</v>
      </c>
      <c r="AG66" s="750"/>
      <c r="AH66" s="22">
        <v>44562</v>
      </c>
      <c r="AI66" s="22">
        <v>44926</v>
      </c>
      <c r="AJ66" s="61">
        <v>365</v>
      </c>
      <c r="AK66" s="62" t="s">
        <v>60</v>
      </c>
      <c r="AL66" s="62" t="s">
        <v>60</v>
      </c>
      <c r="AM66" s="288">
        <v>7.1400000000000005E-2</v>
      </c>
      <c r="AN66" s="578"/>
      <c r="AO66" s="677"/>
      <c r="AP66" s="579"/>
      <c r="AQ66" s="434"/>
      <c r="AR66" s="434"/>
      <c r="AS66" s="434"/>
      <c r="AT66" s="431"/>
      <c r="AU66" s="434"/>
      <c r="AV66" s="446"/>
      <c r="AW66" s="446"/>
      <c r="AX66" s="446"/>
      <c r="AY66" s="434"/>
      <c r="AZ66" s="19" t="s">
        <v>66</v>
      </c>
      <c r="BA66" s="26" t="s">
        <v>67</v>
      </c>
      <c r="BB66" s="98" t="s">
        <v>68</v>
      </c>
      <c r="BC66" s="98"/>
      <c r="BD66" s="98"/>
    </row>
    <row r="67" spans="1:56" ht="68.25" customHeight="1" x14ac:dyDescent="0.25">
      <c r="A67" s="470"/>
      <c r="B67" s="470"/>
      <c r="C67" s="473"/>
      <c r="D67" s="652"/>
      <c r="E67" s="473"/>
      <c r="F67" s="531"/>
      <c r="G67" s="534"/>
      <c r="H67" s="534"/>
      <c r="I67" s="534"/>
      <c r="J67" s="534"/>
      <c r="K67" s="470"/>
      <c r="L67" s="470"/>
      <c r="M67" s="470"/>
      <c r="N67" s="470"/>
      <c r="O67" s="470"/>
      <c r="P67" s="470"/>
      <c r="Q67" s="470"/>
      <c r="R67" s="470"/>
      <c r="S67" s="470"/>
      <c r="T67" s="431"/>
      <c r="U67" s="614"/>
      <c r="V67" s="719"/>
      <c r="W67" s="579"/>
      <c r="X67" s="446"/>
      <c r="Y67" s="286" t="s">
        <v>177</v>
      </c>
      <c r="Z67" s="88">
        <v>1</v>
      </c>
      <c r="AA67" s="89">
        <v>0.25</v>
      </c>
      <c r="AB67" s="89">
        <v>0.4</v>
      </c>
      <c r="AC67" s="89">
        <v>6.6E-3</v>
      </c>
      <c r="AD67" s="89">
        <v>0.14000000000000001</v>
      </c>
      <c r="AE67" s="89">
        <f t="shared" si="3"/>
        <v>0.79660000000000009</v>
      </c>
      <c r="AF67" s="88">
        <f t="shared" si="2"/>
        <v>0.79660000000000009</v>
      </c>
      <c r="AG67" s="750"/>
      <c r="AH67" s="22">
        <v>44562</v>
      </c>
      <c r="AI67" s="22">
        <v>44926</v>
      </c>
      <c r="AJ67" s="61">
        <v>365</v>
      </c>
      <c r="AK67" s="62" t="s">
        <v>60</v>
      </c>
      <c r="AL67" s="62" t="s">
        <v>60</v>
      </c>
      <c r="AM67" s="288">
        <v>7.1400000000000005E-2</v>
      </c>
      <c r="AN67" s="578"/>
      <c r="AO67" s="677"/>
      <c r="AP67" s="579"/>
      <c r="AQ67" s="434"/>
      <c r="AR67" s="434"/>
      <c r="AS67" s="434"/>
      <c r="AT67" s="431"/>
      <c r="AU67" s="434"/>
      <c r="AV67" s="446"/>
      <c r="AW67" s="446"/>
      <c r="AX67" s="446"/>
      <c r="AY67" s="434"/>
      <c r="AZ67" s="19" t="s">
        <v>66</v>
      </c>
      <c r="BA67" s="26" t="s">
        <v>67</v>
      </c>
      <c r="BB67" s="98" t="s">
        <v>68</v>
      </c>
      <c r="BC67" s="98"/>
      <c r="BD67" s="98"/>
    </row>
    <row r="68" spans="1:56" ht="45" x14ac:dyDescent="0.25">
      <c r="A68" s="470"/>
      <c r="B68" s="470"/>
      <c r="C68" s="473"/>
      <c r="D68" s="652"/>
      <c r="E68" s="473"/>
      <c r="F68" s="531"/>
      <c r="G68" s="534"/>
      <c r="H68" s="534"/>
      <c r="I68" s="534"/>
      <c r="J68" s="534"/>
      <c r="K68" s="470"/>
      <c r="L68" s="470"/>
      <c r="M68" s="470"/>
      <c r="N68" s="470"/>
      <c r="O68" s="470"/>
      <c r="P68" s="470"/>
      <c r="Q68" s="470"/>
      <c r="R68" s="470"/>
      <c r="S68" s="470"/>
      <c r="T68" s="431"/>
      <c r="U68" s="614"/>
      <c r="V68" s="719"/>
      <c r="W68" s="579"/>
      <c r="X68" s="446"/>
      <c r="Y68" s="286" t="s">
        <v>178</v>
      </c>
      <c r="Z68" s="88">
        <v>1</v>
      </c>
      <c r="AA68" s="89">
        <v>0</v>
      </c>
      <c r="AB68" s="89">
        <v>0</v>
      </c>
      <c r="AC68" s="89">
        <v>0</v>
      </c>
      <c r="AD68" s="89">
        <v>0</v>
      </c>
      <c r="AE68" s="89">
        <f t="shared" si="3"/>
        <v>0</v>
      </c>
      <c r="AF68" s="88">
        <f t="shared" si="2"/>
        <v>0</v>
      </c>
      <c r="AG68" s="750"/>
      <c r="AH68" s="22">
        <v>44562</v>
      </c>
      <c r="AI68" s="22">
        <v>44926</v>
      </c>
      <c r="AJ68" s="61">
        <v>365</v>
      </c>
      <c r="AK68" s="62" t="s">
        <v>60</v>
      </c>
      <c r="AL68" s="62" t="s">
        <v>60</v>
      </c>
      <c r="AM68" s="288">
        <v>7.1400000000000005E-2</v>
      </c>
      <c r="AN68" s="578"/>
      <c r="AO68" s="677"/>
      <c r="AP68" s="579"/>
      <c r="AQ68" s="434"/>
      <c r="AR68" s="434"/>
      <c r="AS68" s="434"/>
      <c r="AT68" s="431"/>
      <c r="AU68" s="434"/>
      <c r="AV68" s="446"/>
      <c r="AW68" s="446"/>
      <c r="AX68" s="446"/>
      <c r="AY68" s="434"/>
      <c r="AZ68" s="19" t="s">
        <v>66</v>
      </c>
      <c r="BA68" s="26" t="s">
        <v>67</v>
      </c>
      <c r="BB68" s="98" t="s">
        <v>68</v>
      </c>
      <c r="BC68" s="98"/>
      <c r="BD68" s="98"/>
    </row>
    <row r="69" spans="1:56" ht="60" x14ac:dyDescent="0.25">
      <c r="A69" s="470"/>
      <c r="B69" s="470"/>
      <c r="C69" s="473"/>
      <c r="D69" s="652"/>
      <c r="E69" s="473"/>
      <c r="F69" s="531"/>
      <c r="G69" s="534"/>
      <c r="H69" s="534"/>
      <c r="I69" s="534"/>
      <c r="J69" s="534"/>
      <c r="K69" s="470"/>
      <c r="L69" s="470"/>
      <c r="M69" s="470"/>
      <c r="N69" s="470"/>
      <c r="O69" s="470"/>
      <c r="P69" s="470"/>
      <c r="Q69" s="470"/>
      <c r="R69" s="470"/>
      <c r="S69" s="470"/>
      <c r="T69" s="431"/>
      <c r="U69" s="614"/>
      <c r="V69" s="719"/>
      <c r="W69" s="579"/>
      <c r="X69" s="446"/>
      <c r="Y69" s="286" t="s">
        <v>179</v>
      </c>
      <c r="Z69" s="88">
        <v>1</v>
      </c>
      <c r="AA69" s="89">
        <v>0.8</v>
      </c>
      <c r="AB69" s="89">
        <v>0.2</v>
      </c>
      <c r="AC69" s="89">
        <v>0</v>
      </c>
      <c r="AD69" s="89">
        <v>0</v>
      </c>
      <c r="AE69" s="89">
        <f t="shared" si="3"/>
        <v>1</v>
      </c>
      <c r="AF69" s="88">
        <f t="shared" si="2"/>
        <v>1</v>
      </c>
      <c r="AG69" s="750"/>
      <c r="AH69" s="22">
        <v>44562</v>
      </c>
      <c r="AI69" s="22">
        <v>44926</v>
      </c>
      <c r="AJ69" s="61">
        <v>365</v>
      </c>
      <c r="AK69" s="62" t="s">
        <v>60</v>
      </c>
      <c r="AL69" s="62" t="s">
        <v>60</v>
      </c>
      <c r="AM69" s="288">
        <v>7.1400000000000005E-2</v>
      </c>
      <c r="AN69" s="578"/>
      <c r="AO69" s="677"/>
      <c r="AP69" s="579"/>
      <c r="AQ69" s="434"/>
      <c r="AR69" s="434"/>
      <c r="AS69" s="434"/>
      <c r="AT69" s="431"/>
      <c r="AU69" s="434"/>
      <c r="AV69" s="446"/>
      <c r="AW69" s="446"/>
      <c r="AX69" s="446"/>
      <c r="AY69" s="434"/>
      <c r="AZ69" s="19" t="s">
        <v>66</v>
      </c>
      <c r="BA69" s="26" t="s">
        <v>67</v>
      </c>
      <c r="BB69" s="98" t="s">
        <v>68</v>
      </c>
      <c r="BC69" s="98"/>
      <c r="BD69" s="98"/>
    </row>
    <row r="70" spans="1:56" ht="30.75" thickBot="1" x14ac:dyDescent="0.3">
      <c r="A70" s="470"/>
      <c r="B70" s="470"/>
      <c r="C70" s="473"/>
      <c r="D70" s="652"/>
      <c r="E70" s="473"/>
      <c r="F70" s="531"/>
      <c r="G70" s="535"/>
      <c r="H70" s="535"/>
      <c r="I70" s="535"/>
      <c r="J70" s="535"/>
      <c r="K70" s="471"/>
      <c r="L70" s="471"/>
      <c r="M70" s="471"/>
      <c r="N70" s="471"/>
      <c r="O70" s="471"/>
      <c r="P70" s="471"/>
      <c r="Q70" s="471"/>
      <c r="R70" s="471"/>
      <c r="S70" s="471"/>
      <c r="T70" s="431"/>
      <c r="U70" s="614"/>
      <c r="V70" s="719"/>
      <c r="W70" s="579"/>
      <c r="X70" s="446"/>
      <c r="Y70" s="381" t="s">
        <v>74</v>
      </c>
      <c r="Z70" s="290">
        <v>1</v>
      </c>
      <c r="AA70" s="319">
        <v>0.2</v>
      </c>
      <c r="AB70" s="319">
        <v>0</v>
      </c>
      <c r="AC70" s="319">
        <v>0</v>
      </c>
      <c r="AD70" s="319">
        <v>0.3</v>
      </c>
      <c r="AE70" s="319">
        <f t="shared" si="3"/>
        <v>0.5</v>
      </c>
      <c r="AF70" s="290">
        <f t="shared" si="2"/>
        <v>0.5</v>
      </c>
      <c r="AG70" s="751"/>
      <c r="AH70" s="22">
        <v>44562</v>
      </c>
      <c r="AI70" s="22">
        <v>44926</v>
      </c>
      <c r="AJ70" s="385">
        <v>365</v>
      </c>
      <c r="AK70" s="62" t="s">
        <v>60</v>
      </c>
      <c r="AL70" s="62" t="s">
        <v>60</v>
      </c>
      <c r="AM70" s="288">
        <v>7.1400000000000005E-2</v>
      </c>
      <c r="AN70" s="578"/>
      <c r="AO70" s="677"/>
      <c r="AP70" s="579"/>
      <c r="AQ70" s="434"/>
      <c r="AR70" s="434"/>
      <c r="AS70" s="434"/>
      <c r="AT70" s="431"/>
      <c r="AU70" s="435"/>
      <c r="AV70" s="447"/>
      <c r="AW70" s="447"/>
      <c r="AX70" s="447"/>
      <c r="AY70" s="435"/>
      <c r="AZ70" s="71" t="s">
        <v>66</v>
      </c>
      <c r="BA70" s="109" t="s">
        <v>67</v>
      </c>
      <c r="BB70" s="109" t="s">
        <v>68</v>
      </c>
      <c r="BC70" s="109"/>
      <c r="BD70" s="109"/>
    </row>
    <row r="71" spans="1:56" ht="69" customHeight="1" thickBot="1" x14ac:dyDescent="0.3">
      <c r="A71" s="470"/>
      <c r="B71" s="470"/>
      <c r="C71" s="473"/>
      <c r="D71" s="652"/>
      <c r="E71" s="473"/>
      <c r="F71" s="531"/>
      <c r="G71" s="378"/>
      <c r="H71" s="379"/>
      <c r="I71" s="379"/>
      <c r="J71" s="379"/>
      <c r="K71" s="316"/>
      <c r="L71" s="316"/>
      <c r="M71" s="316"/>
      <c r="N71" s="316"/>
      <c r="O71" s="316"/>
      <c r="P71" s="316"/>
      <c r="Q71" s="316"/>
      <c r="R71" s="316"/>
      <c r="S71" s="316"/>
      <c r="T71" s="380"/>
      <c r="U71" s="380"/>
      <c r="V71" s="720"/>
      <c r="W71" s="681" t="s">
        <v>471</v>
      </c>
      <c r="X71" s="681"/>
      <c r="Y71" s="681"/>
      <c r="Z71" s="681"/>
      <c r="AA71" s="681"/>
      <c r="AB71" s="681"/>
      <c r="AC71" s="681"/>
      <c r="AD71" s="681"/>
      <c r="AE71" s="681"/>
      <c r="AF71" s="362">
        <f>AVERAGE(AF57:AF70)</f>
        <v>0.82118571428571419</v>
      </c>
      <c r="AG71" s="383"/>
      <c r="AH71" s="60"/>
      <c r="AI71" s="395"/>
      <c r="AJ71" s="385"/>
      <c r="AK71" s="62"/>
      <c r="AL71" s="62"/>
      <c r="AM71" s="288"/>
      <c r="AN71" s="578"/>
      <c r="AO71" s="681" t="s">
        <v>472</v>
      </c>
      <c r="AP71" s="681"/>
      <c r="AQ71" s="681"/>
      <c r="AR71" s="388">
        <f>SUM(AR57)</f>
        <v>250000000</v>
      </c>
      <c r="AS71" s="388">
        <f>SUM(AS57)</f>
        <v>183000000</v>
      </c>
      <c r="AT71" s="366">
        <f>+AS71/AR71</f>
        <v>0.73199999999999998</v>
      </c>
      <c r="AU71" s="387"/>
      <c r="AV71" s="66"/>
      <c r="AW71" s="66"/>
      <c r="AX71" s="66"/>
      <c r="AY71" s="115"/>
      <c r="AZ71" s="71"/>
      <c r="BA71" s="118"/>
      <c r="BB71" s="118"/>
      <c r="BC71" s="118"/>
      <c r="BD71" s="118"/>
    </row>
    <row r="72" spans="1:56" ht="119.25" customHeight="1" thickBot="1" x14ac:dyDescent="0.3">
      <c r="A72" s="470"/>
      <c r="B72" s="470"/>
      <c r="C72" s="473"/>
      <c r="D72" s="652"/>
      <c r="E72" s="473"/>
      <c r="F72" s="532"/>
      <c r="G72" s="551" t="s">
        <v>180</v>
      </c>
      <c r="H72" s="552"/>
      <c r="I72" s="552"/>
      <c r="J72" s="552"/>
      <c r="K72" s="552"/>
      <c r="L72" s="552"/>
      <c r="M72" s="552"/>
      <c r="N72" s="552"/>
      <c r="O72" s="552"/>
      <c r="P72" s="552"/>
      <c r="Q72" s="552"/>
      <c r="R72" s="552"/>
      <c r="S72" s="552"/>
      <c r="T72" s="224">
        <f>AVERAGE(T35:T70)</f>
        <v>0.4597</v>
      </c>
      <c r="U72" s="224">
        <f>AVERAGE(U35:U70)</f>
        <v>0.54803333333333337</v>
      </c>
      <c r="V72" s="369"/>
      <c r="W72" s="681" t="s">
        <v>181</v>
      </c>
      <c r="X72" s="681"/>
      <c r="Y72" s="681"/>
      <c r="Z72" s="681"/>
      <c r="AA72" s="681"/>
      <c r="AB72" s="681"/>
      <c r="AC72" s="681"/>
      <c r="AD72" s="681"/>
      <c r="AE72" s="681"/>
      <c r="AF72" s="382">
        <f>AVERAGE(AF56,AF71)</f>
        <v>0.55382815126050411</v>
      </c>
      <c r="AG72" s="384">
        <f>AVERAGE(AG35:AG70)</f>
        <v>0.55382815126050411</v>
      </c>
      <c r="AH72" s="60"/>
      <c r="AI72" s="395"/>
      <c r="AJ72" s="385"/>
      <c r="AK72" s="62"/>
      <c r="AL72" s="62"/>
      <c r="AM72" s="288"/>
      <c r="AN72" s="578"/>
      <c r="AO72" s="675" t="s">
        <v>441</v>
      </c>
      <c r="AP72" s="501"/>
      <c r="AQ72" s="502"/>
      <c r="AR72" s="389">
        <f>SUM(AR56,AR71)</f>
        <v>428834818</v>
      </c>
      <c r="AS72" s="389">
        <f>SUM(AS56,AS71)</f>
        <v>361834818</v>
      </c>
      <c r="AT72" s="260">
        <f>+AS72/AR72</f>
        <v>0.84376268626583395</v>
      </c>
      <c r="AU72" s="66"/>
      <c r="AV72" s="66"/>
      <c r="AW72" s="66"/>
      <c r="AX72" s="66"/>
      <c r="AY72" s="115"/>
      <c r="AZ72" s="71"/>
      <c r="BA72" s="118"/>
      <c r="BB72" s="118"/>
      <c r="BC72" s="118"/>
      <c r="BD72" s="118"/>
    </row>
    <row r="73" spans="1:56" ht="42.75" customHeight="1" x14ac:dyDescent="0.25">
      <c r="A73" s="470"/>
      <c r="B73" s="470"/>
      <c r="C73" s="473"/>
      <c r="D73" s="652"/>
      <c r="E73" s="473"/>
      <c r="F73" s="523" t="s">
        <v>182</v>
      </c>
      <c r="G73" s="759" t="s">
        <v>183</v>
      </c>
      <c r="H73" s="759" t="s">
        <v>54</v>
      </c>
      <c r="I73" s="761" t="s">
        <v>184</v>
      </c>
      <c r="J73" s="759" t="s">
        <v>185</v>
      </c>
      <c r="K73" s="630">
        <v>10</v>
      </c>
      <c r="L73" s="630">
        <v>2</v>
      </c>
      <c r="M73" s="773">
        <v>3</v>
      </c>
      <c r="N73" s="630">
        <v>2</v>
      </c>
      <c r="O73" s="630">
        <v>0</v>
      </c>
      <c r="P73" s="768">
        <v>0</v>
      </c>
      <c r="Q73" s="768">
        <v>0</v>
      </c>
      <c r="R73" s="768">
        <f>SUM(N73:Q77)</f>
        <v>2</v>
      </c>
      <c r="S73" s="630">
        <f>M73+N73+O73+P73</f>
        <v>5</v>
      </c>
      <c r="T73" s="636">
        <f>+SUM(N73:Q73)/L73</f>
        <v>1</v>
      </c>
      <c r="U73" s="636">
        <f>+S73/K73</f>
        <v>0.5</v>
      </c>
      <c r="V73" s="583" t="s">
        <v>186</v>
      </c>
      <c r="W73" s="586">
        <v>2020130010183</v>
      </c>
      <c r="X73" s="503" t="s">
        <v>187</v>
      </c>
      <c r="Y73" s="62" t="s">
        <v>188</v>
      </c>
      <c r="Z73" s="62">
        <v>1</v>
      </c>
      <c r="AA73" s="62">
        <v>0</v>
      </c>
      <c r="AB73" s="62">
        <v>0.6</v>
      </c>
      <c r="AC73" s="62">
        <v>0</v>
      </c>
      <c r="AD73" s="93">
        <v>0.4</v>
      </c>
      <c r="AE73" s="93">
        <v>1</v>
      </c>
      <c r="AF73" s="88">
        <f t="shared" ref="AF73:AF82" si="4">SUM(AA73:AD73)/Z73</f>
        <v>1</v>
      </c>
      <c r="AG73" s="770">
        <f>AVERAGE(AF73:AF90)</f>
        <v>0.90833333333333344</v>
      </c>
      <c r="AH73" s="22">
        <v>44562</v>
      </c>
      <c r="AI73" s="22">
        <v>44926</v>
      </c>
      <c r="AJ73" s="386">
        <v>365</v>
      </c>
      <c r="AK73" s="121" t="s">
        <v>60</v>
      </c>
      <c r="AL73" s="121" t="s">
        <v>60</v>
      </c>
      <c r="AM73" s="289">
        <v>5.5E-2</v>
      </c>
      <c r="AN73" s="437" t="s">
        <v>61</v>
      </c>
      <c r="AO73" s="578" t="s">
        <v>62</v>
      </c>
      <c r="AP73" s="578" t="s">
        <v>63</v>
      </c>
      <c r="AQ73" s="699"/>
      <c r="AR73" s="700">
        <v>300000000</v>
      </c>
      <c r="AS73" s="726">
        <v>300000000</v>
      </c>
      <c r="AT73" s="430">
        <f>+AS73/AR73</f>
        <v>1</v>
      </c>
      <c r="AU73" s="445" t="s">
        <v>63</v>
      </c>
      <c r="AV73" s="445" t="s">
        <v>64</v>
      </c>
      <c r="AW73" s="586"/>
      <c r="AX73" s="445" t="s">
        <v>65</v>
      </c>
      <c r="AY73" s="433">
        <f>AS73</f>
        <v>300000000</v>
      </c>
      <c r="AZ73" s="41" t="s">
        <v>66</v>
      </c>
      <c r="BA73" s="19" t="s">
        <v>67</v>
      </c>
      <c r="BB73" s="19" t="s">
        <v>68</v>
      </c>
      <c r="BC73" s="19"/>
      <c r="BD73" s="19"/>
    </row>
    <row r="74" spans="1:56" ht="57" x14ac:dyDescent="0.25">
      <c r="A74" s="470"/>
      <c r="B74" s="470"/>
      <c r="C74" s="473"/>
      <c r="D74" s="652"/>
      <c r="E74" s="473"/>
      <c r="F74" s="485"/>
      <c r="G74" s="760"/>
      <c r="H74" s="760"/>
      <c r="I74" s="762"/>
      <c r="J74" s="760"/>
      <c r="K74" s="631"/>
      <c r="L74" s="631"/>
      <c r="M74" s="774"/>
      <c r="N74" s="631"/>
      <c r="O74" s="631"/>
      <c r="P74" s="763"/>
      <c r="Q74" s="763"/>
      <c r="R74" s="763"/>
      <c r="S74" s="631"/>
      <c r="T74" s="637"/>
      <c r="U74" s="637"/>
      <c r="V74" s="584"/>
      <c r="W74" s="587"/>
      <c r="X74" s="587"/>
      <c r="Y74" s="26" t="s">
        <v>189</v>
      </c>
      <c r="Z74" s="26">
        <v>12</v>
      </c>
      <c r="AA74" s="26">
        <v>3</v>
      </c>
      <c r="AB74" s="26">
        <v>3</v>
      </c>
      <c r="AC74" s="26">
        <v>3</v>
      </c>
      <c r="AD74" s="26">
        <v>3</v>
      </c>
      <c r="AE74" s="26">
        <v>12</v>
      </c>
      <c r="AF74" s="88">
        <f t="shared" si="4"/>
        <v>1</v>
      </c>
      <c r="AG74" s="771"/>
      <c r="AH74" s="22">
        <v>44562</v>
      </c>
      <c r="AI74" s="22">
        <v>44926</v>
      </c>
      <c r="AJ74" s="92">
        <v>365</v>
      </c>
      <c r="AK74" s="26" t="s">
        <v>60</v>
      </c>
      <c r="AL74" s="123" t="s">
        <v>60</v>
      </c>
      <c r="AM74" s="289">
        <v>5.5E-2</v>
      </c>
      <c r="AN74" s="437"/>
      <c r="AO74" s="578"/>
      <c r="AP74" s="578"/>
      <c r="AQ74" s="699"/>
      <c r="AR74" s="701"/>
      <c r="AS74" s="712"/>
      <c r="AT74" s="431"/>
      <c r="AU74" s="446"/>
      <c r="AV74" s="446"/>
      <c r="AW74" s="587"/>
      <c r="AX74" s="446"/>
      <c r="AY74" s="434"/>
      <c r="AZ74" s="19" t="s">
        <v>66</v>
      </c>
      <c r="BA74" s="26" t="s">
        <v>67</v>
      </c>
      <c r="BB74" s="26" t="s">
        <v>68</v>
      </c>
      <c r="BC74" s="26"/>
      <c r="BD74" s="26"/>
    </row>
    <row r="75" spans="1:56" ht="28.5" x14ac:dyDescent="0.25">
      <c r="A75" s="470"/>
      <c r="B75" s="470"/>
      <c r="C75" s="473"/>
      <c r="D75" s="652"/>
      <c r="E75" s="473"/>
      <c r="F75" s="485"/>
      <c r="G75" s="760"/>
      <c r="H75" s="760"/>
      <c r="I75" s="762"/>
      <c r="J75" s="760"/>
      <c r="K75" s="631"/>
      <c r="L75" s="631"/>
      <c r="M75" s="774"/>
      <c r="N75" s="631"/>
      <c r="O75" s="631"/>
      <c r="P75" s="763"/>
      <c r="Q75" s="763"/>
      <c r="R75" s="763"/>
      <c r="S75" s="631"/>
      <c r="T75" s="637"/>
      <c r="U75" s="637"/>
      <c r="V75" s="584"/>
      <c r="W75" s="587"/>
      <c r="X75" s="587"/>
      <c r="Y75" s="26" t="s">
        <v>190</v>
      </c>
      <c r="Z75" s="26">
        <v>3</v>
      </c>
      <c r="AA75" s="26">
        <v>3</v>
      </c>
      <c r="AB75" s="26">
        <v>0</v>
      </c>
      <c r="AC75" s="26">
        <v>0</v>
      </c>
      <c r="AD75" s="26">
        <v>0</v>
      </c>
      <c r="AE75" s="26">
        <v>3</v>
      </c>
      <c r="AF75" s="88">
        <f t="shared" si="4"/>
        <v>1</v>
      </c>
      <c r="AG75" s="771"/>
      <c r="AH75" s="22">
        <v>44562</v>
      </c>
      <c r="AI75" s="22">
        <v>44926</v>
      </c>
      <c r="AJ75" s="92">
        <v>365</v>
      </c>
      <c r="AK75" s="26" t="s">
        <v>60</v>
      </c>
      <c r="AL75" s="123" t="s">
        <v>60</v>
      </c>
      <c r="AM75" s="289">
        <v>5.5E-2</v>
      </c>
      <c r="AN75" s="437"/>
      <c r="AO75" s="578"/>
      <c r="AP75" s="578"/>
      <c r="AQ75" s="699"/>
      <c r="AR75" s="701"/>
      <c r="AS75" s="712"/>
      <c r="AT75" s="431"/>
      <c r="AU75" s="446"/>
      <c r="AV75" s="446"/>
      <c r="AW75" s="587"/>
      <c r="AX75" s="446"/>
      <c r="AY75" s="434"/>
      <c r="AZ75" s="19" t="s">
        <v>66</v>
      </c>
      <c r="BA75" s="26" t="s">
        <v>76</v>
      </c>
      <c r="BB75" s="26" t="s">
        <v>77</v>
      </c>
      <c r="BC75" s="26"/>
      <c r="BD75" s="26"/>
    </row>
    <row r="76" spans="1:56" ht="49.5" customHeight="1" x14ac:dyDescent="0.25">
      <c r="A76" s="470"/>
      <c r="B76" s="470"/>
      <c r="C76" s="473"/>
      <c r="D76" s="652"/>
      <c r="E76" s="473"/>
      <c r="F76" s="485"/>
      <c r="G76" s="760"/>
      <c r="H76" s="760"/>
      <c r="I76" s="762"/>
      <c r="J76" s="760"/>
      <c r="K76" s="631"/>
      <c r="L76" s="631"/>
      <c r="M76" s="774"/>
      <c r="N76" s="631"/>
      <c r="O76" s="631"/>
      <c r="P76" s="763"/>
      <c r="Q76" s="763"/>
      <c r="R76" s="763"/>
      <c r="S76" s="631"/>
      <c r="T76" s="637"/>
      <c r="U76" s="637"/>
      <c r="V76" s="584"/>
      <c r="W76" s="587"/>
      <c r="X76" s="587"/>
      <c r="Y76" s="26" t="s">
        <v>191</v>
      </c>
      <c r="Z76" s="26">
        <v>1</v>
      </c>
      <c r="AA76" s="26">
        <v>0.19</v>
      </c>
      <c r="AB76" s="26">
        <v>0.26</v>
      </c>
      <c r="AC76" s="26">
        <v>0.3</v>
      </c>
      <c r="AD76" s="26">
        <v>0.24999999999999994</v>
      </c>
      <c r="AE76" s="26">
        <v>1</v>
      </c>
      <c r="AF76" s="88">
        <f t="shared" si="4"/>
        <v>1</v>
      </c>
      <c r="AG76" s="771"/>
      <c r="AH76" s="22">
        <v>44562</v>
      </c>
      <c r="AI76" s="22">
        <v>44926</v>
      </c>
      <c r="AJ76" s="92">
        <v>365</v>
      </c>
      <c r="AK76" s="26" t="s">
        <v>60</v>
      </c>
      <c r="AL76" s="123" t="s">
        <v>60</v>
      </c>
      <c r="AM76" s="289">
        <v>5.5E-2</v>
      </c>
      <c r="AN76" s="437"/>
      <c r="AO76" s="578"/>
      <c r="AP76" s="578"/>
      <c r="AQ76" s="699"/>
      <c r="AR76" s="701"/>
      <c r="AS76" s="712"/>
      <c r="AT76" s="431"/>
      <c r="AU76" s="446"/>
      <c r="AV76" s="446"/>
      <c r="AW76" s="587"/>
      <c r="AX76" s="446"/>
      <c r="AY76" s="434"/>
      <c r="AZ76" s="19" t="s">
        <v>66</v>
      </c>
      <c r="BA76" s="26" t="s">
        <v>67</v>
      </c>
      <c r="BB76" s="26" t="s">
        <v>68</v>
      </c>
      <c r="BC76" s="26"/>
      <c r="BD76" s="26"/>
    </row>
    <row r="77" spans="1:56" ht="65.25" customHeight="1" x14ac:dyDescent="0.25">
      <c r="A77" s="470"/>
      <c r="B77" s="470"/>
      <c r="C77" s="473"/>
      <c r="D77" s="652"/>
      <c r="E77" s="473"/>
      <c r="F77" s="485"/>
      <c r="G77" s="760"/>
      <c r="H77" s="760"/>
      <c r="I77" s="762"/>
      <c r="J77" s="760"/>
      <c r="K77" s="631"/>
      <c r="L77" s="631"/>
      <c r="M77" s="774"/>
      <c r="N77" s="631"/>
      <c r="O77" s="631"/>
      <c r="P77" s="763"/>
      <c r="Q77" s="763"/>
      <c r="R77" s="763"/>
      <c r="S77" s="631"/>
      <c r="T77" s="637"/>
      <c r="U77" s="637"/>
      <c r="V77" s="584"/>
      <c r="W77" s="587"/>
      <c r="X77" s="587"/>
      <c r="Y77" s="26" t="s">
        <v>74</v>
      </c>
      <c r="Z77" s="26">
        <v>3</v>
      </c>
      <c r="AA77" s="26">
        <v>0</v>
      </c>
      <c r="AB77" s="26">
        <v>1</v>
      </c>
      <c r="AC77" s="26">
        <v>2</v>
      </c>
      <c r="AD77" s="26">
        <v>0</v>
      </c>
      <c r="AE77" s="26">
        <v>6</v>
      </c>
      <c r="AF77" s="88">
        <f t="shared" si="4"/>
        <v>1</v>
      </c>
      <c r="AG77" s="771"/>
      <c r="AH77" s="22">
        <v>44562</v>
      </c>
      <c r="AI77" s="22">
        <v>44926</v>
      </c>
      <c r="AJ77" s="92">
        <v>365</v>
      </c>
      <c r="AK77" s="26" t="s">
        <v>60</v>
      </c>
      <c r="AL77" s="123" t="s">
        <v>60</v>
      </c>
      <c r="AM77" s="289">
        <v>5.5E-2</v>
      </c>
      <c r="AN77" s="437"/>
      <c r="AO77" s="578"/>
      <c r="AP77" s="578"/>
      <c r="AQ77" s="699"/>
      <c r="AR77" s="701"/>
      <c r="AS77" s="712"/>
      <c r="AT77" s="431"/>
      <c r="AU77" s="446"/>
      <c r="AV77" s="446"/>
      <c r="AW77" s="587"/>
      <c r="AX77" s="446"/>
      <c r="AY77" s="434"/>
      <c r="AZ77" s="19" t="s">
        <v>66</v>
      </c>
      <c r="BA77" s="26" t="s">
        <v>67</v>
      </c>
      <c r="BB77" s="26" t="s">
        <v>68</v>
      </c>
      <c r="BC77" s="26"/>
      <c r="BD77" s="26"/>
    </row>
    <row r="78" spans="1:56" ht="58.5" customHeight="1" x14ac:dyDescent="0.25">
      <c r="A78" s="470"/>
      <c r="B78" s="470"/>
      <c r="C78" s="473"/>
      <c r="D78" s="652"/>
      <c r="E78" s="473"/>
      <c r="F78" s="485"/>
      <c r="G78" s="760" t="s">
        <v>192</v>
      </c>
      <c r="H78" s="760" t="s">
        <v>54</v>
      </c>
      <c r="I78" s="760" t="s">
        <v>193</v>
      </c>
      <c r="J78" s="760" t="s">
        <v>194</v>
      </c>
      <c r="K78" s="631">
        <v>1</v>
      </c>
      <c r="L78" s="763">
        <v>0.05</v>
      </c>
      <c r="M78" s="763">
        <v>80</v>
      </c>
      <c r="N78" s="766">
        <v>2.5000000000000001E-3</v>
      </c>
      <c r="O78" s="767">
        <v>1E-3</v>
      </c>
      <c r="P78" s="767">
        <v>0</v>
      </c>
      <c r="Q78" s="767">
        <v>4.65E-2</v>
      </c>
      <c r="R78" s="767">
        <f>SUM(N78:Q79)</f>
        <v>0.05</v>
      </c>
      <c r="S78" s="631">
        <f>(M78+N78+O78+P78+Q78)</f>
        <v>80.05</v>
      </c>
      <c r="T78" s="637">
        <f>(N78+O78+P78+Q78)/L78</f>
        <v>1</v>
      </c>
      <c r="U78" s="637">
        <v>1</v>
      </c>
      <c r="V78" s="584"/>
      <c r="W78" s="587"/>
      <c r="X78" s="587"/>
      <c r="Y78" s="26" t="s">
        <v>195</v>
      </c>
      <c r="Z78" s="26">
        <v>4</v>
      </c>
      <c r="AA78" s="26">
        <v>0.4</v>
      </c>
      <c r="AB78" s="26">
        <v>1.4</v>
      </c>
      <c r="AC78" s="26">
        <v>0</v>
      </c>
      <c r="AD78" s="26">
        <v>2.2000000000000002</v>
      </c>
      <c r="AE78" s="26">
        <v>4</v>
      </c>
      <c r="AF78" s="88">
        <f t="shared" si="4"/>
        <v>1</v>
      </c>
      <c r="AG78" s="771"/>
      <c r="AH78" s="22">
        <v>44562</v>
      </c>
      <c r="AI78" s="22">
        <v>44926</v>
      </c>
      <c r="AJ78" s="92">
        <v>365</v>
      </c>
      <c r="AK78" s="26" t="s">
        <v>60</v>
      </c>
      <c r="AL78" s="123" t="s">
        <v>60</v>
      </c>
      <c r="AM78" s="289">
        <v>5.5E-2</v>
      </c>
      <c r="AN78" s="437"/>
      <c r="AO78" s="578"/>
      <c r="AP78" s="578"/>
      <c r="AQ78" s="699"/>
      <c r="AR78" s="701"/>
      <c r="AS78" s="712"/>
      <c r="AT78" s="431"/>
      <c r="AU78" s="446"/>
      <c r="AV78" s="446"/>
      <c r="AW78" s="587"/>
      <c r="AX78" s="446"/>
      <c r="AY78" s="434"/>
      <c r="AZ78" s="19" t="s">
        <v>66</v>
      </c>
      <c r="BA78" s="26" t="s">
        <v>67</v>
      </c>
      <c r="BB78" s="26" t="s">
        <v>68</v>
      </c>
      <c r="BC78" s="26"/>
      <c r="BD78" s="26"/>
    </row>
    <row r="79" spans="1:56" ht="83.25" customHeight="1" x14ac:dyDescent="0.25">
      <c r="A79" s="470"/>
      <c r="B79" s="470"/>
      <c r="C79" s="473"/>
      <c r="D79" s="652"/>
      <c r="E79" s="473"/>
      <c r="F79" s="485"/>
      <c r="G79" s="760"/>
      <c r="H79" s="760"/>
      <c r="I79" s="760"/>
      <c r="J79" s="760"/>
      <c r="K79" s="631"/>
      <c r="L79" s="763"/>
      <c r="M79" s="763"/>
      <c r="N79" s="766"/>
      <c r="O79" s="767"/>
      <c r="P79" s="767"/>
      <c r="Q79" s="767"/>
      <c r="R79" s="767"/>
      <c r="S79" s="631"/>
      <c r="T79" s="637"/>
      <c r="U79" s="637"/>
      <c r="V79" s="584"/>
      <c r="W79" s="587"/>
      <c r="X79" s="587"/>
      <c r="Y79" s="26" t="s">
        <v>74</v>
      </c>
      <c r="Z79" s="26">
        <v>4</v>
      </c>
      <c r="AA79" s="26">
        <v>0</v>
      </c>
      <c r="AB79" s="26">
        <v>1</v>
      </c>
      <c r="AC79" s="26">
        <v>0</v>
      </c>
      <c r="AD79" s="26">
        <v>3</v>
      </c>
      <c r="AE79" s="26">
        <v>4</v>
      </c>
      <c r="AF79" s="88">
        <f t="shared" si="4"/>
        <v>1</v>
      </c>
      <c r="AG79" s="771"/>
      <c r="AH79" s="22">
        <v>44562</v>
      </c>
      <c r="AI79" s="22">
        <v>44926</v>
      </c>
      <c r="AJ79" s="92">
        <v>365</v>
      </c>
      <c r="AK79" s="26" t="s">
        <v>60</v>
      </c>
      <c r="AL79" s="123" t="s">
        <v>60</v>
      </c>
      <c r="AM79" s="289">
        <v>5.5E-2</v>
      </c>
      <c r="AN79" s="437"/>
      <c r="AO79" s="578"/>
      <c r="AP79" s="578"/>
      <c r="AQ79" s="699"/>
      <c r="AR79" s="701"/>
      <c r="AS79" s="712"/>
      <c r="AT79" s="431"/>
      <c r="AU79" s="446"/>
      <c r="AV79" s="446"/>
      <c r="AW79" s="587"/>
      <c r="AX79" s="446"/>
      <c r="AY79" s="434"/>
      <c r="AZ79" s="19" t="s">
        <v>66</v>
      </c>
      <c r="BA79" s="26" t="s">
        <v>67</v>
      </c>
      <c r="BB79" s="26" t="s">
        <v>68</v>
      </c>
      <c r="BC79" s="26"/>
      <c r="BD79" s="26"/>
    </row>
    <row r="80" spans="1:56" ht="83.25" customHeight="1" x14ac:dyDescent="0.25">
      <c r="A80" s="470"/>
      <c r="B80" s="470"/>
      <c r="C80" s="473"/>
      <c r="D80" s="652"/>
      <c r="E80" s="473"/>
      <c r="F80" s="485"/>
      <c r="G80" s="760" t="s">
        <v>196</v>
      </c>
      <c r="H80" s="760" t="s">
        <v>54</v>
      </c>
      <c r="I80" s="760" t="s">
        <v>81</v>
      </c>
      <c r="J80" s="760" t="s">
        <v>197</v>
      </c>
      <c r="K80" s="631">
        <v>4</v>
      </c>
      <c r="L80" s="631">
        <v>1</v>
      </c>
      <c r="M80" s="631">
        <v>2</v>
      </c>
      <c r="N80" s="763">
        <v>0.19</v>
      </c>
      <c r="O80" s="763">
        <v>0.19</v>
      </c>
      <c r="P80" s="763">
        <v>0.19</v>
      </c>
      <c r="Q80" s="763">
        <v>0.43</v>
      </c>
      <c r="R80" s="763">
        <f>SUM(N80:Q84)</f>
        <v>1</v>
      </c>
      <c r="S80" s="765">
        <f>M80+N80+O80+P80+Q80</f>
        <v>3</v>
      </c>
      <c r="T80" s="637">
        <f>(N80+O80+P80+Q80)/L80</f>
        <v>1</v>
      </c>
      <c r="U80" s="637">
        <f>+S80/K80</f>
        <v>0.75</v>
      </c>
      <c r="V80" s="585"/>
      <c r="W80" s="587"/>
      <c r="X80" s="587"/>
      <c r="Y80" s="26" t="s">
        <v>198</v>
      </c>
      <c r="Z80" s="26">
        <v>12</v>
      </c>
      <c r="AA80" s="26">
        <v>3</v>
      </c>
      <c r="AB80" s="26">
        <v>3</v>
      </c>
      <c r="AC80" s="26">
        <v>2.5</v>
      </c>
      <c r="AD80" s="26">
        <v>3.5</v>
      </c>
      <c r="AE80" s="26">
        <v>12</v>
      </c>
      <c r="AF80" s="88">
        <f t="shared" si="4"/>
        <v>1</v>
      </c>
      <c r="AG80" s="771"/>
      <c r="AH80" s="22">
        <v>44562</v>
      </c>
      <c r="AI80" s="22">
        <v>44926</v>
      </c>
      <c r="AJ80" s="92">
        <v>365</v>
      </c>
      <c r="AK80" s="26" t="s">
        <v>60</v>
      </c>
      <c r="AL80" s="123" t="s">
        <v>60</v>
      </c>
      <c r="AM80" s="289">
        <v>5.5E-2</v>
      </c>
      <c r="AN80" s="437"/>
      <c r="AO80" s="578"/>
      <c r="AP80" s="578"/>
      <c r="AQ80" s="699"/>
      <c r="AR80" s="701"/>
      <c r="AS80" s="712"/>
      <c r="AT80" s="431"/>
      <c r="AU80" s="446"/>
      <c r="AV80" s="446"/>
      <c r="AW80" s="587"/>
      <c r="AX80" s="446"/>
      <c r="AY80" s="434"/>
      <c r="AZ80" s="19" t="s">
        <v>66</v>
      </c>
      <c r="BA80" s="26" t="s">
        <v>67</v>
      </c>
      <c r="BB80" s="26" t="s">
        <v>68</v>
      </c>
      <c r="BC80" s="26"/>
      <c r="BD80" s="26"/>
    </row>
    <row r="81" spans="1:56" ht="51" customHeight="1" thickBot="1" x14ac:dyDescent="0.3">
      <c r="A81" s="470"/>
      <c r="B81" s="470"/>
      <c r="C81" s="473"/>
      <c r="D81" s="652"/>
      <c r="E81" s="473"/>
      <c r="F81" s="485"/>
      <c r="G81" s="760"/>
      <c r="H81" s="760"/>
      <c r="I81" s="760"/>
      <c r="J81" s="760"/>
      <c r="K81" s="631"/>
      <c r="L81" s="631"/>
      <c r="M81" s="631"/>
      <c r="N81" s="763"/>
      <c r="O81" s="763"/>
      <c r="P81" s="763"/>
      <c r="Q81" s="763"/>
      <c r="R81" s="763"/>
      <c r="S81" s="765"/>
      <c r="T81" s="637"/>
      <c r="U81" s="637"/>
      <c r="V81" s="585"/>
      <c r="W81" s="587"/>
      <c r="X81" s="587"/>
      <c r="Y81" s="26" t="s">
        <v>199</v>
      </c>
      <c r="Z81" s="26">
        <v>12</v>
      </c>
      <c r="AA81" s="26">
        <v>3</v>
      </c>
      <c r="AB81" s="26">
        <v>3</v>
      </c>
      <c r="AC81" s="26">
        <v>2.5</v>
      </c>
      <c r="AD81" s="26">
        <v>3.5</v>
      </c>
      <c r="AE81" s="26">
        <v>12</v>
      </c>
      <c r="AF81" s="88">
        <f t="shared" si="4"/>
        <v>1</v>
      </c>
      <c r="AG81" s="771"/>
      <c r="AH81" s="22">
        <v>44562</v>
      </c>
      <c r="AI81" s="22">
        <v>44926</v>
      </c>
      <c r="AJ81" s="92">
        <v>365</v>
      </c>
      <c r="AK81" s="26" t="s">
        <v>60</v>
      </c>
      <c r="AL81" s="123" t="s">
        <v>60</v>
      </c>
      <c r="AM81" s="289">
        <v>5.5E-2</v>
      </c>
      <c r="AN81" s="437"/>
      <c r="AO81" s="578"/>
      <c r="AP81" s="578"/>
      <c r="AQ81" s="699"/>
      <c r="AR81" s="702"/>
      <c r="AS81" s="712"/>
      <c r="AT81" s="431"/>
      <c r="AU81" s="447"/>
      <c r="AV81" s="447"/>
      <c r="AW81" s="587"/>
      <c r="AX81" s="447"/>
      <c r="AY81" s="435"/>
      <c r="AZ81" s="19" t="s">
        <v>66</v>
      </c>
      <c r="BA81" s="26" t="s">
        <v>67</v>
      </c>
      <c r="BB81" s="26" t="s">
        <v>68</v>
      </c>
      <c r="BC81" s="26"/>
      <c r="BD81" s="26"/>
    </row>
    <row r="82" spans="1:56" ht="37.5" hidden="1" customHeight="1" x14ac:dyDescent="0.25">
      <c r="A82" s="470"/>
      <c r="B82" s="470"/>
      <c r="C82" s="473"/>
      <c r="D82" s="652"/>
      <c r="E82" s="473"/>
      <c r="F82" s="485"/>
      <c r="G82" s="760"/>
      <c r="H82" s="760"/>
      <c r="I82" s="760"/>
      <c r="J82" s="760"/>
      <c r="K82" s="631"/>
      <c r="L82" s="631"/>
      <c r="M82" s="631"/>
      <c r="N82" s="763"/>
      <c r="O82" s="763"/>
      <c r="P82" s="763"/>
      <c r="Q82" s="763"/>
      <c r="R82" s="763"/>
      <c r="S82" s="765"/>
      <c r="T82" s="637"/>
      <c r="U82" s="637"/>
      <c r="V82" s="585"/>
      <c r="W82" s="587"/>
      <c r="X82" s="587"/>
      <c r="Y82" s="26" t="s">
        <v>200</v>
      </c>
      <c r="Z82" s="26">
        <v>12</v>
      </c>
      <c r="AA82" s="26">
        <v>3</v>
      </c>
      <c r="AB82" s="26">
        <v>3</v>
      </c>
      <c r="AC82" s="26">
        <v>2.5</v>
      </c>
      <c r="AD82" s="26">
        <v>3.5</v>
      </c>
      <c r="AE82" s="26">
        <v>12</v>
      </c>
      <c r="AF82" s="88">
        <f t="shared" si="4"/>
        <v>1</v>
      </c>
      <c r="AG82" s="771"/>
      <c r="AH82" s="22">
        <v>44562</v>
      </c>
      <c r="AI82" s="22">
        <v>44926</v>
      </c>
      <c r="AJ82" s="92">
        <v>365</v>
      </c>
      <c r="AK82" s="26" t="s">
        <v>60</v>
      </c>
      <c r="AL82" s="123" t="s">
        <v>60</v>
      </c>
      <c r="AM82" s="289">
        <v>5.5E-2</v>
      </c>
      <c r="AN82" s="437"/>
      <c r="AO82" s="578"/>
      <c r="AP82" s="578" t="s">
        <v>73</v>
      </c>
      <c r="AQ82" s="756"/>
      <c r="AR82" s="703">
        <v>900000000</v>
      </c>
      <c r="AS82" s="698">
        <v>0</v>
      </c>
      <c r="AT82" s="490"/>
      <c r="AU82" s="494" t="s">
        <v>73</v>
      </c>
      <c r="AV82" s="446" t="s">
        <v>64</v>
      </c>
      <c r="AW82" s="587"/>
      <c r="AX82" s="446" t="s">
        <v>65</v>
      </c>
      <c r="AY82" s="434">
        <f>AS82</f>
        <v>0</v>
      </c>
      <c r="AZ82" s="19" t="s">
        <v>66</v>
      </c>
      <c r="BA82" s="26" t="s">
        <v>67</v>
      </c>
      <c r="BB82" s="26" t="s">
        <v>68</v>
      </c>
      <c r="BC82" s="26"/>
      <c r="BD82" s="26"/>
    </row>
    <row r="83" spans="1:56" ht="66.75" hidden="1" customHeight="1" x14ac:dyDescent="0.25">
      <c r="A83" s="470"/>
      <c r="B83" s="470"/>
      <c r="C83" s="473"/>
      <c r="D83" s="652"/>
      <c r="E83" s="473"/>
      <c r="F83" s="485"/>
      <c r="G83" s="760"/>
      <c r="H83" s="760"/>
      <c r="I83" s="760"/>
      <c r="J83" s="760"/>
      <c r="K83" s="631"/>
      <c r="L83" s="631"/>
      <c r="M83" s="631"/>
      <c r="N83" s="763"/>
      <c r="O83" s="763"/>
      <c r="P83" s="763"/>
      <c r="Q83" s="763"/>
      <c r="R83" s="763"/>
      <c r="S83" s="765"/>
      <c r="T83" s="637"/>
      <c r="U83" s="637"/>
      <c r="V83" s="585"/>
      <c r="W83" s="587"/>
      <c r="X83" s="587"/>
      <c r="Y83" s="26" t="s">
        <v>201</v>
      </c>
      <c r="Z83" s="26">
        <v>24</v>
      </c>
      <c r="AA83" s="26">
        <v>4</v>
      </c>
      <c r="AB83" s="26">
        <v>11</v>
      </c>
      <c r="AC83" s="26">
        <v>2</v>
      </c>
      <c r="AD83" s="26">
        <v>9</v>
      </c>
      <c r="AE83" s="26">
        <v>26</v>
      </c>
      <c r="AF83" s="88">
        <f>IF((SUM(AA83:AD83)/Z83)&gt;100%,100%,SUM(AA83:AD83)/Z83)</f>
        <v>1</v>
      </c>
      <c r="AG83" s="771"/>
      <c r="AH83" s="22">
        <v>44562</v>
      </c>
      <c r="AI83" s="22">
        <v>44926</v>
      </c>
      <c r="AJ83" s="92">
        <v>365</v>
      </c>
      <c r="AK83" s="26" t="s">
        <v>60</v>
      </c>
      <c r="AL83" s="123" t="s">
        <v>60</v>
      </c>
      <c r="AM83" s="289">
        <v>5.5E-2</v>
      </c>
      <c r="AN83" s="437"/>
      <c r="AO83" s="578"/>
      <c r="AP83" s="578"/>
      <c r="AQ83" s="756"/>
      <c r="AR83" s="704"/>
      <c r="AS83" s="698"/>
      <c r="AT83" s="490"/>
      <c r="AU83" s="579"/>
      <c r="AV83" s="446"/>
      <c r="AW83" s="587"/>
      <c r="AX83" s="446"/>
      <c r="AY83" s="434"/>
      <c r="AZ83" s="19" t="s">
        <v>66</v>
      </c>
      <c r="BA83" s="26" t="s">
        <v>202</v>
      </c>
      <c r="BB83" s="26" t="s">
        <v>169</v>
      </c>
      <c r="BC83" s="26"/>
      <c r="BD83" s="26"/>
    </row>
    <row r="84" spans="1:56" ht="76.5" hidden="1" customHeight="1" x14ac:dyDescent="0.25">
      <c r="A84" s="470"/>
      <c r="B84" s="470"/>
      <c r="C84" s="473"/>
      <c r="D84" s="652"/>
      <c r="E84" s="473"/>
      <c r="F84" s="485"/>
      <c r="G84" s="760"/>
      <c r="H84" s="760"/>
      <c r="I84" s="760"/>
      <c r="J84" s="760"/>
      <c r="K84" s="631"/>
      <c r="L84" s="631"/>
      <c r="M84" s="631"/>
      <c r="N84" s="763"/>
      <c r="O84" s="763"/>
      <c r="P84" s="763"/>
      <c r="Q84" s="763"/>
      <c r="R84" s="763"/>
      <c r="S84" s="765"/>
      <c r="T84" s="637"/>
      <c r="U84" s="637"/>
      <c r="V84" s="585"/>
      <c r="W84" s="587"/>
      <c r="X84" s="587"/>
      <c r="Y84" s="26" t="s">
        <v>203</v>
      </c>
      <c r="Z84" s="26">
        <v>1</v>
      </c>
      <c r="AA84" s="26">
        <v>0</v>
      </c>
      <c r="AB84" s="26">
        <v>0</v>
      </c>
      <c r="AC84" s="26">
        <v>0</v>
      </c>
      <c r="AD84" s="26">
        <v>1</v>
      </c>
      <c r="AE84" s="26">
        <v>1</v>
      </c>
      <c r="AF84" s="88">
        <f t="shared" ref="AF84:AF90" si="5">SUM(AA84:AD84)/Z84</f>
        <v>1</v>
      </c>
      <c r="AG84" s="771"/>
      <c r="AH84" s="22">
        <v>44562</v>
      </c>
      <c r="AI84" s="22">
        <v>44926</v>
      </c>
      <c r="AJ84" s="92">
        <v>365</v>
      </c>
      <c r="AK84" s="26" t="s">
        <v>60</v>
      </c>
      <c r="AL84" s="123" t="s">
        <v>60</v>
      </c>
      <c r="AM84" s="289">
        <v>5.5E-2</v>
      </c>
      <c r="AN84" s="437"/>
      <c r="AO84" s="578"/>
      <c r="AP84" s="578"/>
      <c r="AQ84" s="756"/>
      <c r="AR84" s="704"/>
      <c r="AS84" s="698"/>
      <c r="AT84" s="490"/>
      <c r="AU84" s="579"/>
      <c r="AV84" s="446"/>
      <c r="AW84" s="587"/>
      <c r="AX84" s="446"/>
      <c r="AY84" s="434"/>
      <c r="AZ84" s="19" t="s">
        <v>66</v>
      </c>
      <c r="BA84" s="26" t="s">
        <v>67</v>
      </c>
      <c r="BB84" s="26" t="s">
        <v>68</v>
      </c>
      <c r="BC84" s="26"/>
      <c r="BD84" s="26"/>
    </row>
    <row r="85" spans="1:56" ht="28.5" x14ac:dyDescent="0.25">
      <c r="A85" s="470"/>
      <c r="B85" s="470"/>
      <c r="C85" s="473"/>
      <c r="D85" s="652"/>
      <c r="E85" s="473"/>
      <c r="F85" s="485"/>
      <c r="G85" s="760" t="s">
        <v>204</v>
      </c>
      <c r="H85" s="760" t="s">
        <v>54</v>
      </c>
      <c r="I85" s="760" t="s">
        <v>81</v>
      </c>
      <c r="J85" s="760" t="s">
        <v>205</v>
      </c>
      <c r="K85" s="631">
        <v>3</v>
      </c>
      <c r="L85" s="631">
        <v>3</v>
      </c>
      <c r="M85" s="631">
        <v>0</v>
      </c>
      <c r="N85" s="765">
        <v>0.23</v>
      </c>
      <c r="O85" s="765">
        <v>0.46</v>
      </c>
      <c r="P85" s="765">
        <v>0.3</v>
      </c>
      <c r="Q85" s="765">
        <v>0.44</v>
      </c>
      <c r="R85" s="765">
        <f>SUM(N85:Q87)</f>
        <v>1.43</v>
      </c>
      <c r="S85" s="765">
        <f>M85+N85+O85+P85+Q85</f>
        <v>1.43</v>
      </c>
      <c r="T85" s="637">
        <f>(N85+O85+P85+Q85)/L85</f>
        <v>0.47666666666666663</v>
      </c>
      <c r="U85" s="637">
        <f>+S85/K85</f>
        <v>0.47666666666666663</v>
      </c>
      <c r="V85" s="585"/>
      <c r="W85" s="587"/>
      <c r="X85" s="587"/>
      <c r="Y85" s="26" t="s">
        <v>206</v>
      </c>
      <c r="Z85" s="26">
        <v>1</v>
      </c>
      <c r="AA85" s="26">
        <v>0.2</v>
      </c>
      <c r="AB85" s="26">
        <v>0</v>
      </c>
      <c r="AC85" s="26">
        <v>0</v>
      </c>
      <c r="AD85" s="26">
        <v>0.2</v>
      </c>
      <c r="AE85" s="26">
        <v>0.4</v>
      </c>
      <c r="AF85" s="88">
        <f t="shared" si="5"/>
        <v>0.4</v>
      </c>
      <c r="AG85" s="771"/>
      <c r="AH85" s="22">
        <v>44562</v>
      </c>
      <c r="AI85" s="22">
        <v>44926</v>
      </c>
      <c r="AJ85" s="92">
        <v>365</v>
      </c>
      <c r="AK85" s="26" t="s">
        <v>60</v>
      </c>
      <c r="AL85" s="123" t="s">
        <v>60</v>
      </c>
      <c r="AM85" s="289">
        <v>5.5E-2</v>
      </c>
      <c r="AN85" s="437"/>
      <c r="AO85" s="578"/>
      <c r="AP85" s="578"/>
      <c r="AQ85" s="756"/>
      <c r="AR85" s="704"/>
      <c r="AS85" s="698"/>
      <c r="AT85" s="490"/>
      <c r="AU85" s="579"/>
      <c r="AV85" s="446"/>
      <c r="AW85" s="587"/>
      <c r="AX85" s="446"/>
      <c r="AY85" s="434"/>
      <c r="AZ85" s="19" t="s">
        <v>66</v>
      </c>
      <c r="BA85" s="26" t="s">
        <v>67</v>
      </c>
      <c r="BB85" s="26" t="s">
        <v>68</v>
      </c>
      <c r="BC85" s="26"/>
      <c r="BD85" s="26"/>
    </row>
    <row r="86" spans="1:56" ht="28.5" x14ac:dyDescent="0.25">
      <c r="A86" s="470"/>
      <c r="B86" s="470"/>
      <c r="C86" s="473"/>
      <c r="D86" s="652"/>
      <c r="E86" s="473"/>
      <c r="F86" s="485"/>
      <c r="G86" s="760"/>
      <c r="H86" s="760"/>
      <c r="I86" s="760"/>
      <c r="J86" s="760"/>
      <c r="K86" s="631"/>
      <c r="L86" s="631"/>
      <c r="M86" s="631"/>
      <c r="N86" s="765"/>
      <c r="O86" s="765"/>
      <c r="P86" s="765"/>
      <c r="Q86" s="765"/>
      <c r="R86" s="765"/>
      <c r="S86" s="765"/>
      <c r="T86" s="637"/>
      <c r="U86" s="637"/>
      <c r="V86" s="585"/>
      <c r="W86" s="587"/>
      <c r="X86" s="587"/>
      <c r="Y86" s="26" t="s">
        <v>207</v>
      </c>
      <c r="Z86" s="26">
        <v>1</v>
      </c>
      <c r="AA86" s="26">
        <v>0.2</v>
      </c>
      <c r="AB86" s="26">
        <v>0</v>
      </c>
      <c r="AC86" s="26">
        <v>0</v>
      </c>
      <c r="AD86" s="26">
        <v>9.9999999999999978E-2</v>
      </c>
      <c r="AE86" s="26">
        <v>0.3</v>
      </c>
      <c r="AF86" s="88">
        <f t="shared" si="5"/>
        <v>0.3</v>
      </c>
      <c r="AG86" s="771"/>
      <c r="AH86" s="22">
        <v>44562</v>
      </c>
      <c r="AI86" s="22">
        <v>44926</v>
      </c>
      <c r="AJ86" s="92">
        <v>365</v>
      </c>
      <c r="AK86" s="26" t="s">
        <v>60</v>
      </c>
      <c r="AL86" s="123" t="s">
        <v>60</v>
      </c>
      <c r="AM86" s="289">
        <v>5.5E-2</v>
      </c>
      <c r="AN86" s="437"/>
      <c r="AO86" s="578"/>
      <c r="AP86" s="578"/>
      <c r="AQ86" s="756"/>
      <c r="AR86" s="704"/>
      <c r="AS86" s="698"/>
      <c r="AT86" s="490"/>
      <c r="AU86" s="579"/>
      <c r="AV86" s="446"/>
      <c r="AW86" s="587"/>
      <c r="AX86" s="446"/>
      <c r="AY86" s="434"/>
      <c r="AZ86" s="19" t="s">
        <v>66</v>
      </c>
      <c r="BA86" s="26" t="s">
        <v>67</v>
      </c>
      <c r="BB86" s="26" t="s">
        <v>68</v>
      </c>
      <c r="BC86" s="26"/>
      <c r="BD86" s="26"/>
    </row>
    <row r="87" spans="1:56" ht="28.5" x14ac:dyDescent="0.25">
      <c r="A87" s="470"/>
      <c r="B87" s="470"/>
      <c r="C87" s="473"/>
      <c r="D87" s="652"/>
      <c r="E87" s="473"/>
      <c r="F87" s="485"/>
      <c r="G87" s="760"/>
      <c r="H87" s="760"/>
      <c r="I87" s="760"/>
      <c r="J87" s="760"/>
      <c r="K87" s="631"/>
      <c r="L87" s="631"/>
      <c r="M87" s="631"/>
      <c r="N87" s="765"/>
      <c r="O87" s="765"/>
      <c r="P87" s="765"/>
      <c r="Q87" s="765"/>
      <c r="R87" s="765"/>
      <c r="S87" s="765"/>
      <c r="T87" s="637"/>
      <c r="U87" s="637"/>
      <c r="V87" s="585"/>
      <c r="W87" s="587"/>
      <c r="X87" s="587"/>
      <c r="Y87" s="26" t="s">
        <v>208</v>
      </c>
      <c r="Z87" s="26">
        <v>4</v>
      </c>
      <c r="AA87" s="26">
        <v>2</v>
      </c>
      <c r="AB87" s="26">
        <v>0</v>
      </c>
      <c r="AC87" s="26">
        <v>0</v>
      </c>
      <c r="AD87" s="26">
        <v>1</v>
      </c>
      <c r="AE87" s="26">
        <v>3</v>
      </c>
      <c r="AF87" s="88">
        <f t="shared" si="5"/>
        <v>0.75</v>
      </c>
      <c r="AG87" s="771"/>
      <c r="AH87" s="22">
        <v>44562</v>
      </c>
      <c r="AI87" s="22">
        <v>44926</v>
      </c>
      <c r="AJ87" s="92">
        <v>365</v>
      </c>
      <c r="AK87" s="26" t="s">
        <v>60</v>
      </c>
      <c r="AL87" s="123" t="s">
        <v>60</v>
      </c>
      <c r="AM87" s="289">
        <v>5.5E-2</v>
      </c>
      <c r="AN87" s="437"/>
      <c r="AO87" s="578"/>
      <c r="AP87" s="755"/>
      <c r="AQ87" s="757"/>
      <c r="AR87" s="704"/>
      <c r="AS87" s="698"/>
      <c r="AT87" s="490"/>
      <c r="AU87" s="579"/>
      <c r="AV87" s="446"/>
      <c r="AW87" s="587"/>
      <c r="AX87" s="446"/>
      <c r="AY87" s="434"/>
      <c r="AZ87" s="19" t="s">
        <v>66</v>
      </c>
      <c r="BA87" s="26" t="s">
        <v>67</v>
      </c>
      <c r="BB87" s="26" t="s">
        <v>68</v>
      </c>
      <c r="BC87" s="26"/>
      <c r="BD87" s="26"/>
    </row>
    <row r="88" spans="1:56" ht="69.75" customHeight="1" x14ac:dyDescent="0.25">
      <c r="A88" s="470"/>
      <c r="B88" s="470"/>
      <c r="C88" s="473"/>
      <c r="D88" s="652"/>
      <c r="E88" s="473"/>
      <c r="F88" s="485"/>
      <c r="G88" s="460" t="s">
        <v>209</v>
      </c>
      <c r="H88" s="460" t="s">
        <v>54</v>
      </c>
      <c r="I88" s="460" t="s">
        <v>81</v>
      </c>
      <c r="J88" s="460" t="s">
        <v>210</v>
      </c>
      <c r="K88" s="590">
        <v>1</v>
      </c>
      <c r="L88" s="764">
        <v>0.25</v>
      </c>
      <c r="M88" s="637">
        <v>0.46</v>
      </c>
      <c r="N88" s="769">
        <v>0</v>
      </c>
      <c r="O88" s="769">
        <v>0</v>
      </c>
      <c r="P88" s="769">
        <v>0.2</v>
      </c>
      <c r="Q88" s="769">
        <v>4.2999999999999997E-2</v>
      </c>
      <c r="R88" s="769">
        <f>SUM(N88:Q90)</f>
        <v>0.24299999999999999</v>
      </c>
      <c r="S88" s="777">
        <f>M88+N88+O88+P88+Q88</f>
        <v>0.70300000000000007</v>
      </c>
      <c r="T88" s="637">
        <f>(N88+O88+P88+Q88)/0.25</f>
        <v>0.97199999999999998</v>
      </c>
      <c r="U88" s="637">
        <f>+S88/K88</f>
        <v>0.70300000000000007</v>
      </c>
      <c r="V88" s="585"/>
      <c r="W88" s="587"/>
      <c r="X88" s="587"/>
      <c r="Y88" s="26" t="s">
        <v>211</v>
      </c>
      <c r="Z88" s="26">
        <v>1</v>
      </c>
      <c r="AA88" s="26">
        <v>0</v>
      </c>
      <c r="AB88" s="26">
        <v>0</v>
      </c>
      <c r="AC88" s="26">
        <v>0.6</v>
      </c>
      <c r="AD88" s="26">
        <v>0.30000000000000004</v>
      </c>
      <c r="AE88" s="26">
        <v>0.9</v>
      </c>
      <c r="AF88" s="88">
        <f t="shared" si="5"/>
        <v>0.9</v>
      </c>
      <c r="AG88" s="771"/>
      <c r="AH88" s="22">
        <v>44562</v>
      </c>
      <c r="AI88" s="22">
        <v>44926</v>
      </c>
      <c r="AJ88" s="92">
        <v>365</v>
      </c>
      <c r="AK88" s="26" t="s">
        <v>60</v>
      </c>
      <c r="AL88" s="123" t="s">
        <v>60</v>
      </c>
      <c r="AM88" s="289">
        <v>5.5E-2</v>
      </c>
      <c r="AN88" s="437"/>
      <c r="AO88" s="578"/>
      <c r="AP88" s="578" t="s">
        <v>474</v>
      </c>
      <c r="AQ88" s="699"/>
      <c r="AR88" s="699">
        <v>599999999.88999999</v>
      </c>
      <c r="AS88" s="711"/>
      <c r="AT88" s="431"/>
      <c r="AU88" s="446" t="s">
        <v>296</v>
      </c>
      <c r="AV88" s="446"/>
      <c r="AW88" s="587"/>
      <c r="AX88" s="446"/>
      <c r="AY88" s="434"/>
      <c r="AZ88" s="19" t="s">
        <v>66</v>
      </c>
      <c r="BA88" s="26" t="s">
        <v>67</v>
      </c>
      <c r="BB88" s="26" t="s">
        <v>68</v>
      </c>
      <c r="BC88" s="26"/>
      <c r="BD88" s="26"/>
    </row>
    <row r="89" spans="1:56" ht="65.25" customHeight="1" x14ac:dyDescent="0.25">
      <c r="A89" s="470"/>
      <c r="B89" s="470"/>
      <c r="C89" s="473"/>
      <c r="D89" s="652"/>
      <c r="E89" s="473"/>
      <c r="F89" s="485"/>
      <c r="G89" s="460"/>
      <c r="H89" s="460"/>
      <c r="I89" s="460"/>
      <c r="J89" s="460"/>
      <c r="K89" s="590"/>
      <c r="L89" s="764"/>
      <c r="M89" s="637"/>
      <c r="N89" s="769"/>
      <c r="O89" s="769"/>
      <c r="P89" s="769"/>
      <c r="Q89" s="769"/>
      <c r="R89" s="769"/>
      <c r="S89" s="777"/>
      <c r="T89" s="637"/>
      <c r="U89" s="637"/>
      <c r="V89" s="585"/>
      <c r="W89" s="587"/>
      <c r="X89" s="587"/>
      <c r="Y89" s="26" t="s">
        <v>212</v>
      </c>
      <c r="Z89" s="26">
        <v>1</v>
      </c>
      <c r="AA89" s="26">
        <v>0</v>
      </c>
      <c r="AB89" s="26">
        <v>0</v>
      </c>
      <c r="AC89" s="26">
        <v>0</v>
      </c>
      <c r="AD89" s="26">
        <v>1</v>
      </c>
      <c r="AE89" s="26">
        <v>1</v>
      </c>
      <c r="AF89" s="88">
        <f t="shared" si="5"/>
        <v>1</v>
      </c>
      <c r="AG89" s="771"/>
      <c r="AH89" s="22">
        <v>44562</v>
      </c>
      <c r="AI89" s="22">
        <v>44926</v>
      </c>
      <c r="AJ89" s="92">
        <v>365</v>
      </c>
      <c r="AK89" s="26" t="s">
        <v>60</v>
      </c>
      <c r="AL89" s="123" t="s">
        <v>60</v>
      </c>
      <c r="AM89" s="289">
        <v>5.5E-2</v>
      </c>
      <c r="AN89" s="437"/>
      <c r="AO89" s="578"/>
      <c r="AP89" s="578"/>
      <c r="AQ89" s="699"/>
      <c r="AR89" s="699"/>
      <c r="AS89" s="711"/>
      <c r="AT89" s="431"/>
      <c r="AU89" s="446"/>
      <c r="AV89" s="446"/>
      <c r="AW89" s="587"/>
      <c r="AX89" s="446"/>
      <c r="AY89" s="434"/>
      <c r="AZ89" s="19" t="s">
        <v>66</v>
      </c>
      <c r="BA89" s="26" t="s">
        <v>67</v>
      </c>
      <c r="BB89" s="26" t="s">
        <v>68</v>
      </c>
      <c r="BC89" s="26"/>
      <c r="BD89" s="26"/>
    </row>
    <row r="90" spans="1:56" ht="48.75" customHeight="1" thickBot="1" x14ac:dyDescent="0.3">
      <c r="A90" s="470"/>
      <c r="B90" s="470"/>
      <c r="C90" s="473"/>
      <c r="D90" s="652"/>
      <c r="E90" s="473"/>
      <c r="F90" s="485"/>
      <c r="G90" s="460"/>
      <c r="H90" s="460"/>
      <c r="I90" s="460"/>
      <c r="J90" s="460"/>
      <c r="K90" s="590"/>
      <c r="L90" s="764"/>
      <c r="M90" s="637"/>
      <c r="N90" s="769"/>
      <c r="O90" s="769"/>
      <c r="P90" s="769"/>
      <c r="Q90" s="769"/>
      <c r="R90" s="769"/>
      <c r="S90" s="777"/>
      <c r="T90" s="637"/>
      <c r="U90" s="637"/>
      <c r="V90" s="775"/>
      <c r="W90" s="776"/>
      <c r="X90" s="505"/>
      <c r="Y90" s="262" t="s">
        <v>213</v>
      </c>
      <c r="Z90" s="262">
        <v>1</v>
      </c>
      <c r="AA90" s="262">
        <v>0</v>
      </c>
      <c r="AB90" s="262">
        <v>0</v>
      </c>
      <c r="AC90" s="262">
        <v>0</v>
      </c>
      <c r="AD90" s="106">
        <v>1</v>
      </c>
      <c r="AE90" s="33">
        <v>1</v>
      </c>
      <c r="AF90" s="290">
        <f t="shared" si="5"/>
        <v>1</v>
      </c>
      <c r="AG90" s="772"/>
      <c r="AH90" s="60">
        <v>44562</v>
      </c>
      <c r="AI90" s="60">
        <v>44926</v>
      </c>
      <c r="AJ90" s="61">
        <v>365</v>
      </c>
      <c r="AK90" s="126" t="s">
        <v>60</v>
      </c>
      <c r="AL90" s="126" t="s">
        <v>60</v>
      </c>
      <c r="AM90" s="291">
        <v>5.5E-2</v>
      </c>
      <c r="AN90" s="438"/>
      <c r="AO90" s="578"/>
      <c r="AP90" s="578"/>
      <c r="AQ90" s="699"/>
      <c r="AR90" s="699"/>
      <c r="AS90" s="758"/>
      <c r="AT90" s="459"/>
      <c r="AU90" s="447"/>
      <c r="AV90" s="447"/>
      <c r="AW90" s="588"/>
      <c r="AX90" s="447"/>
      <c r="AY90" s="435"/>
      <c r="AZ90" s="38" t="s">
        <v>66</v>
      </c>
      <c r="BA90" s="44" t="s">
        <v>67</v>
      </c>
      <c r="BB90" s="44" t="s">
        <v>68</v>
      </c>
      <c r="BC90" s="44"/>
      <c r="BD90" s="44"/>
    </row>
    <row r="91" spans="1:56" ht="111" customHeight="1" thickBot="1" x14ac:dyDescent="0.3">
      <c r="A91" s="470"/>
      <c r="B91" s="470"/>
      <c r="C91" s="473"/>
      <c r="D91" s="652"/>
      <c r="E91" s="473"/>
      <c r="F91" s="524"/>
      <c r="G91" s="428" t="s">
        <v>214</v>
      </c>
      <c r="H91" s="428"/>
      <c r="I91" s="428"/>
      <c r="J91" s="428"/>
      <c r="K91" s="428"/>
      <c r="L91" s="428"/>
      <c r="M91" s="428"/>
      <c r="N91" s="428"/>
      <c r="O91" s="428"/>
      <c r="P91" s="428"/>
      <c r="Q91" s="428"/>
      <c r="R91" s="428"/>
      <c r="S91" s="428"/>
      <c r="T91" s="225">
        <f>AVERAGE(T73:T90)</f>
        <v>0.88973333333333327</v>
      </c>
      <c r="U91" s="261">
        <f>AVERAGE(U73:U90)</f>
        <v>0.68593333333333339</v>
      </c>
      <c r="V91" s="722" t="s">
        <v>442</v>
      </c>
      <c r="W91" s="723"/>
      <c r="X91" s="723"/>
      <c r="Y91" s="723"/>
      <c r="Z91" s="723"/>
      <c r="AA91" s="723"/>
      <c r="AB91" s="723"/>
      <c r="AC91" s="723"/>
      <c r="AD91" s="723"/>
      <c r="AE91" s="723"/>
      <c r="AF91" s="724"/>
      <c r="AG91" s="405">
        <f>AVERAGE(AG72:AG90)</f>
        <v>0.73108074229691877</v>
      </c>
      <c r="AH91" s="60"/>
      <c r="AI91" s="60"/>
      <c r="AJ91" s="61"/>
      <c r="AK91" s="184"/>
      <c r="AL91" s="131"/>
      <c r="AM91" s="291"/>
      <c r="AN91" s="239"/>
      <c r="AO91" s="66"/>
      <c r="AP91" s="678" t="s">
        <v>475</v>
      </c>
      <c r="AQ91" s="679"/>
      <c r="AR91" s="115">
        <f>SUM(AR73:AR90)</f>
        <v>1799999999.8899999</v>
      </c>
      <c r="AS91" s="392">
        <f>SUM(AS73:AS90)</f>
        <v>300000000</v>
      </c>
      <c r="AT91" s="391">
        <f>+AS91/AR91</f>
        <v>0.16666666667685187</v>
      </c>
      <c r="AU91" s="66"/>
      <c r="AV91" s="66"/>
      <c r="AW91" s="67"/>
      <c r="AX91" s="66"/>
      <c r="AY91" s="115"/>
      <c r="AZ91" s="71"/>
      <c r="BA91" s="71"/>
      <c r="BB91" s="71"/>
      <c r="BC91" s="71"/>
      <c r="BD91" s="71"/>
    </row>
    <row r="92" spans="1:56" ht="89.25" customHeight="1" thickBot="1" x14ac:dyDescent="0.3">
      <c r="A92" s="470"/>
      <c r="B92" s="470"/>
      <c r="C92" s="473"/>
      <c r="D92" s="652"/>
      <c r="E92" s="473"/>
      <c r="F92" s="530" t="s">
        <v>215</v>
      </c>
      <c r="G92" s="573" t="s">
        <v>216</v>
      </c>
      <c r="H92" s="573" t="s">
        <v>54</v>
      </c>
      <c r="I92" s="582" t="s">
        <v>81</v>
      </c>
      <c r="J92" s="534" t="s">
        <v>217</v>
      </c>
      <c r="K92" s="479">
        <v>25</v>
      </c>
      <c r="L92" s="470">
        <v>7</v>
      </c>
      <c r="M92" s="470">
        <v>11</v>
      </c>
      <c r="N92" s="470">
        <v>7</v>
      </c>
      <c r="O92" s="470">
        <v>0</v>
      </c>
      <c r="P92" s="470">
        <v>0</v>
      </c>
      <c r="Q92" s="707">
        <v>0</v>
      </c>
      <c r="R92" s="200">
        <f>SUM(N92:Q93)</f>
        <v>7</v>
      </c>
      <c r="S92" s="470">
        <f>M92+N92</f>
        <v>18</v>
      </c>
      <c r="T92" s="431">
        <f>+N92/L92</f>
        <v>1</v>
      </c>
      <c r="U92" s="431">
        <f>+S92/K92</f>
        <v>0.72</v>
      </c>
      <c r="V92" s="470" t="s">
        <v>218</v>
      </c>
      <c r="W92" s="437">
        <v>2020130010201</v>
      </c>
      <c r="X92" s="437" t="s">
        <v>219</v>
      </c>
      <c r="Y92" s="19" t="s">
        <v>220</v>
      </c>
      <c r="Z92" s="19">
        <v>7</v>
      </c>
      <c r="AA92" s="263">
        <v>0.4</v>
      </c>
      <c r="AB92" s="263">
        <v>0.4</v>
      </c>
      <c r="AC92" s="263">
        <v>0</v>
      </c>
      <c r="AD92" s="327">
        <v>0.19999999999999996</v>
      </c>
      <c r="AE92" s="81">
        <v>1</v>
      </c>
      <c r="AF92" s="263">
        <f>SUM(AA92:AD92)</f>
        <v>1</v>
      </c>
      <c r="AG92" s="778">
        <f>AVERAGE(AF92:AF107)</f>
        <v>1</v>
      </c>
      <c r="AH92" s="22">
        <v>44562</v>
      </c>
      <c r="AI92" s="22">
        <v>44926</v>
      </c>
      <c r="AJ92" s="145">
        <v>365</v>
      </c>
      <c r="AK92" s="41" t="s">
        <v>60</v>
      </c>
      <c r="AL92" s="86" t="s">
        <v>60</v>
      </c>
      <c r="AM92" s="292">
        <v>6.25E-2</v>
      </c>
      <c r="AN92" s="577" t="s">
        <v>221</v>
      </c>
      <c r="AO92" s="494" t="s">
        <v>62</v>
      </c>
      <c r="AP92" s="436" t="s">
        <v>63</v>
      </c>
      <c r="AQ92" s="699"/>
      <c r="AR92" s="699"/>
      <c r="AS92" s="698"/>
      <c r="AT92" s="490"/>
      <c r="AU92" s="494" t="s">
        <v>63</v>
      </c>
      <c r="AV92" s="445" t="s">
        <v>64</v>
      </c>
      <c r="AW92" s="437"/>
      <c r="AX92" s="445" t="s">
        <v>65</v>
      </c>
      <c r="AY92" s="433">
        <f>AS92</f>
        <v>0</v>
      </c>
      <c r="AZ92" s="19" t="s">
        <v>66</v>
      </c>
      <c r="BA92" s="41" t="s">
        <v>67</v>
      </c>
      <c r="BB92" s="41" t="s">
        <v>68</v>
      </c>
      <c r="BC92" s="41"/>
      <c r="BD92" s="431" t="s">
        <v>414</v>
      </c>
    </row>
    <row r="93" spans="1:56" ht="81" hidden="1" customHeight="1" thickBot="1" x14ac:dyDescent="0.3">
      <c r="A93" s="470"/>
      <c r="B93" s="470"/>
      <c r="C93" s="473"/>
      <c r="D93" s="652"/>
      <c r="E93" s="473"/>
      <c r="F93" s="531"/>
      <c r="G93" s="573"/>
      <c r="H93" s="573"/>
      <c r="I93" s="582"/>
      <c r="J93" s="534"/>
      <c r="K93" s="479"/>
      <c r="L93" s="471"/>
      <c r="M93" s="471"/>
      <c r="N93" s="471"/>
      <c r="O93" s="471"/>
      <c r="P93" s="471"/>
      <c r="Q93" s="471"/>
      <c r="R93" s="390"/>
      <c r="S93" s="471"/>
      <c r="T93" s="459"/>
      <c r="U93" s="459"/>
      <c r="V93" s="470"/>
      <c r="W93" s="437"/>
      <c r="X93" s="437"/>
      <c r="Y93" s="26" t="s">
        <v>222</v>
      </c>
      <c r="Z93" s="26">
        <v>1</v>
      </c>
      <c r="AA93" s="26">
        <v>0</v>
      </c>
      <c r="AB93" s="88">
        <v>0.4</v>
      </c>
      <c r="AC93" s="88">
        <v>0</v>
      </c>
      <c r="AD93" s="320">
        <v>0.6</v>
      </c>
      <c r="AE93" s="329">
        <v>1</v>
      </c>
      <c r="AF93" s="293">
        <f t="shared" ref="AF93:AF127" si="6">SUM(AA93:AD93)</f>
        <v>1</v>
      </c>
      <c r="AG93" s="779"/>
      <c r="AH93" s="22">
        <v>44562</v>
      </c>
      <c r="AI93" s="22">
        <v>44926</v>
      </c>
      <c r="AJ93" s="92">
        <v>365</v>
      </c>
      <c r="AK93" s="26" t="s">
        <v>60</v>
      </c>
      <c r="AL93" s="93" t="s">
        <v>60</v>
      </c>
      <c r="AM93" s="294">
        <v>6.25E-2</v>
      </c>
      <c r="AN93" s="578"/>
      <c r="AO93" s="579"/>
      <c r="AP93" s="437"/>
      <c r="AQ93" s="699"/>
      <c r="AR93" s="699"/>
      <c r="AS93" s="698"/>
      <c r="AT93" s="490"/>
      <c r="AU93" s="579"/>
      <c r="AV93" s="446"/>
      <c r="AW93" s="437"/>
      <c r="AX93" s="446"/>
      <c r="AY93" s="434"/>
      <c r="AZ93" s="19" t="s">
        <v>66</v>
      </c>
      <c r="BA93" s="26" t="s">
        <v>67</v>
      </c>
      <c r="BB93" s="26" t="s">
        <v>68</v>
      </c>
      <c r="BC93" s="26"/>
      <c r="BD93" s="459"/>
    </row>
    <row r="94" spans="1:56" ht="90" customHeight="1" x14ac:dyDescent="0.25">
      <c r="A94" s="470"/>
      <c r="B94" s="470"/>
      <c r="C94" s="473"/>
      <c r="D94" s="652"/>
      <c r="E94" s="473"/>
      <c r="F94" s="531"/>
      <c r="G94" s="572" t="s">
        <v>223</v>
      </c>
      <c r="H94" s="572" t="s">
        <v>54</v>
      </c>
      <c r="I94" s="581" t="s">
        <v>81</v>
      </c>
      <c r="J94" s="533" t="s">
        <v>224</v>
      </c>
      <c r="K94" s="478">
        <v>20</v>
      </c>
      <c r="L94" s="523">
        <v>6</v>
      </c>
      <c r="M94" s="469">
        <v>9</v>
      </c>
      <c r="N94" s="469">
        <v>6</v>
      </c>
      <c r="O94" s="469">
        <v>0</v>
      </c>
      <c r="P94" s="469">
        <v>0</v>
      </c>
      <c r="Q94" s="469">
        <v>0</v>
      </c>
      <c r="R94" s="469">
        <v>7</v>
      </c>
      <c r="S94" s="469">
        <f>M94+N94</f>
        <v>15</v>
      </c>
      <c r="T94" s="430">
        <f>+N94/L94</f>
        <v>1</v>
      </c>
      <c r="U94" s="430">
        <f>+S94/K94</f>
        <v>0.75</v>
      </c>
      <c r="V94" s="470"/>
      <c r="W94" s="437"/>
      <c r="X94" s="437"/>
      <c r="Y94" s="26" t="s">
        <v>225</v>
      </c>
      <c r="Z94" s="26">
        <v>6</v>
      </c>
      <c r="AA94" s="88">
        <v>0.4</v>
      </c>
      <c r="AB94" s="88">
        <v>0.4</v>
      </c>
      <c r="AC94" s="88">
        <v>0</v>
      </c>
      <c r="AD94" s="320">
        <v>0.19999999999999996</v>
      </c>
      <c r="AE94" s="329">
        <v>1</v>
      </c>
      <c r="AF94" s="293">
        <f t="shared" si="6"/>
        <v>1</v>
      </c>
      <c r="AG94" s="779"/>
      <c r="AH94" s="22">
        <v>44562</v>
      </c>
      <c r="AI94" s="22">
        <v>44926</v>
      </c>
      <c r="AJ94" s="92">
        <v>365</v>
      </c>
      <c r="AK94" s="26" t="s">
        <v>60</v>
      </c>
      <c r="AL94" s="93" t="s">
        <v>60</v>
      </c>
      <c r="AM94" s="294">
        <v>6.25E-2</v>
      </c>
      <c r="AN94" s="578"/>
      <c r="AO94" s="579"/>
      <c r="AP94" s="437"/>
      <c r="AQ94" s="699"/>
      <c r="AR94" s="699"/>
      <c r="AS94" s="698"/>
      <c r="AT94" s="490"/>
      <c r="AU94" s="579"/>
      <c r="AV94" s="446"/>
      <c r="AW94" s="437"/>
      <c r="AX94" s="446"/>
      <c r="AY94" s="434"/>
      <c r="AZ94" s="19" t="s">
        <v>66</v>
      </c>
      <c r="BA94" s="26" t="s">
        <v>67</v>
      </c>
      <c r="BB94" s="26" t="s">
        <v>68</v>
      </c>
      <c r="BC94" s="26"/>
      <c r="BD94" s="431" t="s">
        <v>415</v>
      </c>
    </row>
    <row r="95" spans="1:56" ht="57" customHeight="1" thickBot="1" x14ac:dyDescent="0.3">
      <c r="A95" s="470"/>
      <c r="B95" s="470"/>
      <c r="C95" s="473"/>
      <c r="D95" s="652"/>
      <c r="E95" s="473"/>
      <c r="F95" s="531"/>
      <c r="G95" s="573"/>
      <c r="H95" s="573"/>
      <c r="I95" s="582"/>
      <c r="J95" s="534"/>
      <c r="K95" s="479"/>
      <c r="L95" s="524"/>
      <c r="M95" s="471"/>
      <c r="N95" s="471"/>
      <c r="O95" s="471"/>
      <c r="P95" s="471"/>
      <c r="Q95" s="471"/>
      <c r="R95" s="471"/>
      <c r="S95" s="471"/>
      <c r="T95" s="459"/>
      <c r="U95" s="459"/>
      <c r="V95" s="470"/>
      <c r="W95" s="437"/>
      <c r="X95" s="437"/>
      <c r="Y95" s="26" t="s">
        <v>226</v>
      </c>
      <c r="Z95" s="26">
        <v>1</v>
      </c>
      <c r="AA95" s="26">
        <v>0</v>
      </c>
      <c r="AB95" s="88">
        <v>0.4</v>
      </c>
      <c r="AC95" s="88">
        <v>0</v>
      </c>
      <c r="AD95" s="320">
        <v>0.6</v>
      </c>
      <c r="AE95" s="329">
        <v>1</v>
      </c>
      <c r="AF95" s="293">
        <f t="shared" si="6"/>
        <v>1</v>
      </c>
      <c r="AG95" s="779"/>
      <c r="AH95" s="22">
        <v>44562</v>
      </c>
      <c r="AI95" s="22">
        <v>44926</v>
      </c>
      <c r="AJ95" s="92">
        <v>365</v>
      </c>
      <c r="AK95" s="26" t="s">
        <v>60</v>
      </c>
      <c r="AL95" s="93" t="s">
        <v>60</v>
      </c>
      <c r="AM95" s="294">
        <v>6.25E-2</v>
      </c>
      <c r="AN95" s="578"/>
      <c r="AO95" s="579"/>
      <c r="AP95" s="437"/>
      <c r="AQ95" s="699"/>
      <c r="AR95" s="699"/>
      <c r="AS95" s="698"/>
      <c r="AT95" s="490"/>
      <c r="AU95" s="579"/>
      <c r="AV95" s="446"/>
      <c r="AW95" s="437"/>
      <c r="AX95" s="446"/>
      <c r="AY95" s="434"/>
      <c r="AZ95" s="19" t="s">
        <v>66</v>
      </c>
      <c r="BA95" s="26" t="s">
        <v>67</v>
      </c>
      <c r="BB95" s="26" t="s">
        <v>68</v>
      </c>
      <c r="BC95" s="26"/>
      <c r="BD95" s="459"/>
    </row>
    <row r="96" spans="1:56" ht="57" x14ac:dyDescent="0.25">
      <c r="A96" s="470"/>
      <c r="B96" s="470"/>
      <c r="C96" s="473"/>
      <c r="D96" s="652"/>
      <c r="E96" s="473"/>
      <c r="F96" s="531"/>
      <c r="G96" s="572" t="s">
        <v>227</v>
      </c>
      <c r="H96" s="572" t="s">
        <v>54</v>
      </c>
      <c r="I96" s="581" t="s">
        <v>228</v>
      </c>
      <c r="J96" s="533" t="s">
        <v>229</v>
      </c>
      <c r="K96" s="523">
        <v>120</v>
      </c>
      <c r="L96" s="469">
        <v>35</v>
      </c>
      <c r="M96" s="469">
        <v>52</v>
      </c>
      <c r="N96" s="469">
        <v>27</v>
      </c>
      <c r="O96" s="469">
        <v>8</v>
      </c>
      <c r="P96" s="469">
        <v>0</v>
      </c>
      <c r="Q96" s="469">
        <v>0</v>
      </c>
      <c r="R96" s="469">
        <v>7</v>
      </c>
      <c r="S96" s="469">
        <f>M96+N96+O96</f>
        <v>87</v>
      </c>
      <c r="T96" s="430">
        <f>(O96+N96)/L96</f>
        <v>1</v>
      </c>
      <c r="U96" s="430">
        <f>+S96/K96</f>
        <v>0.72499999999999998</v>
      </c>
      <c r="V96" s="470"/>
      <c r="W96" s="437"/>
      <c r="X96" s="437"/>
      <c r="Y96" s="26" t="s">
        <v>230</v>
      </c>
      <c r="Z96" s="26">
        <v>35</v>
      </c>
      <c r="AA96" s="88">
        <v>0.31</v>
      </c>
      <c r="AB96" s="242">
        <v>0.54710000000000003</v>
      </c>
      <c r="AC96" s="242">
        <v>0</v>
      </c>
      <c r="AD96" s="321">
        <v>0.14289999999999997</v>
      </c>
      <c r="AE96" s="330">
        <v>1</v>
      </c>
      <c r="AF96" s="288">
        <f t="shared" si="6"/>
        <v>1</v>
      </c>
      <c r="AG96" s="779"/>
      <c r="AH96" s="22">
        <v>44562</v>
      </c>
      <c r="AI96" s="22">
        <v>44926</v>
      </c>
      <c r="AJ96" s="92">
        <v>365</v>
      </c>
      <c r="AK96" s="26" t="s">
        <v>60</v>
      </c>
      <c r="AL96" s="93" t="s">
        <v>60</v>
      </c>
      <c r="AM96" s="294">
        <v>6.25E-2</v>
      </c>
      <c r="AN96" s="578"/>
      <c r="AO96" s="579"/>
      <c r="AP96" s="437"/>
      <c r="AQ96" s="699"/>
      <c r="AR96" s="699"/>
      <c r="AS96" s="698"/>
      <c r="AT96" s="490"/>
      <c r="AU96" s="579"/>
      <c r="AV96" s="446"/>
      <c r="AW96" s="437"/>
      <c r="AX96" s="446"/>
      <c r="AY96" s="434"/>
      <c r="AZ96" s="19" t="s">
        <v>66</v>
      </c>
      <c r="BA96" s="26" t="s">
        <v>67</v>
      </c>
      <c r="BB96" s="26" t="s">
        <v>68</v>
      </c>
      <c r="BC96" s="26"/>
      <c r="BD96" s="430" t="s">
        <v>449</v>
      </c>
    </row>
    <row r="97" spans="1:56" ht="81.75" customHeight="1" thickBot="1" x14ac:dyDescent="0.3">
      <c r="A97" s="470"/>
      <c r="B97" s="470"/>
      <c r="C97" s="473"/>
      <c r="D97" s="652"/>
      <c r="E97" s="473"/>
      <c r="F97" s="531"/>
      <c r="G97" s="573"/>
      <c r="H97" s="573"/>
      <c r="I97" s="582"/>
      <c r="J97" s="534"/>
      <c r="K97" s="485"/>
      <c r="L97" s="470"/>
      <c r="M97" s="470"/>
      <c r="N97" s="470"/>
      <c r="O97" s="470"/>
      <c r="P97" s="470"/>
      <c r="Q97" s="470"/>
      <c r="R97" s="470"/>
      <c r="S97" s="470"/>
      <c r="T97" s="431"/>
      <c r="U97" s="431"/>
      <c r="V97" s="470"/>
      <c r="W97" s="437"/>
      <c r="X97" s="437"/>
      <c r="Y97" s="26" t="s">
        <v>231</v>
      </c>
      <c r="Z97" s="26">
        <v>1</v>
      </c>
      <c r="AA97" s="88">
        <v>0.31</v>
      </c>
      <c r="AB97" s="242">
        <v>0.54710000000000003</v>
      </c>
      <c r="AC97" s="242">
        <v>0</v>
      </c>
      <c r="AD97" s="321">
        <v>0.14289999999999997</v>
      </c>
      <c r="AE97" s="330">
        <v>1</v>
      </c>
      <c r="AF97" s="288">
        <f t="shared" si="6"/>
        <v>1</v>
      </c>
      <c r="AG97" s="779"/>
      <c r="AH97" s="22">
        <v>44562</v>
      </c>
      <c r="AI97" s="22">
        <v>44926</v>
      </c>
      <c r="AJ97" s="92">
        <v>365</v>
      </c>
      <c r="AK97" s="26" t="s">
        <v>60</v>
      </c>
      <c r="AL97" s="93" t="s">
        <v>60</v>
      </c>
      <c r="AM97" s="294">
        <v>6.25E-2</v>
      </c>
      <c r="AN97" s="578"/>
      <c r="AO97" s="452"/>
      <c r="AP97" s="648" t="s">
        <v>451</v>
      </c>
      <c r="AQ97" s="699">
        <v>40719600.549999997</v>
      </c>
      <c r="AR97" s="699">
        <v>40719600.549999997</v>
      </c>
      <c r="AS97" s="698"/>
      <c r="AT97" s="490">
        <f>AS97/AQ97</f>
        <v>0</v>
      </c>
      <c r="AU97" s="579"/>
      <c r="AV97" s="446"/>
      <c r="AW97" s="437"/>
      <c r="AX97" s="446"/>
      <c r="AY97" s="434"/>
      <c r="AZ97" s="19" t="s">
        <v>66</v>
      </c>
      <c r="BA97" s="26" t="s">
        <v>67</v>
      </c>
      <c r="BB97" s="26" t="s">
        <v>68</v>
      </c>
      <c r="BC97" s="26"/>
      <c r="BD97" s="431"/>
    </row>
    <row r="98" spans="1:56" ht="95.25" hidden="1" customHeight="1" thickBot="1" x14ac:dyDescent="0.3">
      <c r="A98" s="470"/>
      <c r="B98" s="470"/>
      <c r="C98" s="473"/>
      <c r="D98" s="652"/>
      <c r="E98" s="473"/>
      <c r="F98" s="531"/>
      <c r="G98" s="573"/>
      <c r="H98" s="573"/>
      <c r="I98" s="582"/>
      <c r="J98" s="534"/>
      <c r="K98" s="485"/>
      <c r="L98" s="471"/>
      <c r="M98" s="471"/>
      <c r="N98" s="471"/>
      <c r="O98" s="471"/>
      <c r="P98" s="471"/>
      <c r="Q98" s="471"/>
      <c r="R98" s="471"/>
      <c r="S98" s="471"/>
      <c r="T98" s="459"/>
      <c r="U98" s="459"/>
      <c r="V98" s="470"/>
      <c r="W98" s="437"/>
      <c r="X98" s="437"/>
      <c r="Y98" s="26" t="s">
        <v>232</v>
      </c>
      <c r="Z98" s="26">
        <v>12</v>
      </c>
      <c r="AA98" s="26">
        <v>0</v>
      </c>
      <c r="AB98" s="243">
        <v>0.71399999999999997</v>
      </c>
      <c r="AC98" s="243">
        <v>0</v>
      </c>
      <c r="AD98" s="322">
        <v>0.28600000000000003</v>
      </c>
      <c r="AE98" s="331">
        <v>1</v>
      </c>
      <c r="AF98" s="295">
        <f t="shared" si="6"/>
        <v>1</v>
      </c>
      <c r="AG98" s="779"/>
      <c r="AH98" s="22">
        <v>44562</v>
      </c>
      <c r="AI98" s="22">
        <v>44926</v>
      </c>
      <c r="AJ98" s="92">
        <v>365</v>
      </c>
      <c r="AK98" s="26" t="s">
        <v>60</v>
      </c>
      <c r="AL98" s="93" t="s">
        <v>60</v>
      </c>
      <c r="AM98" s="294">
        <v>6.25E-2</v>
      </c>
      <c r="AN98" s="578"/>
      <c r="AO98" s="452"/>
      <c r="AP98" s="648"/>
      <c r="AQ98" s="699"/>
      <c r="AR98" s="699"/>
      <c r="AS98" s="698"/>
      <c r="AT98" s="490"/>
      <c r="AU98" s="579"/>
      <c r="AV98" s="446"/>
      <c r="AW98" s="437"/>
      <c r="AX98" s="446"/>
      <c r="AY98" s="434"/>
      <c r="AZ98" s="19" t="s">
        <v>66</v>
      </c>
      <c r="BA98" s="26" t="s">
        <v>67</v>
      </c>
      <c r="BB98" s="26" t="s">
        <v>68</v>
      </c>
      <c r="BC98" s="26"/>
      <c r="BD98" s="459"/>
    </row>
    <row r="99" spans="1:56" ht="85.5" customHeight="1" x14ac:dyDescent="0.25">
      <c r="A99" s="470"/>
      <c r="B99" s="470"/>
      <c r="C99" s="473"/>
      <c r="D99" s="652"/>
      <c r="E99" s="473"/>
      <c r="F99" s="531"/>
      <c r="G99" s="572" t="s">
        <v>233</v>
      </c>
      <c r="H99" s="572" t="s">
        <v>54</v>
      </c>
      <c r="I99" s="533" t="s">
        <v>234</v>
      </c>
      <c r="J99" s="572" t="s">
        <v>235</v>
      </c>
      <c r="K99" s="469">
        <v>9</v>
      </c>
      <c r="L99" s="469">
        <v>1</v>
      </c>
      <c r="M99" s="469">
        <v>8</v>
      </c>
      <c r="N99" s="469">
        <v>1</v>
      </c>
      <c r="O99" s="469">
        <v>0</v>
      </c>
      <c r="P99" s="469">
        <v>0</v>
      </c>
      <c r="Q99" s="469">
        <v>0</v>
      </c>
      <c r="R99" s="469">
        <v>7</v>
      </c>
      <c r="S99" s="469">
        <f>M99+N99</f>
        <v>9</v>
      </c>
      <c r="T99" s="430">
        <f>+N99/L99</f>
        <v>1</v>
      </c>
      <c r="U99" s="430">
        <f>+S99/K99</f>
        <v>1</v>
      </c>
      <c r="V99" s="470"/>
      <c r="W99" s="437"/>
      <c r="X99" s="437"/>
      <c r="Y99" s="26" t="s">
        <v>236</v>
      </c>
      <c r="Z99" s="26">
        <v>2</v>
      </c>
      <c r="AA99" s="88">
        <v>0.37</v>
      </c>
      <c r="AB99" s="88">
        <v>0.4</v>
      </c>
      <c r="AC99" s="88">
        <v>0.1</v>
      </c>
      <c r="AD99" s="320">
        <v>0.13</v>
      </c>
      <c r="AE99" s="329">
        <v>1</v>
      </c>
      <c r="AF99" s="293">
        <f t="shared" si="6"/>
        <v>1</v>
      </c>
      <c r="AG99" s="779"/>
      <c r="AH99" s="22">
        <v>44562</v>
      </c>
      <c r="AI99" s="22">
        <v>44926</v>
      </c>
      <c r="AJ99" s="92">
        <v>365</v>
      </c>
      <c r="AK99" s="26" t="s">
        <v>60</v>
      </c>
      <c r="AL99" s="93" t="s">
        <v>60</v>
      </c>
      <c r="AM99" s="294">
        <v>6.25E-2</v>
      </c>
      <c r="AN99" s="578"/>
      <c r="AO99" s="452"/>
      <c r="AP99" s="648"/>
      <c r="AQ99" s="699"/>
      <c r="AR99" s="699"/>
      <c r="AS99" s="698"/>
      <c r="AT99" s="490"/>
      <c r="AU99" s="579"/>
      <c r="AV99" s="446"/>
      <c r="AW99" s="437"/>
      <c r="AX99" s="446"/>
      <c r="AY99" s="434"/>
      <c r="AZ99" s="19" t="s">
        <v>66</v>
      </c>
      <c r="BA99" s="26" t="s">
        <v>67</v>
      </c>
      <c r="BB99" s="26" t="s">
        <v>68</v>
      </c>
      <c r="BC99" s="26"/>
      <c r="BD99" s="430" t="s">
        <v>419</v>
      </c>
    </row>
    <row r="100" spans="1:56" ht="54.75" customHeight="1" thickBot="1" x14ac:dyDescent="0.3">
      <c r="A100" s="470"/>
      <c r="B100" s="470"/>
      <c r="C100" s="473"/>
      <c r="D100" s="652"/>
      <c r="E100" s="473"/>
      <c r="F100" s="531"/>
      <c r="G100" s="573"/>
      <c r="H100" s="573"/>
      <c r="I100" s="534"/>
      <c r="J100" s="573"/>
      <c r="K100" s="470"/>
      <c r="L100" s="470"/>
      <c r="M100" s="470"/>
      <c r="N100" s="470"/>
      <c r="O100" s="470"/>
      <c r="P100" s="470"/>
      <c r="Q100" s="470"/>
      <c r="R100" s="470"/>
      <c r="S100" s="470"/>
      <c r="T100" s="431"/>
      <c r="U100" s="431"/>
      <c r="V100" s="470"/>
      <c r="W100" s="437"/>
      <c r="X100" s="437"/>
      <c r="Y100" s="26" t="s">
        <v>231</v>
      </c>
      <c r="Z100" s="26">
        <v>2</v>
      </c>
      <c r="AA100" s="88">
        <v>0.15</v>
      </c>
      <c r="AB100" s="88">
        <v>0.55000000000000004</v>
      </c>
      <c r="AC100" s="88">
        <v>0.15</v>
      </c>
      <c r="AD100" s="320">
        <v>0.14999999999999994</v>
      </c>
      <c r="AE100" s="329">
        <v>1</v>
      </c>
      <c r="AF100" s="293">
        <f t="shared" si="6"/>
        <v>1</v>
      </c>
      <c r="AG100" s="779"/>
      <c r="AH100" s="22">
        <v>44562</v>
      </c>
      <c r="AI100" s="22">
        <v>44926</v>
      </c>
      <c r="AJ100" s="92">
        <v>365</v>
      </c>
      <c r="AK100" s="26" t="s">
        <v>60</v>
      </c>
      <c r="AL100" s="93" t="s">
        <v>60</v>
      </c>
      <c r="AM100" s="294">
        <v>6.25E-2</v>
      </c>
      <c r="AN100" s="578"/>
      <c r="AO100" s="452"/>
      <c r="AP100" s="557"/>
      <c r="AQ100" s="699"/>
      <c r="AR100" s="699"/>
      <c r="AS100" s="698"/>
      <c r="AT100" s="490"/>
      <c r="AU100" s="580"/>
      <c r="AV100" s="447"/>
      <c r="AW100" s="437"/>
      <c r="AX100" s="447"/>
      <c r="AY100" s="435"/>
      <c r="AZ100" s="19" t="s">
        <v>66</v>
      </c>
      <c r="BA100" s="26" t="s">
        <v>67</v>
      </c>
      <c r="BB100" s="26" t="s">
        <v>68</v>
      </c>
      <c r="BC100" s="26"/>
      <c r="BD100" s="431"/>
    </row>
    <row r="101" spans="1:56" ht="92.25" hidden="1" customHeight="1" thickBot="1" x14ac:dyDescent="0.3">
      <c r="A101" s="470"/>
      <c r="B101" s="470"/>
      <c r="C101" s="473"/>
      <c r="D101" s="652"/>
      <c r="E101" s="473"/>
      <c r="F101" s="531"/>
      <c r="G101" s="573"/>
      <c r="H101" s="573"/>
      <c r="I101" s="535"/>
      <c r="J101" s="573"/>
      <c r="K101" s="781"/>
      <c r="L101" s="471"/>
      <c r="M101" s="471"/>
      <c r="N101" s="471"/>
      <c r="O101" s="471"/>
      <c r="P101" s="471"/>
      <c r="Q101" s="471"/>
      <c r="R101" s="471"/>
      <c r="S101" s="471"/>
      <c r="T101" s="459"/>
      <c r="U101" s="459"/>
      <c r="V101" s="470"/>
      <c r="W101" s="437"/>
      <c r="X101" s="437"/>
      <c r="Y101" s="26" t="s">
        <v>237</v>
      </c>
      <c r="Z101" s="26">
        <v>7</v>
      </c>
      <c r="AA101" s="88">
        <v>0.4</v>
      </c>
      <c r="AB101" s="88">
        <v>0.35</v>
      </c>
      <c r="AC101" s="88">
        <v>0.13</v>
      </c>
      <c r="AD101" s="320">
        <v>0.12</v>
      </c>
      <c r="AE101" s="329">
        <v>1</v>
      </c>
      <c r="AF101" s="293">
        <f t="shared" si="6"/>
        <v>1</v>
      </c>
      <c r="AG101" s="779"/>
      <c r="AH101" s="22">
        <v>44562</v>
      </c>
      <c r="AI101" s="22">
        <v>44926</v>
      </c>
      <c r="AJ101" s="92">
        <v>365</v>
      </c>
      <c r="AK101" s="26" t="s">
        <v>60</v>
      </c>
      <c r="AL101" s="93" t="s">
        <v>60</v>
      </c>
      <c r="AM101" s="294">
        <v>6.25E-2</v>
      </c>
      <c r="AN101" s="578"/>
      <c r="AO101" s="452"/>
      <c r="AP101" s="648" t="s">
        <v>238</v>
      </c>
      <c r="AQ101" s="699">
        <v>78799999</v>
      </c>
      <c r="AR101" s="699">
        <v>78799999</v>
      </c>
      <c r="AS101" s="698"/>
      <c r="AT101" s="490">
        <f>+SUM(AS101:AS104)/SUM(AR101:AR104)</f>
        <v>0</v>
      </c>
      <c r="AU101" s="579" t="s">
        <v>238</v>
      </c>
      <c r="AV101" s="446" t="s">
        <v>64</v>
      </c>
      <c r="AW101" s="437"/>
      <c r="AX101" s="446" t="s">
        <v>65</v>
      </c>
      <c r="AY101" s="446">
        <f>AS101</f>
        <v>0</v>
      </c>
      <c r="AZ101" s="19" t="s">
        <v>66</v>
      </c>
      <c r="BA101" s="26" t="s">
        <v>67</v>
      </c>
      <c r="BB101" s="26" t="s">
        <v>68</v>
      </c>
      <c r="BC101" s="26"/>
      <c r="BD101" s="459"/>
    </row>
    <row r="102" spans="1:56" ht="105" customHeight="1" x14ac:dyDescent="0.25">
      <c r="A102" s="470"/>
      <c r="B102" s="470"/>
      <c r="C102" s="473"/>
      <c r="D102" s="652"/>
      <c r="E102" s="473"/>
      <c r="F102" s="531"/>
      <c r="G102" s="533" t="s">
        <v>239</v>
      </c>
      <c r="H102" s="533" t="s">
        <v>54</v>
      </c>
      <c r="I102" s="533" t="s">
        <v>240</v>
      </c>
      <c r="J102" s="533" t="s">
        <v>241</v>
      </c>
      <c r="K102" s="470">
        <v>6</v>
      </c>
      <c r="L102" s="469">
        <v>1</v>
      </c>
      <c r="M102" s="469">
        <v>3</v>
      </c>
      <c r="N102" s="469">
        <v>0</v>
      </c>
      <c r="O102" s="515">
        <v>9.2999999999999999E-2</v>
      </c>
      <c r="P102" s="515">
        <v>7.0000000000000007E-2</v>
      </c>
      <c r="Q102" s="515">
        <v>0.84</v>
      </c>
      <c r="R102" s="515" t="s">
        <v>460</v>
      </c>
      <c r="S102" s="445">
        <f>M102+N102+O102+P102+Q102</f>
        <v>4.0030000000000001</v>
      </c>
      <c r="T102" s="430">
        <f>SUM(N102:Q104)/L102</f>
        <v>1.0029999999999999</v>
      </c>
      <c r="U102" s="430">
        <f>+S102/K102</f>
        <v>0.66716666666666669</v>
      </c>
      <c r="V102" s="470"/>
      <c r="W102" s="437"/>
      <c r="X102" s="437"/>
      <c r="Y102" s="26" t="s">
        <v>242</v>
      </c>
      <c r="Z102" s="26">
        <v>1</v>
      </c>
      <c r="AA102" s="26">
        <v>0.1</v>
      </c>
      <c r="AB102" s="26">
        <v>0.18</v>
      </c>
      <c r="AC102" s="26">
        <v>0.1</v>
      </c>
      <c r="AD102" s="93">
        <v>0.62</v>
      </c>
      <c r="AE102" s="56">
        <v>1</v>
      </c>
      <c r="AF102" s="293">
        <f t="shared" si="6"/>
        <v>1</v>
      </c>
      <c r="AG102" s="779"/>
      <c r="AH102" s="22">
        <v>44562</v>
      </c>
      <c r="AI102" s="22">
        <v>44926</v>
      </c>
      <c r="AJ102" s="92">
        <v>365</v>
      </c>
      <c r="AK102" s="26" t="s">
        <v>60</v>
      </c>
      <c r="AL102" s="93" t="s">
        <v>60</v>
      </c>
      <c r="AM102" s="294">
        <v>6.25E-2</v>
      </c>
      <c r="AN102" s="578"/>
      <c r="AO102" s="452"/>
      <c r="AP102" s="648"/>
      <c r="AQ102" s="699"/>
      <c r="AR102" s="699"/>
      <c r="AS102" s="698"/>
      <c r="AT102" s="490"/>
      <c r="AU102" s="579"/>
      <c r="AV102" s="446"/>
      <c r="AW102" s="437"/>
      <c r="AX102" s="446"/>
      <c r="AY102" s="446"/>
      <c r="AZ102" s="19" t="s">
        <v>66</v>
      </c>
      <c r="BA102" s="26" t="s">
        <v>67</v>
      </c>
      <c r="BB102" s="26" t="s">
        <v>68</v>
      </c>
      <c r="BC102" s="26"/>
      <c r="BD102" s="430" t="s">
        <v>416</v>
      </c>
    </row>
    <row r="103" spans="1:56" ht="54" customHeight="1" thickBot="1" x14ac:dyDescent="0.3">
      <c r="A103" s="470"/>
      <c r="B103" s="470"/>
      <c r="C103" s="473"/>
      <c r="D103" s="652"/>
      <c r="E103" s="473"/>
      <c r="F103" s="531"/>
      <c r="G103" s="534"/>
      <c r="H103" s="534"/>
      <c r="I103" s="534"/>
      <c r="J103" s="534"/>
      <c r="K103" s="470"/>
      <c r="L103" s="470"/>
      <c r="M103" s="470"/>
      <c r="N103" s="470"/>
      <c r="O103" s="516"/>
      <c r="P103" s="516"/>
      <c r="Q103" s="516"/>
      <c r="R103" s="516"/>
      <c r="S103" s="446"/>
      <c r="T103" s="431"/>
      <c r="U103" s="431"/>
      <c r="V103" s="470"/>
      <c r="W103" s="437"/>
      <c r="X103" s="437"/>
      <c r="Y103" s="26" t="s">
        <v>243</v>
      </c>
      <c r="Z103" s="26">
        <v>1</v>
      </c>
      <c r="AA103" s="26">
        <v>0</v>
      </c>
      <c r="AB103" s="26">
        <v>0</v>
      </c>
      <c r="AC103" s="26">
        <v>0.1</v>
      </c>
      <c r="AD103" s="93">
        <v>0.9</v>
      </c>
      <c r="AE103" s="56">
        <v>1</v>
      </c>
      <c r="AF103" s="293">
        <f t="shared" si="6"/>
        <v>1</v>
      </c>
      <c r="AG103" s="779"/>
      <c r="AH103" s="22">
        <v>44562</v>
      </c>
      <c r="AI103" s="22">
        <v>44926</v>
      </c>
      <c r="AJ103" s="92">
        <v>365</v>
      </c>
      <c r="AK103" s="26" t="s">
        <v>60</v>
      </c>
      <c r="AL103" s="93" t="s">
        <v>60</v>
      </c>
      <c r="AM103" s="294">
        <v>6.25E-2</v>
      </c>
      <c r="AN103" s="578"/>
      <c r="AO103" s="452"/>
      <c r="AP103" s="648"/>
      <c r="AQ103" s="699"/>
      <c r="AR103" s="699"/>
      <c r="AS103" s="698"/>
      <c r="AT103" s="490"/>
      <c r="AU103" s="579"/>
      <c r="AV103" s="446"/>
      <c r="AW103" s="437"/>
      <c r="AX103" s="446"/>
      <c r="AY103" s="446"/>
      <c r="AZ103" s="19" t="s">
        <v>66</v>
      </c>
      <c r="BA103" s="26" t="s">
        <v>67</v>
      </c>
      <c r="BB103" s="26" t="s">
        <v>68</v>
      </c>
      <c r="BC103" s="26"/>
      <c r="BD103" s="431"/>
    </row>
    <row r="104" spans="1:56" ht="95.25" hidden="1" customHeight="1" thickBot="1" x14ac:dyDescent="0.3">
      <c r="A104" s="470"/>
      <c r="B104" s="470"/>
      <c r="C104" s="473"/>
      <c r="D104" s="652"/>
      <c r="E104" s="473"/>
      <c r="F104" s="531"/>
      <c r="G104" s="535"/>
      <c r="H104" s="535"/>
      <c r="I104" s="535"/>
      <c r="J104" s="535"/>
      <c r="K104" s="471"/>
      <c r="L104" s="471"/>
      <c r="M104" s="471"/>
      <c r="N104" s="471"/>
      <c r="O104" s="517"/>
      <c r="P104" s="517"/>
      <c r="Q104" s="517"/>
      <c r="R104" s="517"/>
      <c r="S104" s="447"/>
      <c r="T104" s="459"/>
      <c r="U104" s="459"/>
      <c r="V104" s="470"/>
      <c r="W104" s="437"/>
      <c r="X104" s="437"/>
      <c r="Y104" s="26" t="s">
        <v>244</v>
      </c>
      <c r="Z104" s="26">
        <v>1</v>
      </c>
      <c r="AA104" s="26">
        <v>0</v>
      </c>
      <c r="AB104" s="26">
        <v>0</v>
      </c>
      <c r="AC104" s="26">
        <v>0</v>
      </c>
      <c r="AD104" s="93">
        <v>1</v>
      </c>
      <c r="AE104" s="333">
        <v>1</v>
      </c>
      <c r="AF104" s="293">
        <f t="shared" si="6"/>
        <v>1</v>
      </c>
      <c r="AG104" s="779"/>
      <c r="AH104" s="22">
        <v>44562</v>
      </c>
      <c r="AI104" s="22">
        <v>44926</v>
      </c>
      <c r="AJ104" s="92">
        <v>365</v>
      </c>
      <c r="AK104" s="26" t="s">
        <v>60</v>
      </c>
      <c r="AL104" s="93" t="s">
        <v>60</v>
      </c>
      <c r="AM104" s="294">
        <v>6.25E-2</v>
      </c>
      <c r="AN104" s="578"/>
      <c r="AO104" s="452"/>
      <c r="AP104" s="648"/>
      <c r="AQ104" s="699"/>
      <c r="AR104" s="699"/>
      <c r="AS104" s="698"/>
      <c r="AT104" s="490"/>
      <c r="AU104" s="579"/>
      <c r="AV104" s="446"/>
      <c r="AW104" s="437"/>
      <c r="AX104" s="446"/>
      <c r="AY104" s="446"/>
      <c r="AZ104" s="19" t="s">
        <v>66</v>
      </c>
      <c r="BA104" s="26" t="s">
        <v>67</v>
      </c>
      <c r="BB104" s="26" t="s">
        <v>68</v>
      </c>
      <c r="BC104" s="26"/>
      <c r="BD104" s="459"/>
    </row>
    <row r="105" spans="1:56" ht="85.5" customHeight="1" thickBot="1" x14ac:dyDescent="0.3">
      <c r="A105" s="470"/>
      <c r="B105" s="470"/>
      <c r="C105" s="473"/>
      <c r="D105" s="652"/>
      <c r="E105" s="473"/>
      <c r="F105" s="531"/>
      <c r="G105" s="138" t="s">
        <v>245</v>
      </c>
      <c r="H105" s="138" t="s">
        <v>54</v>
      </c>
      <c r="I105" s="138" t="s">
        <v>246</v>
      </c>
      <c r="J105" s="138" t="s">
        <v>247</v>
      </c>
      <c r="K105" s="139">
        <v>20</v>
      </c>
      <c r="L105" s="140">
        <v>5</v>
      </c>
      <c r="M105" s="140">
        <v>10</v>
      </c>
      <c r="N105" s="140">
        <v>5</v>
      </c>
      <c r="O105" s="140">
        <v>0</v>
      </c>
      <c r="P105" s="140">
        <v>0</v>
      </c>
      <c r="Q105" s="140">
        <v>0</v>
      </c>
      <c r="R105" s="140">
        <f>SUM(N105:Q105)</f>
        <v>5</v>
      </c>
      <c r="S105" s="140">
        <f>M105+N105+O105+P105+Q105</f>
        <v>15</v>
      </c>
      <c r="T105" s="231">
        <f>+N105/L105</f>
        <v>1</v>
      </c>
      <c r="U105" s="231">
        <f>+S105/K105</f>
        <v>0.75</v>
      </c>
      <c r="V105" s="470"/>
      <c r="W105" s="437"/>
      <c r="X105" s="437"/>
      <c r="Y105" s="26" t="s">
        <v>248</v>
      </c>
      <c r="Z105" s="26">
        <v>5</v>
      </c>
      <c r="AA105" s="88">
        <v>0.3</v>
      </c>
      <c r="AB105" s="88">
        <v>0.5</v>
      </c>
      <c r="AC105" s="88">
        <v>0.05</v>
      </c>
      <c r="AD105" s="320">
        <v>0.14999999999999997</v>
      </c>
      <c r="AE105" s="329">
        <v>1</v>
      </c>
      <c r="AF105" s="293">
        <f t="shared" si="6"/>
        <v>1</v>
      </c>
      <c r="AG105" s="779"/>
      <c r="AH105" s="22">
        <v>44562</v>
      </c>
      <c r="AI105" s="22">
        <v>44926</v>
      </c>
      <c r="AJ105" s="92">
        <v>365</v>
      </c>
      <c r="AK105" s="26" t="s">
        <v>60</v>
      </c>
      <c r="AL105" s="93" t="s">
        <v>60</v>
      </c>
      <c r="AM105" s="294">
        <v>6.25E-2</v>
      </c>
      <c r="AN105" s="578"/>
      <c r="AO105" s="579"/>
      <c r="AP105" s="437" t="s">
        <v>73</v>
      </c>
      <c r="AQ105" s="699"/>
      <c r="AR105" s="699">
        <v>48000000</v>
      </c>
      <c r="AS105" s="698"/>
      <c r="AT105" s="490">
        <v>0</v>
      </c>
      <c r="AU105" s="579"/>
      <c r="AV105" s="446"/>
      <c r="AW105" s="437"/>
      <c r="AX105" s="446"/>
      <c r="AY105" s="446"/>
      <c r="AZ105" s="19" t="s">
        <v>66</v>
      </c>
      <c r="BA105" s="26" t="s">
        <v>67</v>
      </c>
      <c r="BB105" s="26" t="s">
        <v>68</v>
      </c>
      <c r="BC105" s="26"/>
      <c r="BD105" s="231" t="s">
        <v>420</v>
      </c>
    </row>
    <row r="106" spans="1:56" ht="57" x14ac:dyDescent="0.25">
      <c r="A106" s="470"/>
      <c r="B106" s="470"/>
      <c r="C106" s="473"/>
      <c r="D106" s="652"/>
      <c r="E106" s="473"/>
      <c r="F106" s="531"/>
      <c r="G106" s="533" t="s">
        <v>249</v>
      </c>
      <c r="H106" s="533" t="s">
        <v>54</v>
      </c>
      <c r="I106" s="533" t="s">
        <v>250</v>
      </c>
      <c r="J106" s="533" t="s">
        <v>251</v>
      </c>
      <c r="K106" s="469">
        <v>5</v>
      </c>
      <c r="L106" s="469">
        <v>2</v>
      </c>
      <c r="M106" s="469">
        <v>2</v>
      </c>
      <c r="N106" s="469">
        <v>3</v>
      </c>
      <c r="O106" s="469">
        <v>0</v>
      </c>
      <c r="P106" s="469">
        <v>0</v>
      </c>
      <c r="Q106" s="469">
        <v>0</v>
      </c>
      <c r="R106" s="469">
        <v>5</v>
      </c>
      <c r="S106" s="469">
        <f>M106+N106+O106+P106+Q106</f>
        <v>5</v>
      </c>
      <c r="T106" s="430">
        <v>1</v>
      </c>
      <c r="U106" s="430">
        <f>+S106/K106</f>
        <v>1</v>
      </c>
      <c r="V106" s="485"/>
      <c r="W106" s="437"/>
      <c r="X106" s="437"/>
      <c r="Y106" s="26" t="s">
        <v>252</v>
      </c>
      <c r="Z106" s="26">
        <v>2</v>
      </c>
      <c r="AA106" s="88">
        <v>0.4</v>
      </c>
      <c r="AB106" s="88">
        <v>0.4</v>
      </c>
      <c r="AC106" s="88">
        <v>0</v>
      </c>
      <c r="AD106" s="320">
        <v>0.19999999999999996</v>
      </c>
      <c r="AE106" s="329">
        <v>1</v>
      </c>
      <c r="AF106" s="293">
        <f t="shared" si="6"/>
        <v>1</v>
      </c>
      <c r="AG106" s="779"/>
      <c r="AH106" s="22">
        <v>44562</v>
      </c>
      <c r="AI106" s="22">
        <v>44926</v>
      </c>
      <c r="AJ106" s="92">
        <v>365</v>
      </c>
      <c r="AK106" s="26" t="s">
        <v>60</v>
      </c>
      <c r="AL106" s="93" t="s">
        <v>60</v>
      </c>
      <c r="AM106" s="294">
        <v>6.25E-2</v>
      </c>
      <c r="AN106" s="578"/>
      <c r="AO106" s="579"/>
      <c r="AP106" s="437"/>
      <c r="AQ106" s="699"/>
      <c r="AR106" s="699"/>
      <c r="AS106" s="698"/>
      <c r="AT106" s="490"/>
      <c r="AU106" s="579"/>
      <c r="AV106" s="446"/>
      <c r="AW106" s="437"/>
      <c r="AX106" s="446"/>
      <c r="AY106" s="446"/>
      <c r="AZ106" s="19" t="s">
        <v>66</v>
      </c>
      <c r="BA106" s="26" t="s">
        <v>67</v>
      </c>
      <c r="BB106" s="26" t="s">
        <v>68</v>
      </c>
      <c r="BC106" s="26"/>
      <c r="BD106" s="430" t="s">
        <v>417</v>
      </c>
    </row>
    <row r="107" spans="1:56" ht="60.75" customHeight="1" thickBot="1" x14ac:dyDescent="0.3">
      <c r="A107" s="470"/>
      <c r="B107" s="470"/>
      <c r="C107" s="473"/>
      <c r="D107" s="652"/>
      <c r="E107" s="473"/>
      <c r="F107" s="531"/>
      <c r="G107" s="535"/>
      <c r="H107" s="535"/>
      <c r="I107" s="535"/>
      <c r="J107" s="535"/>
      <c r="K107" s="471"/>
      <c r="L107" s="471"/>
      <c r="M107" s="471"/>
      <c r="N107" s="471"/>
      <c r="O107" s="471"/>
      <c r="P107" s="471"/>
      <c r="Q107" s="471"/>
      <c r="R107" s="471"/>
      <c r="S107" s="471"/>
      <c r="T107" s="459"/>
      <c r="U107" s="459"/>
      <c r="V107" s="485"/>
      <c r="W107" s="437"/>
      <c r="X107" s="437"/>
      <c r="Y107" s="33" t="s">
        <v>253</v>
      </c>
      <c r="Z107" s="33">
        <v>1</v>
      </c>
      <c r="AA107" s="33">
        <v>0</v>
      </c>
      <c r="AB107" s="101">
        <v>0.3</v>
      </c>
      <c r="AC107" s="101">
        <v>0</v>
      </c>
      <c r="AD107" s="328">
        <v>0.7</v>
      </c>
      <c r="AE107" s="101">
        <v>1</v>
      </c>
      <c r="AF107" s="296">
        <f t="shared" si="6"/>
        <v>1</v>
      </c>
      <c r="AG107" s="780"/>
      <c r="AH107" s="22">
        <v>44562</v>
      </c>
      <c r="AI107" s="22">
        <v>44926</v>
      </c>
      <c r="AJ107" s="143">
        <v>365</v>
      </c>
      <c r="AK107" s="44" t="s">
        <v>60</v>
      </c>
      <c r="AL107" s="106" t="s">
        <v>60</v>
      </c>
      <c r="AM107" s="297">
        <v>6.25E-2</v>
      </c>
      <c r="AN107" s="578"/>
      <c r="AO107" s="580"/>
      <c r="AP107" s="438"/>
      <c r="AQ107" s="699"/>
      <c r="AR107" s="699"/>
      <c r="AS107" s="698"/>
      <c r="AT107" s="490"/>
      <c r="AU107" s="580"/>
      <c r="AV107" s="447"/>
      <c r="AW107" s="437"/>
      <c r="AX107" s="447"/>
      <c r="AY107" s="447"/>
      <c r="AZ107" s="19" t="s">
        <v>66</v>
      </c>
      <c r="BA107" s="33" t="s">
        <v>67</v>
      </c>
      <c r="BB107" s="33" t="s">
        <v>68</v>
      </c>
      <c r="BC107" s="33"/>
      <c r="BD107" s="459"/>
    </row>
    <row r="108" spans="1:56" ht="60.75" customHeight="1" thickBot="1" x14ac:dyDescent="0.3">
      <c r="A108" s="470"/>
      <c r="B108" s="470"/>
      <c r="C108" s="473"/>
      <c r="D108" s="652"/>
      <c r="E108" s="473"/>
      <c r="F108" s="531"/>
      <c r="G108" s="71"/>
      <c r="H108" s="71"/>
      <c r="I108" s="71"/>
      <c r="J108" s="71"/>
      <c r="K108" s="200"/>
      <c r="L108" s="200"/>
      <c r="M108" s="200"/>
      <c r="N108" s="200"/>
      <c r="O108" s="200"/>
      <c r="P108" s="200"/>
      <c r="Q108" s="200"/>
      <c r="R108" s="200"/>
      <c r="S108" s="200"/>
      <c r="T108" s="345"/>
      <c r="U108" s="345"/>
      <c r="V108" s="128"/>
      <c r="W108" s="67"/>
      <c r="X108" s="67"/>
      <c r="Y108" s="71"/>
      <c r="Z108" s="71"/>
      <c r="AA108" s="71"/>
      <c r="AB108" s="354"/>
      <c r="AC108" s="354"/>
      <c r="AD108" s="417"/>
      <c r="AE108" s="418"/>
      <c r="AF108" s="412"/>
      <c r="AG108" s="354"/>
      <c r="AH108" s="22"/>
      <c r="AI108" s="22"/>
      <c r="AJ108" s="130"/>
      <c r="AK108" s="71"/>
      <c r="AL108" s="131"/>
      <c r="AM108" s="419"/>
      <c r="AN108" s="356"/>
      <c r="AO108" s="114"/>
      <c r="AP108" s="680" t="s">
        <v>476</v>
      </c>
      <c r="AQ108" s="502"/>
      <c r="AR108" s="115">
        <f>SUM(AR97:AR107)</f>
        <v>167519599.55000001</v>
      </c>
      <c r="AS108" s="337"/>
      <c r="AT108" s="345">
        <f ca="1">AVERAGE(AT97:AT108)</f>
        <v>0</v>
      </c>
      <c r="AU108" s="66"/>
      <c r="AV108" s="66"/>
      <c r="AW108" s="67"/>
      <c r="AX108" s="66"/>
      <c r="AY108" s="66"/>
      <c r="AZ108" s="19"/>
      <c r="BA108" s="71"/>
      <c r="BB108" s="71"/>
      <c r="BC108" s="71"/>
      <c r="BD108" s="345"/>
    </row>
    <row r="109" spans="1:56" ht="73.5" customHeight="1" x14ac:dyDescent="0.25">
      <c r="A109" s="470"/>
      <c r="B109" s="470"/>
      <c r="C109" s="473"/>
      <c r="D109" s="652"/>
      <c r="E109" s="473"/>
      <c r="F109" s="531"/>
      <c r="G109" s="533" t="s">
        <v>254</v>
      </c>
      <c r="H109" s="533" t="s">
        <v>54</v>
      </c>
      <c r="I109" s="533" t="s">
        <v>250</v>
      </c>
      <c r="J109" s="533" t="s">
        <v>255</v>
      </c>
      <c r="K109" s="469">
        <v>4</v>
      </c>
      <c r="L109" s="469">
        <v>1</v>
      </c>
      <c r="M109" s="469">
        <v>2</v>
      </c>
      <c r="N109" s="469">
        <v>1</v>
      </c>
      <c r="O109" s="469">
        <v>0</v>
      </c>
      <c r="P109" s="469">
        <v>0</v>
      </c>
      <c r="Q109" s="469">
        <v>0</v>
      </c>
      <c r="R109" s="469">
        <v>5</v>
      </c>
      <c r="S109" s="469">
        <f>M109+N109+O109+P109+Q109</f>
        <v>3</v>
      </c>
      <c r="T109" s="430">
        <f>+N109/L109</f>
        <v>1</v>
      </c>
      <c r="U109" s="430">
        <f>+S109/K109</f>
        <v>0.75</v>
      </c>
      <c r="V109" s="563" t="s">
        <v>256</v>
      </c>
      <c r="W109" s="503">
        <v>2021130010223</v>
      </c>
      <c r="X109" s="503" t="s">
        <v>257</v>
      </c>
      <c r="Y109" s="19" t="s">
        <v>258</v>
      </c>
      <c r="Z109" s="19">
        <v>1</v>
      </c>
      <c r="AA109" s="19">
        <v>0.2</v>
      </c>
      <c r="AB109" s="19">
        <v>0.42499999999999999</v>
      </c>
      <c r="AC109" s="19">
        <v>0</v>
      </c>
      <c r="AD109" s="323">
        <v>0.37499999999999994</v>
      </c>
      <c r="AE109" s="245">
        <v>1</v>
      </c>
      <c r="AF109" s="298">
        <f t="shared" si="6"/>
        <v>1</v>
      </c>
      <c r="AG109" s="740">
        <f>AVERAGE(AF109:AF127)</f>
        <v>1</v>
      </c>
      <c r="AH109" s="22">
        <v>44562</v>
      </c>
      <c r="AI109" s="22">
        <v>44926</v>
      </c>
      <c r="AJ109" s="145">
        <v>365</v>
      </c>
      <c r="AK109" s="41" t="s">
        <v>60</v>
      </c>
      <c r="AL109" s="146" t="s">
        <v>60</v>
      </c>
      <c r="AM109" s="289">
        <v>5.2600000000000001E-2</v>
      </c>
      <c r="AN109" s="446" t="s">
        <v>221</v>
      </c>
      <c r="AO109" s="436" t="s">
        <v>62</v>
      </c>
      <c r="AP109" s="578" t="s">
        <v>63</v>
      </c>
      <c r="AQ109" s="699"/>
      <c r="AR109" s="699"/>
      <c r="AS109" s="710"/>
      <c r="AT109" s="430" t="e">
        <f>AS109/AQ109</f>
        <v>#DIV/0!</v>
      </c>
      <c r="AU109" s="445" t="s">
        <v>63</v>
      </c>
      <c r="AV109" s="445" t="s">
        <v>64</v>
      </c>
      <c r="AW109" s="445"/>
      <c r="AX109" s="433" t="s">
        <v>65</v>
      </c>
      <c r="AY109" s="433">
        <f>AS109</f>
        <v>0</v>
      </c>
      <c r="AZ109" s="19" t="s">
        <v>66</v>
      </c>
      <c r="BA109" s="19" t="s">
        <v>67</v>
      </c>
      <c r="BB109" s="19" t="s">
        <v>68</v>
      </c>
      <c r="BC109" s="19"/>
      <c r="BD109" s="430"/>
    </row>
    <row r="110" spans="1:56" ht="41.25" customHeight="1" thickBot="1" x14ac:dyDescent="0.3">
      <c r="A110" s="470"/>
      <c r="B110" s="470"/>
      <c r="C110" s="473"/>
      <c r="D110" s="652"/>
      <c r="E110" s="473"/>
      <c r="F110" s="531"/>
      <c r="G110" s="534"/>
      <c r="H110" s="534"/>
      <c r="I110" s="534"/>
      <c r="J110" s="534"/>
      <c r="K110" s="470"/>
      <c r="L110" s="471"/>
      <c r="M110" s="471"/>
      <c r="N110" s="471"/>
      <c r="O110" s="471"/>
      <c r="P110" s="471"/>
      <c r="Q110" s="471"/>
      <c r="R110" s="471"/>
      <c r="S110" s="471"/>
      <c r="T110" s="459"/>
      <c r="U110" s="459"/>
      <c r="V110" s="492"/>
      <c r="W110" s="504"/>
      <c r="X110" s="504"/>
      <c r="Y110" s="26" t="s">
        <v>253</v>
      </c>
      <c r="Z110" s="26">
        <v>1</v>
      </c>
      <c r="AA110" s="26">
        <v>0</v>
      </c>
      <c r="AB110" s="88">
        <v>0.1</v>
      </c>
      <c r="AC110" s="88">
        <v>0.2</v>
      </c>
      <c r="AD110" s="320">
        <v>0.70000000000000007</v>
      </c>
      <c r="AE110" s="329">
        <v>1</v>
      </c>
      <c r="AF110" s="293">
        <f>SUM(AA110:AD110)</f>
        <v>1</v>
      </c>
      <c r="AG110" s="738"/>
      <c r="AH110" s="22">
        <v>44562</v>
      </c>
      <c r="AI110" s="22">
        <v>44926</v>
      </c>
      <c r="AJ110" s="92">
        <v>365</v>
      </c>
      <c r="AK110" s="26" t="s">
        <v>60</v>
      </c>
      <c r="AL110" s="123" t="s">
        <v>60</v>
      </c>
      <c r="AM110" s="289">
        <v>5.2600000000000001E-2</v>
      </c>
      <c r="AN110" s="446"/>
      <c r="AO110" s="437"/>
      <c r="AP110" s="578"/>
      <c r="AQ110" s="699"/>
      <c r="AR110" s="699"/>
      <c r="AS110" s="711"/>
      <c r="AT110" s="431"/>
      <c r="AU110" s="446"/>
      <c r="AV110" s="446"/>
      <c r="AW110" s="446"/>
      <c r="AX110" s="434"/>
      <c r="AY110" s="434"/>
      <c r="AZ110" s="19" t="s">
        <v>66</v>
      </c>
      <c r="BA110" s="26" t="s">
        <v>67</v>
      </c>
      <c r="BB110" s="26" t="s">
        <v>68</v>
      </c>
      <c r="BC110" s="26"/>
      <c r="BD110" s="459"/>
    </row>
    <row r="111" spans="1:56" ht="28.5" x14ac:dyDescent="0.25">
      <c r="A111" s="470"/>
      <c r="B111" s="470"/>
      <c r="C111" s="473"/>
      <c r="D111" s="652"/>
      <c r="E111" s="473"/>
      <c r="F111" s="531"/>
      <c r="G111" s="533" t="s">
        <v>259</v>
      </c>
      <c r="H111" s="533" t="s">
        <v>54</v>
      </c>
      <c r="I111" s="533" t="s">
        <v>260</v>
      </c>
      <c r="J111" s="533" t="s">
        <v>261</v>
      </c>
      <c r="K111" s="469">
        <v>4</v>
      </c>
      <c r="L111" s="469">
        <v>2</v>
      </c>
      <c r="M111" s="469">
        <v>2</v>
      </c>
      <c r="N111" s="469">
        <v>1</v>
      </c>
      <c r="O111" s="469">
        <v>0</v>
      </c>
      <c r="P111" s="469">
        <v>0</v>
      </c>
      <c r="Q111" s="469">
        <v>1</v>
      </c>
      <c r="R111" s="469">
        <v>5</v>
      </c>
      <c r="S111" s="469">
        <f>M111+N111+O111+Q111+P111</f>
        <v>4</v>
      </c>
      <c r="T111" s="430">
        <f>+SUM(N111:Q111)/L111</f>
        <v>1</v>
      </c>
      <c r="U111" s="430">
        <f>+S111/K111</f>
        <v>1</v>
      </c>
      <c r="V111" s="492"/>
      <c r="W111" s="504"/>
      <c r="X111" s="504"/>
      <c r="Y111" s="26" t="s">
        <v>262</v>
      </c>
      <c r="Z111" s="26" t="s">
        <v>263</v>
      </c>
      <c r="AA111" s="26">
        <v>0.2</v>
      </c>
      <c r="AB111" s="26">
        <v>0.1</v>
      </c>
      <c r="AC111" s="26">
        <v>0.7</v>
      </c>
      <c r="AD111" s="93">
        <v>0</v>
      </c>
      <c r="AE111" s="56">
        <v>1</v>
      </c>
      <c r="AF111" s="293">
        <f>SUM(AA111:AD111)</f>
        <v>1</v>
      </c>
      <c r="AG111" s="738"/>
      <c r="AH111" s="22">
        <v>44562</v>
      </c>
      <c r="AI111" s="22">
        <v>44926</v>
      </c>
      <c r="AJ111" s="92">
        <v>365</v>
      </c>
      <c r="AK111" s="26" t="s">
        <v>60</v>
      </c>
      <c r="AL111" s="123" t="s">
        <v>60</v>
      </c>
      <c r="AM111" s="289">
        <v>5.2600000000000001E-2</v>
      </c>
      <c r="AN111" s="446"/>
      <c r="AO111" s="437"/>
      <c r="AP111" s="578"/>
      <c r="AQ111" s="699"/>
      <c r="AR111" s="699"/>
      <c r="AS111" s="711"/>
      <c r="AT111" s="431"/>
      <c r="AU111" s="446"/>
      <c r="AV111" s="446"/>
      <c r="AW111" s="446"/>
      <c r="AX111" s="434"/>
      <c r="AY111" s="434"/>
      <c r="AZ111" s="19" t="s">
        <v>66</v>
      </c>
      <c r="BA111" s="26" t="s">
        <v>67</v>
      </c>
      <c r="BB111" s="26" t="s">
        <v>68</v>
      </c>
      <c r="BC111" s="26"/>
      <c r="BD111" s="430"/>
    </row>
    <row r="112" spans="1:56" ht="57" x14ac:dyDescent="0.25">
      <c r="A112" s="470"/>
      <c r="B112" s="470"/>
      <c r="C112" s="473"/>
      <c r="D112" s="652"/>
      <c r="E112" s="473"/>
      <c r="F112" s="531"/>
      <c r="G112" s="534"/>
      <c r="H112" s="534"/>
      <c r="I112" s="534"/>
      <c r="J112" s="534"/>
      <c r="K112" s="470"/>
      <c r="L112" s="470"/>
      <c r="M112" s="470"/>
      <c r="N112" s="470"/>
      <c r="O112" s="470"/>
      <c r="P112" s="470"/>
      <c r="Q112" s="470"/>
      <c r="R112" s="470"/>
      <c r="S112" s="470"/>
      <c r="T112" s="431"/>
      <c r="U112" s="431"/>
      <c r="V112" s="492"/>
      <c r="W112" s="504"/>
      <c r="X112" s="504"/>
      <c r="Y112" s="26" t="s">
        <v>264</v>
      </c>
      <c r="Z112" s="26">
        <v>1</v>
      </c>
      <c r="AA112" s="26">
        <v>0</v>
      </c>
      <c r="AB112" s="26">
        <v>0.2</v>
      </c>
      <c r="AC112" s="26">
        <v>0.8</v>
      </c>
      <c r="AD112" s="93">
        <v>-5.5511151231257827E-17</v>
      </c>
      <c r="AE112" s="56">
        <v>1</v>
      </c>
      <c r="AF112" s="293">
        <f>SUM(AA112:AD112)</f>
        <v>1</v>
      </c>
      <c r="AG112" s="738"/>
      <c r="AH112" s="22">
        <v>44562</v>
      </c>
      <c r="AI112" s="22">
        <v>44926</v>
      </c>
      <c r="AJ112" s="92">
        <v>365</v>
      </c>
      <c r="AK112" s="26" t="s">
        <v>60</v>
      </c>
      <c r="AL112" s="123" t="s">
        <v>60</v>
      </c>
      <c r="AM112" s="289">
        <v>5.2600000000000001E-2</v>
      </c>
      <c r="AN112" s="446"/>
      <c r="AO112" s="437"/>
      <c r="AP112" s="578"/>
      <c r="AQ112" s="699"/>
      <c r="AR112" s="699"/>
      <c r="AS112" s="711"/>
      <c r="AT112" s="431"/>
      <c r="AU112" s="446"/>
      <c r="AV112" s="446"/>
      <c r="AW112" s="446"/>
      <c r="AX112" s="434"/>
      <c r="AY112" s="434"/>
      <c r="AZ112" s="19" t="s">
        <v>66</v>
      </c>
      <c r="BA112" s="26" t="s">
        <v>67</v>
      </c>
      <c r="BB112" s="26" t="s">
        <v>68</v>
      </c>
      <c r="BC112" s="26"/>
      <c r="BD112" s="431"/>
    </row>
    <row r="113" spans="1:56" ht="24.75" customHeight="1" thickBot="1" x14ac:dyDescent="0.3">
      <c r="A113" s="470"/>
      <c r="B113" s="470"/>
      <c r="C113" s="473"/>
      <c r="D113" s="652"/>
      <c r="E113" s="473"/>
      <c r="F113" s="531"/>
      <c r="G113" s="534"/>
      <c r="H113" s="534"/>
      <c r="I113" s="534"/>
      <c r="J113" s="534"/>
      <c r="K113" s="470"/>
      <c r="L113" s="470"/>
      <c r="M113" s="470"/>
      <c r="N113" s="470"/>
      <c r="O113" s="470"/>
      <c r="P113" s="470"/>
      <c r="Q113" s="470"/>
      <c r="R113" s="470"/>
      <c r="S113" s="470"/>
      <c r="T113" s="431"/>
      <c r="U113" s="431"/>
      <c r="V113" s="492"/>
      <c r="W113" s="504"/>
      <c r="X113" s="504"/>
      <c r="Y113" s="26" t="s">
        <v>265</v>
      </c>
      <c r="Z113" s="26">
        <v>1</v>
      </c>
      <c r="AA113" s="26">
        <v>0</v>
      </c>
      <c r="AB113" s="26">
        <v>0</v>
      </c>
      <c r="AC113" s="26">
        <v>0.5</v>
      </c>
      <c r="AD113" s="93">
        <v>0.5</v>
      </c>
      <c r="AE113" s="56">
        <v>1</v>
      </c>
      <c r="AF113" s="293">
        <f>SUM(AA113:AD113)</f>
        <v>1</v>
      </c>
      <c r="AG113" s="738"/>
      <c r="AH113" s="22">
        <v>44562</v>
      </c>
      <c r="AI113" s="22">
        <v>44926</v>
      </c>
      <c r="AJ113" s="92">
        <v>365</v>
      </c>
      <c r="AK113" s="26" t="s">
        <v>60</v>
      </c>
      <c r="AL113" s="123" t="s">
        <v>60</v>
      </c>
      <c r="AM113" s="289">
        <v>5.2600000000000001E-2</v>
      </c>
      <c r="AN113" s="446"/>
      <c r="AO113" s="437"/>
      <c r="AP113" s="578"/>
      <c r="AQ113" s="699"/>
      <c r="AR113" s="699"/>
      <c r="AS113" s="711"/>
      <c r="AT113" s="431"/>
      <c r="AU113" s="446"/>
      <c r="AV113" s="446"/>
      <c r="AW113" s="446"/>
      <c r="AX113" s="434"/>
      <c r="AY113" s="434"/>
      <c r="AZ113" s="19" t="s">
        <v>66</v>
      </c>
      <c r="BA113" s="26" t="s">
        <v>67</v>
      </c>
      <c r="BB113" s="26" t="s">
        <v>68</v>
      </c>
      <c r="BC113" s="26"/>
      <c r="BD113" s="431"/>
    </row>
    <row r="114" spans="1:56" ht="86.25" hidden="1" thickBot="1" x14ac:dyDescent="0.3">
      <c r="A114" s="470"/>
      <c r="B114" s="470"/>
      <c r="C114" s="473"/>
      <c r="D114" s="652"/>
      <c r="E114" s="473"/>
      <c r="F114" s="531"/>
      <c r="G114" s="534"/>
      <c r="H114" s="534"/>
      <c r="I114" s="534"/>
      <c r="J114" s="534"/>
      <c r="K114" s="470"/>
      <c r="L114" s="470"/>
      <c r="M114" s="470"/>
      <c r="N114" s="470"/>
      <c r="O114" s="470"/>
      <c r="P114" s="470"/>
      <c r="Q114" s="470"/>
      <c r="R114" s="200"/>
      <c r="S114" s="470"/>
      <c r="T114" s="431"/>
      <c r="U114" s="431"/>
      <c r="V114" s="492"/>
      <c r="W114" s="504"/>
      <c r="X114" s="504"/>
      <c r="Y114" s="26" t="s">
        <v>266</v>
      </c>
      <c r="Z114" s="26">
        <v>1</v>
      </c>
      <c r="AA114" s="26">
        <v>0.127</v>
      </c>
      <c r="AB114" s="26">
        <f>0.677+0.2</f>
        <v>0.877</v>
      </c>
      <c r="AC114" s="26">
        <v>0</v>
      </c>
      <c r="AD114" s="93">
        <v>-4.0000000000000036E-3</v>
      </c>
      <c r="AE114" s="56">
        <v>1</v>
      </c>
      <c r="AF114" s="293">
        <f t="shared" si="6"/>
        <v>1</v>
      </c>
      <c r="AG114" s="738"/>
      <c r="AH114" s="22">
        <v>44562</v>
      </c>
      <c r="AI114" s="22">
        <v>44926</v>
      </c>
      <c r="AJ114" s="92">
        <v>365</v>
      </c>
      <c r="AK114" s="26" t="s">
        <v>60</v>
      </c>
      <c r="AL114" s="123" t="s">
        <v>60</v>
      </c>
      <c r="AM114" s="289">
        <v>5.2600000000000001E-2</v>
      </c>
      <c r="AN114" s="446"/>
      <c r="AO114" s="437"/>
      <c r="AP114" s="578"/>
      <c r="AQ114" s="699"/>
      <c r="AR114" s="699"/>
      <c r="AS114" s="711"/>
      <c r="AT114" s="431"/>
      <c r="AU114" s="446"/>
      <c r="AV114" s="446"/>
      <c r="AW114" s="446"/>
      <c r="AX114" s="434"/>
      <c r="AY114" s="434"/>
      <c r="AZ114" s="19" t="s">
        <v>66</v>
      </c>
      <c r="BA114" s="26" t="s">
        <v>67</v>
      </c>
      <c r="BB114" s="26" t="s">
        <v>68</v>
      </c>
      <c r="BC114" s="26"/>
      <c r="BD114" s="431"/>
    </row>
    <row r="115" spans="1:56" ht="42" hidden="1" customHeight="1" thickBot="1" x14ac:dyDescent="0.3">
      <c r="A115" s="470"/>
      <c r="B115" s="470"/>
      <c r="C115" s="473"/>
      <c r="D115" s="652"/>
      <c r="E115" s="473"/>
      <c r="F115" s="531"/>
      <c r="G115" s="534"/>
      <c r="H115" s="534"/>
      <c r="I115" s="534"/>
      <c r="J115" s="534"/>
      <c r="K115" s="470"/>
      <c r="L115" s="470"/>
      <c r="M115" s="470"/>
      <c r="N115" s="470"/>
      <c r="O115" s="470"/>
      <c r="P115" s="470"/>
      <c r="Q115" s="470"/>
      <c r="R115" s="200"/>
      <c r="S115" s="470"/>
      <c r="T115" s="431"/>
      <c r="U115" s="431"/>
      <c r="V115" s="492"/>
      <c r="W115" s="504"/>
      <c r="X115" s="504"/>
      <c r="Y115" s="26" t="s">
        <v>267</v>
      </c>
      <c r="Z115" s="26">
        <v>1</v>
      </c>
      <c r="AA115" s="26">
        <v>0</v>
      </c>
      <c r="AB115" s="26">
        <v>0</v>
      </c>
      <c r="AC115" s="26">
        <v>0.25</v>
      </c>
      <c r="AD115" s="93">
        <v>0.75</v>
      </c>
      <c r="AE115" s="56">
        <v>1</v>
      </c>
      <c r="AF115" s="293">
        <f t="shared" si="6"/>
        <v>1</v>
      </c>
      <c r="AG115" s="738"/>
      <c r="AH115" s="22">
        <v>44562</v>
      </c>
      <c r="AI115" s="22">
        <v>44926</v>
      </c>
      <c r="AJ115" s="92">
        <v>365</v>
      </c>
      <c r="AK115" s="26" t="s">
        <v>60</v>
      </c>
      <c r="AL115" s="123" t="s">
        <v>60</v>
      </c>
      <c r="AM115" s="289">
        <v>5.2600000000000001E-2</v>
      </c>
      <c r="AN115" s="446"/>
      <c r="AO115" s="437"/>
      <c r="AP115" s="578"/>
      <c r="AQ115" s="699"/>
      <c r="AR115" s="699"/>
      <c r="AS115" s="711"/>
      <c r="AT115" s="431"/>
      <c r="AU115" s="446"/>
      <c r="AV115" s="446"/>
      <c r="AW115" s="446"/>
      <c r="AX115" s="434"/>
      <c r="AY115" s="434"/>
      <c r="AZ115" s="19" t="s">
        <v>66</v>
      </c>
      <c r="BA115" s="26" t="s">
        <v>67</v>
      </c>
      <c r="BB115" s="26" t="s">
        <v>68</v>
      </c>
      <c r="BC115" s="26"/>
      <c r="BD115" s="431"/>
    </row>
    <row r="116" spans="1:56" ht="42.75" hidden="1" customHeight="1" thickBot="1" x14ac:dyDescent="0.3">
      <c r="A116" s="470"/>
      <c r="B116" s="470"/>
      <c r="C116" s="473"/>
      <c r="D116" s="652"/>
      <c r="E116" s="473"/>
      <c r="F116" s="531"/>
      <c r="G116" s="535"/>
      <c r="H116" s="535"/>
      <c r="I116" s="535"/>
      <c r="J116" s="535"/>
      <c r="K116" s="471"/>
      <c r="L116" s="471"/>
      <c r="M116" s="471"/>
      <c r="N116" s="471"/>
      <c r="O116" s="471"/>
      <c r="P116" s="471"/>
      <c r="Q116" s="471"/>
      <c r="R116" s="390"/>
      <c r="S116" s="471"/>
      <c r="T116" s="459"/>
      <c r="U116" s="459"/>
      <c r="V116" s="492"/>
      <c r="W116" s="504"/>
      <c r="X116" s="504"/>
      <c r="Y116" s="26" t="s">
        <v>268</v>
      </c>
      <c r="Z116" s="26">
        <v>1</v>
      </c>
      <c r="AA116" s="26">
        <v>0</v>
      </c>
      <c r="AB116" s="26">
        <v>0</v>
      </c>
      <c r="AC116" s="26">
        <v>0</v>
      </c>
      <c r="AD116" s="93">
        <v>1</v>
      </c>
      <c r="AE116" s="56">
        <v>1</v>
      </c>
      <c r="AF116" s="293">
        <f t="shared" si="6"/>
        <v>1</v>
      </c>
      <c r="AG116" s="738"/>
      <c r="AH116" s="22">
        <v>44562</v>
      </c>
      <c r="AI116" s="22">
        <v>44926</v>
      </c>
      <c r="AJ116" s="92">
        <v>365</v>
      </c>
      <c r="AK116" s="26" t="s">
        <v>60</v>
      </c>
      <c r="AL116" s="123" t="s">
        <v>60</v>
      </c>
      <c r="AM116" s="289">
        <v>5.2600000000000001E-2</v>
      </c>
      <c r="AN116" s="446"/>
      <c r="AO116" s="446"/>
      <c r="AP116" s="446" t="s">
        <v>451</v>
      </c>
      <c r="AQ116" s="434"/>
      <c r="AR116" s="434">
        <v>2879107.41</v>
      </c>
      <c r="AS116" s="712"/>
      <c r="AT116" s="431" t="e">
        <f>AS116/AQ116</f>
        <v>#DIV/0!</v>
      </c>
      <c r="AU116" s="446" t="s">
        <v>451</v>
      </c>
      <c r="AV116" s="446"/>
      <c r="AW116" s="446"/>
      <c r="AX116" s="434"/>
      <c r="AY116" s="434"/>
      <c r="AZ116" s="19" t="s">
        <v>66</v>
      </c>
      <c r="BA116" s="26" t="s">
        <v>67</v>
      </c>
      <c r="BB116" s="26" t="s">
        <v>68</v>
      </c>
      <c r="BC116" s="26"/>
      <c r="BD116" s="459"/>
    </row>
    <row r="117" spans="1:56" ht="99.75" x14ac:dyDescent="0.25">
      <c r="A117" s="470"/>
      <c r="B117" s="470"/>
      <c r="C117" s="473"/>
      <c r="D117" s="652"/>
      <c r="E117" s="473"/>
      <c r="F117" s="531"/>
      <c r="G117" s="533" t="s">
        <v>269</v>
      </c>
      <c r="H117" s="533" t="s">
        <v>54</v>
      </c>
      <c r="I117" s="533" t="s">
        <v>240</v>
      </c>
      <c r="J117" s="533" t="s">
        <v>270</v>
      </c>
      <c r="K117" s="469">
        <v>4</v>
      </c>
      <c r="L117" s="469">
        <v>2</v>
      </c>
      <c r="M117" s="469">
        <v>2</v>
      </c>
      <c r="N117" s="469">
        <v>1</v>
      </c>
      <c r="O117" s="469">
        <v>0</v>
      </c>
      <c r="P117" s="469">
        <v>0</v>
      </c>
      <c r="Q117" s="469">
        <v>1</v>
      </c>
      <c r="R117" s="469">
        <v>5</v>
      </c>
      <c r="S117" s="469">
        <f>M117+N117+O117+P117+Q117</f>
        <v>4</v>
      </c>
      <c r="T117" s="430">
        <f>+SUM(N117:Q117)/L117</f>
        <v>1</v>
      </c>
      <c r="U117" s="430">
        <f>+S117/K117</f>
        <v>1</v>
      </c>
      <c r="V117" s="492"/>
      <c r="W117" s="504"/>
      <c r="X117" s="504"/>
      <c r="Y117" s="26" t="s">
        <v>271</v>
      </c>
      <c r="Z117" s="26">
        <v>1</v>
      </c>
      <c r="AA117" s="26">
        <v>0.25</v>
      </c>
      <c r="AB117" s="26">
        <v>0.75</v>
      </c>
      <c r="AC117" s="26">
        <v>0</v>
      </c>
      <c r="AD117" s="93">
        <v>0</v>
      </c>
      <c r="AE117" s="56">
        <v>1</v>
      </c>
      <c r="AF117" s="293">
        <f t="shared" si="6"/>
        <v>1</v>
      </c>
      <c r="AG117" s="738"/>
      <c r="AH117" s="22">
        <v>44562</v>
      </c>
      <c r="AI117" s="22">
        <v>44926</v>
      </c>
      <c r="AJ117" s="92">
        <v>365</v>
      </c>
      <c r="AK117" s="26" t="s">
        <v>60</v>
      </c>
      <c r="AL117" s="123" t="s">
        <v>60</v>
      </c>
      <c r="AM117" s="289">
        <v>5.2600000000000001E-2</v>
      </c>
      <c r="AN117" s="446"/>
      <c r="AO117" s="446"/>
      <c r="AP117" s="446"/>
      <c r="AQ117" s="434"/>
      <c r="AR117" s="434"/>
      <c r="AS117" s="712"/>
      <c r="AT117" s="431"/>
      <c r="AU117" s="446"/>
      <c r="AV117" s="446"/>
      <c r="AW117" s="446"/>
      <c r="AX117" s="434"/>
      <c r="AY117" s="434"/>
      <c r="AZ117" s="19" t="s">
        <v>66</v>
      </c>
      <c r="BA117" s="26" t="s">
        <v>67</v>
      </c>
      <c r="BB117" s="26" t="s">
        <v>68</v>
      </c>
      <c r="BC117" s="26"/>
      <c r="BD117" s="430"/>
    </row>
    <row r="118" spans="1:56" ht="114.75" thickBot="1" x14ac:dyDescent="0.3">
      <c r="A118" s="470"/>
      <c r="B118" s="470"/>
      <c r="C118" s="473"/>
      <c r="D118" s="652"/>
      <c r="E118" s="473"/>
      <c r="F118" s="531"/>
      <c r="G118" s="534"/>
      <c r="H118" s="534"/>
      <c r="I118" s="534"/>
      <c r="J118" s="534"/>
      <c r="K118" s="470"/>
      <c r="L118" s="470"/>
      <c r="M118" s="470"/>
      <c r="N118" s="470"/>
      <c r="O118" s="470"/>
      <c r="P118" s="470"/>
      <c r="Q118" s="470"/>
      <c r="R118" s="470"/>
      <c r="S118" s="470"/>
      <c r="T118" s="431"/>
      <c r="U118" s="431"/>
      <c r="V118" s="492"/>
      <c r="W118" s="504"/>
      <c r="X118" s="504"/>
      <c r="Y118" s="26" t="s">
        <v>272</v>
      </c>
      <c r="Z118" s="26">
        <v>1</v>
      </c>
      <c r="AA118" s="26">
        <v>0</v>
      </c>
      <c r="AB118" s="88">
        <v>0.14000000000000001</v>
      </c>
      <c r="AC118" s="88">
        <v>0.86</v>
      </c>
      <c r="AD118" s="320">
        <v>0</v>
      </c>
      <c r="AE118" s="329">
        <v>1</v>
      </c>
      <c r="AF118" s="293">
        <f t="shared" si="6"/>
        <v>1</v>
      </c>
      <c r="AG118" s="738"/>
      <c r="AH118" s="22">
        <v>44562</v>
      </c>
      <c r="AI118" s="22">
        <v>44926</v>
      </c>
      <c r="AJ118" s="92">
        <v>365</v>
      </c>
      <c r="AK118" s="26" t="s">
        <v>60</v>
      </c>
      <c r="AL118" s="123" t="s">
        <v>60</v>
      </c>
      <c r="AM118" s="289">
        <v>5.2600000000000001E-2</v>
      </c>
      <c r="AN118" s="446"/>
      <c r="AO118" s="446"/>
      <c r="AP118" s="447"/>
      <c r="AQ118" s="435"/>
      <c r="AR118" s="435"/>
      <c r="AS118" s="713"/>
      <c r="AT118" s="459"/>
      <c r="AU118" s="447"/>
      <c r="AV118" s="447"/>
      <c r="AW118" s="446"/>
      <c r="AX118" s="435"/>
      <c r="AY118" s="435"/>
      <c r="AZ118" s="19" t="s">
        <v>66</v>
      </c>
      <c r="BA118" s="26" t="s">
        <v>67</v>
      </c>
      <c r="BB118" s="26" t="s">
        <v>68</v>
      </c>
      <c r="BC118" s="26"/>
      <c r="BD118" s="431"/>
    </row>
    <row r="119" spans="1:56" ht="51" customHeight="1" x14ac:dyDescent="0.25">
      <c r="A119" s="470"/>
      <c r="B119" s="470"/>
      <c r="C119" s="473"/>
      <c r="D119" s="652"/>
      <c r="E119" s="473"/>
      <c r="F119" s="531"/>
      <c r="G119" s="534"/>
      <c r="H119" s="534"/>
      <c r="I119" s="534"/>
      <c r="J119" s="534"/>
      <c r="K119" s="470"/>
      <c r="L119" s="470"/>
      <c r="M119" s="470"/>
      <c r="N119" s="470"/>
      <c r="O119" s="470"/>
      <c r="P119" s="470"/>
      <c r="Q119" s="470"/>
      <c r="R119" s="470"/>
      <c r="S119" s="470"/>
      <c r="T119" s="431"/>
      <c r="U119" s="431"/>
      <c r="V119" s="492"/>
      <c r="W119" s="504"/>
      <c r="X119" s="504"/>
      <c r="Y119" s="26" t="s">
        <v>273</v>
      </c>
      <c r="Z119" s="26">
        <v>1</v>
      </c>
      <c r="AA119" s="26">
        <v>0.21</v>
      </c>
      <c r="AB119" s="26">
        <v>0.46500000000000002</v>
      </c>
      <c r="AC119" s="26">
        <v>0</v>
      </c>
      <c r="AD119" s="93">
        <v>0.32499999999999996</v>
      </c>
      <c r="AE119" s="56">
        <v>1</v>
      </c>
      <c r="AF119" s="295">
        <f t="shared" si="6"/>
        <v>1</v>
      </c>
      <c r="AG119" s="738"/>
      <c r="AH119" s="22">
        <v>44562</v>
      </c>
      <c r="AI119" s="22">
        <v>44926</v>
      </c>
      <c r="AJ119" s="92">
        <v>365</v>
      </c>
      <c r="AK119" s="26" t="s">
        <v>60</v>
      </c>
      <c r="AL119" s="123" t="s">
        <v>60</v>
      </c>
      <c r="AM119" s="289">
        <v>5.2600000000000001E-2</v>
      </c>
      <c r="AN119" s="446"/>
      <c r="AO119" s="446"/>
      <c r="AP119" s="445" t="s">
        <v>73</v>
      </c>
      <c r="AQ119" s="433"/>
      <c r="AR119" s="433">
        <v>20000000</v>
      </c>
      <c r="AS119" s="726"/>
      <c r="AT119" s="430">
        <v>0</v>
      </c>
      <c r="AU119" s="445" t="s">
        <v>73</v>
      </c>
      <c r="AV119" s="445" t="s">
        <v>64</v>
      </c>
      <c r="AW119" s="446"/>
      <c r="AX119" s="433" t="s">
        <v>65</v>
      </c>
      <c r="AY119" s="445">
        <f>AS119</f>
        <v>0</v>
      </c>
      <c r="AZ119" s="19" t="s">
        <v>66</v>
      </c>
      <c r="BA119" s="26" t="s">
        <v>67</v>
      </c>
      <c r="BB119" s="26" t="s">
        <v>68</v>
      </c>
      <c r="BC119" s="26"/>
      <c r="BD119" s="431"/>
    </row>
    <row r="120" spans="1:56" ht="43.5" customHeight="1" thickBot="1" x14ac:dyDescent="0.3">
      <c r="A120" s="470"/>
      <c r="B120" s="470"/>
      <c r="C120" s="473"/>
      <c r="D120" s="652"/>
      <c r="E120" s="473"/>
      <c r="F120" s="531"/>
      <c r="G120" s="534"/>
      <c r="H120" s="534"/>
      <c r="I120" s="534"/>
      <c r="J120" s="534"/>
      <c r="K120" s="470"/>
      <c r="L120" s="470"/>
      <c r="M120" s="470"/>
      <c r="N120" s="470"/>
      <c r="O120" s="470"/>
      <c r="P120" s="470"/>
      <c r="Q120" s="470"/>
      <c r="R120" s="470"/>
      <c r="S120" s="470"/>
      <c r="T120" s="431"/>
      <c r="U120" s="431"/>
      <c r="V120" s="492"/>
      <c r="W120" s="504"/>
      <c r="X120" s="504"/>
      <c r="Y120" s="26" t="s">
        <v>274</v>
      </c>
      <c r="Z120" s="26">
        <v>1</v>
      </c>
      <c r="AA120" s="26">
        <v>0</v>
      </c>
      <c r="AB120" s="26">
        <v>0</v>
      </c>
      <c r="AC120" s="26">
        <v>0.7</v>
      </c>
      <c r="AD120" s="93">
        <v>0.30000000000000004</v>
      </c>
      <c r="AE120" s="56">
        <v>1</v>
      </c>
      <c r="AF120" s="293">
        <f t="shared" si="6"/>
        <v>1</v>
      </c>
      <c r="AG120" s="738"/>
      <c r="AH120" s="22">
        <v>44562</v>
      </c>
      <c r="AI120" s="22">
        <v>44926</v>
      </c>
      <c r="AJ120" s="92">
        <v>365</v>
      </c>
      <c r="AK120" s="26" t="s">
        <v>60</v>
      </c>
      <c r="AL120" s="123" t="s">
        <v>60</v>
      </c>
      <c r="AM120" s="289">
        <v>5.2600000000000001E-2</v>
      </c>
      <c r="AN120" s="446"/>
      <c r="AO120" s="446"/>
      <c r="AP120" s="446"/>
      <c r="AQ120" s="434"/>
      <c r="AR120" s="434"/>
      <c r="AS120" s="712"/>
      <c r="AT120" s="431"/>
      <c r="AU120" s="446"/>
      <c r="AV120" s="446"/>
      <c r="AW120" s="446"/>
      <c r="AX120" s="434"/>
      <c r="AY120" s="446"/>
      <c r="AZ120" s="19" t="s">
        <v>66</v>
      </c>
      <c r="BA120" s="26" t="s">
        <v>67</v>
      </c>
      <c r="BB120" s="26" t="s">
        <v>68</v>
      </c>
      <c r="BC120" s="26"/>
      <c r="BD120" s="431"/>
    </row>
    <row r="121" spans="1:56" ht="84" hidden="1" customHeight="1" thickBot="1" x14ac:dyDescent="0.3">
      <c r="A121" s="470"/>
      <c r="B121" s="470"/>
      <c r="C121" s="473"/>
      <c r="D121" s="652"/>
      <c r="E121" s="473"/>
      <c r="F121" s="531"/>
      <c r="G121" s="534"/>
      <c r="H121" s="534"/>
      <c r="I121" s="534"/>
      <c r="J121" s="534"/>
      <c r="K121" s="470"/>
      <c r="L121" s="470"/>
      <c r="M121" s="470"/>
      <c r="N121" s="470"/>
      <c r="O121" s="470"/>
      <c r="P121" s="470"/>
      <c r="Q121" s="470"/>
      <c r="R121" s="470"/>
      <c r="S121" s="470"/>
      <c r="T121" s="431"/>
      <c r="U121" s="431"/>
      <c r="V121" s="492"/>
      <c r="W121" s="504"/>
      <c r="X121" s="504"/>
      <c r="Y121" s="26" t="s">
        <v>275</v>
      </c>
      <c r="Z121" s="26">
        <v>1</v>
      </c>
      <c r="AA121" s="26">
        <v>0</v>
      </c>
      <c r="AB121" s="26">
        <v>1</v>
      </c>
      <c r="AC121" s="26">
        <v>0</v>
      </c>
      <c r="AD121" s="93">
        <v>0</v>
      </c>
      <c r="AE121" s="56">
        <v>1</v>
      </c>
      <c r="AF121" s="293">
        <f t="shared" si="6"/>
        <v>1</v>
      </c>
      <c r="AG121" s="738"/>
      <c r="AH121" s="22">
        <v>44562</v>
      </c>
      <c r="AI121" s="22">
        <v>44926</v>
      </c>
      <c r="AJ121" s="92">
        <v>365</v>
      </c>
      <c r="AK121" s="26" t="s">
        <v>60</v>
      </c>
      <c r="AL121" s="123" t="s">
        <v>60</v>
      </c>
      <c r="AM121" s="289">
        <v>5.2600000000000001E-2</v>
      </c>
      <c r="AN121" s="446"/>
      <c r="AO121" s="446"/>
      <c r="AP121" s="446"/>
      <c r="AQ121" s="434"/>
      <c r="AR121" s="434"/>
      <c r="AS121" s="712"/>
      <c r="AT121" s="431"/>
      <c r="AU121" s="446"/>
      <c r="AV121" s="446"/>
      <c r="AW121" s="446"/>
      <c r="AX121" s="434"/>
      <c r="AY121" s="446"/>
      <c r="AZ121" s="19" t="s">
        <v>66</v>
      </c>
      <c r="BA121" s="26" t="s">
        <v>67</v>
      </c>
      <c r="BB121" s="26" t="s">
        <v>68</v>
      </c>
      <c r="BC121" s="26"/>
      <c r="BD121" s="431"/>
    </row>
    <row r="122" spans="1:56" ht="72" hidden="1" thickBot="1" x14ac:dyDescent="0.3">
      <c r="A122" s="470"/>
      <c r="B122" s="470"/>
      <c r="C122" s="473"/>
      <c r="D122" s="652"/>
      <c r="E122" s="473"/>
      <c r="F122" s="531"/>
      <c r="G122" s="535"/>
      <c r="H122" s="535"/>
      <c r="I122" s="535"/>
      <c r="J122" s="535"/>
      <c r="K122" s="471"/>
      <c r="L122" s="471"/>
      <c r="M122" s="471"/>
      <c r="N122" s="471"/>
      <c r="O122" s="471"/>
      <c r="P122" s="471"/>
      <c r="Q122" s="471"/>
      <c r="R122" s="471"/>
      <c r="S122" s="471"/>
      <c r="T122" s="459"/>
      <c r="U122" s="459"/>
      <c r="V122" s="492"/>
      <c r="W122" s="504"/>
      <c r="X122" s="504"/>
      <c r="Y122" s="26" t="s">
        <v>276</v>
      </c>
      <c r="Z122" s="26">
        <v>1</v>
      </c>
      <c r="AA122" s="26">
        <v>0</v>
      </c>
      <c r="AB122" s="26">
        <v>0</v>
      </c>
      <c r="AC122" s="26">
        <v>1</v>
      </c>
      <c r="AD122" s="93">
        <v>0</v>
      </c>
      <c r="AE122" s="56">
        <v>1</v>
      </c>
      <c r="AF122" s="293">
        <f t="shared" si="6"/>
        <v>1</v>
      </c>
      <c r="AG122" s="738"/>
      <c r="AH122" s="22">
        <v>44562</v>
      </c>
      <c r="AI122" s="22">
        <v>44926</v>
      </c>
      <c r="AJ122" s="92">
        <v>365</v>
      </c>
      <c r="AK122" s="26" t="s">
        <v>60</v>
      </c>
      <c r="AL122" s="123" t="s">
        <v>60</v>
      </c>
      <c r="AM122" s="289">
        <v>5.2600000000000001E-2</v>
      </c>
      <c r="AN122" s="446"/>
      <c r="AO122" s="446"/>
      <c r="AP122" s="446"/>
      <c r="AQ122" s="434"/>
      <c r="AR122" s="434"/>
      <c r="AS122" s="712"/>
      <c r="AT122" s="431"/>
      <c r="AU122" s="446"/>
      <c r="AV122" s="446"/>
      <c r="AW122" s="446"/>
      <c r="AX122" s="434"/>
      <c r="AY122" s="446"/>
      <c r="AZ122" s="19" t="s">
        <v>66</v>
      </c>
      <c r="BA122" s="26" t="s">
        <v>67</v>
      </c>
      <c r="BB122" s="26" t="s">
        <v>68</v>
      </c>
      <c r="BC122" s="26"/>
      <c r="BD122" s="459"/>
    </row>
    <row r="123" spans="1:56" ht="72.75" customHeight="1" x14ac:dyDescent="0.25">
      <c r="A123" s="470"/>
      <c r="B123" s="470"/>
      <c r="C123" s="473"/>
      <c r="D123" s="652"/>
      <c r="E123" s="473"/>
      <c r="F123" s="531"/>
      <c r="G123" s="533" t="s">
        <v>277</v>
      </c>
      <c r="H123" s="533" t="s">
        <v>54</v>
      </c>
      <c r="I123" s="533" t="s">
        <v>250</v>
      </c>
      <c r="J123" s="533" t="s">
        <v>278</v>
      </c>
      <c r="K123" s="469">
        <v>1</v>
      </c>
      <c r="L123" s="469">
        <v>1</v>
      </c>
      <c r="M123" s="469">
        <v>0</v>
      </c>
      <c r="N123" s="469">
        <v>0</v>
      </c>
      <c r="O123" s="512">
        <v>0</v>
      </c>
      <c r="P123" s="515">
        <v>0.52</v>
      </c>
      <c r="Q123" s="515">
        <v>0.48</v>
      </c>
      <c r="R123" s="515">
        <f>SUM(N123:Q127)</f>
        <v>1</v>
      </c>
      <c r="S123" s="515">
        <f>M123+O123+P123+Q123</f>
        <v>1</v>
      </c>
      <c r="T123" s="430">
        <f>+S123/L123</f>
        <v>1</v>
      </c>
      <c r="U123" s="430">
        <f>+S123/K123</f>
        <v>1</v>
      </c>
      <c r="V123" s="492"/>
      <c r="W123" s="504"/>
      <c r="X123" s="504"/>
      <c r="Y123" s="26" t="s">
        <v>279</v>
      </c>
      <c r="Z123" s="26">
        <v>1</v>
      </c>
      <c r="AA123" s="26">
        <v>0.2</v>
      </c>
      <c r="AB123" s="26">
        <v>0.8</v>
      </c>
      <c r="AC123" s="26">
        <v>0</v>
      </c>
      <c r="AD123" s="93">
        <v>0</v>
      </c>
      <c r="AE123" s="56">
        <v>1</v>
      </c>
      <c r="AF123" s="293">
        <f t="shared" si="6"/>
        <v>1</v>
      </c>
      <c r="AG123" s="738"/>
      <c r="AH123" s="22">
        <v>44562</v>
      </c>
      <c r="AI123" s="22">
        <v>44926</v>
      </c>
      <c r="AJ123" s="92">
        <v>365</v>
      </c>
      <c r="AK123" s="26" t="s">
        <v>60</v>
      </c>
      <c r="AL123" s="123" t="s">
        <v>60</v>
      </c>
      <c r="AM123" s="289">
        <v>5.2600000000000001E-2</v>
      </c>
      <c r="AN123" s="446"/>
      <c r="AO123" s="446"/>
      <c r="AP123" s="446"/>
      <c r="AQ123" s="434"/>
      <c r="AR123" s="434"/>
      <c r="AS123" s="712"/>
      <c r="AT123" s="431"/>
      <c r="AU123" s="446"/>
      <c r="AV123" s="446"/>
      <c r="AW123" s="446"/>
      <c r="AX123" s="434"/>
      <c r="AY123" s="446"/>
      <c r="AZ123" s="19" t="s">
        <v>66</v>
      </c>
      <c r="BA123" s="26" t="s">
        <v>67</v>
      </c>
      <c r="BB123" s="26" t="s">
        <v>68</v>
      </c>
      <c r="BC123" s="26"/>
      <c r="BD123" s="430"/>
    </row>
    <row r="124" spans="1:56" ht="43.5" x14ac:dyDescent="0.25">
      <c r="A124" s="470"/>
      <c r="B124" s="470"/>
      <c r="C124" s="473"/>
      <c r="D124" s="652"/>
      <c r="E124" s="473"/>
      <c r="F124" s="531"/>
      <c r="G124" s="534"/>
      <c r="H124" s="534"/>
      <c r="I124" s="534"/>
      <c r="J124" s="534"/>
      <c r="K124" s="470"/>
      <c r="L124" s="470"/>
      <c r="M124" s="470"/>
      <c r="N124" s="470"/>
      <c r="O124" s="513"/>
      <c r="P124" s="516"/>
      <c r="Q124" s="516"/>
      <c r="R124" s="516"/>
      <c r="S124" s="599"/>
      <c r="T124" s="431"/>
      <c r="U124" s="431"/>
      <c r="V124" s="492"/>
      <c r="W124" s="504"/>
      <c r="X124" s="504"/>
      <c r="Y124" s="148" t="s">
        <v>280</v>
      </c>
      <c r="Z124" s="148">
        <v>1</v>
      </c>
      <c r="AA124" s="148">
        <v>0</v>
      </c>
      <c r="AB124" s="244">
        <v>1</v>
      </c>
      <c r="AC124" s="244">
        <v>0</v>
      </c>
      <c r="AD124" s="324">
        <v>0</v>
      </c>
      <c r="AE124" s="332">
        <v>1</v>
      </c>
      <c r="AF124" s="293">
        <f t="shared" si="6"/>
        <v>1</v>
      </c>
      <c r="AG124" s="738"/>
      <c r="AH124" s="22">
        <v>44562</v>
      </c>
      <c r="AI124" s="22">
        <v>44926</v>
      </c>
      <c r="AJ124" s="92">
        <v>365</v>
      </c>
      <c r="AK124" s="26" t="s">
        <v>60</v>
      </c>
      <c r="AL124" s="123" t="s">
        <v>60</v>
      </c>
      <c r="AM124" s="289">
        <v>5.2600000000000001E-2</v>
      </c>
      <c r="AN124" s="446"/>
      <c r="AO124" s="446"/>
      <c r="AP124" s="446"/>
      <c r="AQ124" s="434"/>
      <c r="AR124" s="434"/>
      <c r="AS124" s="712"/>
      <c r="AT124" s="431"/>
      <c r="AU124" s="446"/>
      <c r="AV124" s="446"/>
      <c r="AW124" s="446"/>
      <c r="AX124" s="434"/>
      <c r="AY124" s="446"/>
      <c r="AZ124" s="19" t="s">
        <v>66</v>
      </c>
      <c r="BA124" s="26" t="s">
        <v>67</v>
      </c>
      <c r="BB124" s="148" t="s">
        <v>68</v>
      </c>
      <c r="BC124" s="148"/>
      <c r="BD124" s="431"/>
    </row>
    <row r="125" spans="1:56" ht="28.5" x14ac:dyDescent="0.25">
      <c r="A125" s="470"/>
      <c r="B125" s="470"/>
      <c r="C125" s="473"/>
      <c r="D125" s="652"/>
      <c r="E125" s="473"/>
      <c r="F125" s="531"/>
      <c r="G125" s="534"/>
      <c r="H125" s="534"/>
      <c r="I125" s="534"/>
      <c r="J125" s="534"/>
      <c r="K125" s="470"/>
      <c r="L125" s="470"/>
      <c r="M125" s="470"/>
      <c r="N125" s="470"/>
      <c r="O125" s="513"/>
      <c r="P125" s="516"/>
      <c r="Q125" s="516"/>
      <c r="R125" s="516"/>
      <c r="S125" s="599"/>
      <c r="T125" s="431"/>
      <c r="U125" s="431"/>
      <c r="V125" s="492"/>
      <c r="W125" s="504"/>
      <c r="X125" s="504"/>
      <c r="Y125" s="26" t="s">
        <v>281</v>
      </c>
      <c r="Z125" s="26">
        <v>1</v>
      </c>
      <c r="AA125" s="26">
        <v>0</v>
      </c>
      <c r="AB125" s="88">
        <v>0.2</v>
      </c>
      <c r="AC125" s="88">
        <v>0.4</v>
      </c>
      <c r="AD125" s="320">
        <v>0.39999999999999997</v>
      </c>
      <c r="AE125" s="329">
        <v>1</v>
      </c>
      <c r="AF125" s="293">
        <f t="shared" si="6"/>
        <v>1</v>
      </c>
      <c r="AG125" s="738"/>
      <c r="AH125" s="22">
        <v>44562</v>
      </c>
      <c r="AI125" s="22">
        <v>44926</v>
      </c>
      <c r="AJ125" s="92">
        <v>365</v>
      </c>
      <c r="AK125" s="26" t="s">
        <v>60</v>
      </c>
      <c r="AL125" s="123" t="s">
        <v>60</v>
      </c>
      <c r="AM125" s="289">
        <v>5.2600000000000001E-2</v>
      </c>
      <c r="AN125" s="446"/>
      <c r="AO125" s="446"/>
      <c r="AP125" s="446"/>
      <c r="AQ125" s="434"/>
      <c r="AR125" s="434"/>
      <c r="AS125" s="712"/>
      <c r="AT125" s="431"/>
      <c r="AU125" s="446"/>
      <c r="AV125" s="446"/>
      <c r="AW125" s="446"/>
      <c r="AX125" s="434"/>
      <c r="AY125" s="446"/>
      <c r="AZ125" s="19" t="s">
        <v>66</v>
      </c>
      <c r="BA125" s="26" t="s">
        <v>67</v>
      </c>
      <c r="BB125" s="26" t="s">
        <v>68</v>
      </c>
      <c r="BC125" s="26"/>
      <c r="BD125" s="431"/>
    </row>
    <row r="126" spans="1:56" ht="28.5" x14ac:dyDescent="0.25">
      <c r="A126" s="470"/>
      <c r="B126" s="470"/>
      <c r="C126" s="473"/>
      <c r="D126" s="652"/>
      <c r="E126" s="473"/>
      <c r="F126" s="531"/>
      <c r="G126" s="534"/>
      <c r="H126" s="534"/>
      <c r="I126" s="534"/>
      <c r="J126" s="534"/>
      <c r="K126" s="470"/>
      <c r="L126" s="470"/>
      <c r="M126" s="470"/>
      <c r="N126" s="470"/>
      <c r="O126" s="513"/>
      <c r="P126" s="516"/>
      <c r="Q126" s="516"/>
      <c r="R126" s="516"/>
      <c r="S126" s="599"/>
      <c r="T126" s="431"/>
      <c r="U126" s="431"/>
      <c r="V126" s="492"/>
      <c r="W126" s="504"/>
      <c r="X126" s="504"/>
      <c r="Y126" s="26" t="s">
        <v>282</v>
      </c>
      <c r="Z126" s="26">
        <v>1</v>
      </c>
      <c r="AA126" s="26">
        <v>0</v>
      </c>
      <c r="AB126" s="26">
        <v>0</v>
      </c>
      <c r="AC126" s="26">
        <v>0</v>
      </c>
      <c r="AD126" s="93">
        <v>1</v>
      </c>
      <c r="AE126" s="56">
        <v>1</v>
      </c>
      <c r="AF126" s="293">
        <f t="shared" si="6"/>
        <v>1</v>
      </c>
      <c r="AG126" s="738"/>
      <c r="AH126" s="22">
        <v>44562</v>
      </c>
      <c r="AI126" s="22">
        <v>44926</v>
      </c>
      <c r="AJ126" s="92">
        <v>365</v>
      </c>
      <c r="AK126" s="26" t="s">
        <v>60</v>
      </c>
      <c r="AL126" s="123" t="s">
        <v>60</v>
      </c>
      <c r="AM126" s="289">
        <v>5.2600000000000001E-2</v>
      </c>
      <c r="AN126" s="446"/>
      <c r="AO126" s="446"/>
      <c r="AP126" s="446"/>
      <c r="AQ126" s="434"/>
      <c r="AR126" s="434"/>
      <c r="AS126" s="712"/>
      <c r="AT126" s="431"/>
      <c r="AU126" s="446"/>
      <c r="AV126" s="446"/>
      <c r="AW126" s="446"/>
      <c r="AX126" s="434"/>
      <c r="AY126" s="446"/>
      <c r="AZ126" s="19" t="s">
        <v>66</v>
      </c>
      <c r="BA126" s="26" t="s">
        <v>67</v>
      </c>
      <c r="BB126" s="26" t="s">
        <v>68</v>
      </c>
      <c r="BC126" s="26"/>
      <c r="BD126" s="431"/>
    </row>
    <row r="127" spans="1:56" ht="29.25" thickBot="1" x14ac:dyDescent="0.3">
      <c r="A127" s="470"/>
      <c r="B127" s="470"/>
      <c r="C127" s="473"/>
      <c r="D127" s="652"/>
      <c r="E127" s="473"/>
      <c r="F127" s="531"/>
      <c r="G127" s="535"/>
      <c r="H127" s="535"/>
      <c r="I127" s="535"/>
      <c r="J127" s="535"/>
      <c r="K127" s="471"/>
      <c r="L127" s="471"/>
      <c r="M127" s="471"/>
      <c r="N127" s="471"/>
      <c r="O127" s="514"/>
      <c r="P127" s="517"/>
      <c r="Q127" s="517"/>
      <c r="R127" s="517"/>
      <c r="S127" s="600"/>
      <c r="T127" s="459"/>
      <c r="U127" s="459"/>
      <c r="V127" s="492"/>
      <c r="W127" s="505"/>
      <c r="X127" s="505"/>
      <c r="Y127" s="44" t="s">
        <v>213</v>
      </c>
      <c r="Z127" s="44">
        <v>1</v>
      </c>
      <c r="AA127" s="44">
        <v>0</v>
      </c>
      <c r="AB127" s="44">
        <v>0</v>
      </c>
      <c r="AC127" s="44">
        <v>0</v>
      </c>
      <c r="AD127" s="58">
        <v>1</v>
      </c>
      <c r="AE127" s="44">
        <v>1</v>
      </c>
      <c r="AF127" s="77">
        <f t="shared" si="6"/>
        <v>1</v>
      </c>
      <c r="AG127" s="738"/>
      <c r="AH127" s="22">
        <v>44562</v>
      </c>
      <c r="AI127" s="22">
        <v>44926</v>
      </c>
      <c r="AJ127" s="125">
        <v>365</v>
      </c>
      <c r="AK127" s="44" t="s">
        <v>60</v>
      </c>
      <c r="AL127" s="126" t="s">
        <v>60</v>
      </c>
      <c r="AM127" s="291">
        <v>5.2600000000000001E-2</v>
      </c>
      <c r="AN127" s="446"/>
      <c r="AO127" s="567"/>
      <c r="AP127" s="446"/>
      <c r="AQ127" s="434"/>
      <c r="AR127" s="434"/>
      <c r="AS127" s="712"/>
      <c r="AT127" s="431"/>
      <c r="AU127" s="447"/>
      <c r="AV127" s="447"/>
      <c r="AW127" s="447"/>
      <c r="AX127" s="435"/>
      <c r="AY127" s="447"/>
      <c r="AZ127" s="19" t="s">
        <v>66</v>
      </c>
      <c r="BA127" s="44" t="s">
        <v>67</v>
      </c>
      <c r="BB127" s="44" t="s">
        <v>68</v>
      </c>
      <c r="BC127" s="44"/>
      <c r="BD127" s="431"/>
    </row>
    <row r="128" spans="1:56" ht="66" customHeight="1" thickBot="1" x14ac:dyDescent="0.3">
      <c r="A128" s="470"/>
      <c r="B128" s="470"/>
      <c r="C128" s="473"/>
      <c r="D128" s="652"/>
      <c r="E128" s="473"/>
      <c r="F128" s="531"/>
      <c r="G128" s="378"/>
      <c r="H128" s="379"/>
      <c r="I128" s="379"/>
      <c r="J128" s="379"/>
      <c r="K128" s="316"/>
      <c r="L128" s="316"/>
      <c r="M128" s="316"/>
      <c r="N128" s="316"/>
      <c r="O128" s="420"/>
      <c r="P128" s="421"/>
      <c r="Q128" s="421"/>
      <c r="R128" s="421"/>
      <c r="S128" s="422"/>
      <c r="T128" s="380"/>
      <c r="U128" s="380"/>
      <c r="V128" s="479"/>
      <c r="W128" s="64"/>
      <c r="X128" s="64"/>
      <c r="Y128" s="62"/>
      <c r="Z128" s="62"/>
      <c r="AA128" s="62"/>
      <c r="AB128" s="62"/>
      <c r="AC128" s="62"/>
      <c r="AD128" s="62"/>
      <c r="AE128" s="62"/>
      <c r="AF128" s="293"/>
      <c r="AG128" s="293"/>
      <c r="AH128" s="111"/>
      <c r="AI128" s="367"/>
      <c r="AJ128" s="125"/>
      <c r="AK128" s="58"/>
      <c r="AL128" s="62"/>
      <c r="AM128" s="288"/>
      <c r="AN128" s="64"/>
      <c r="AO128" s="356"/>
      <c r="AP128" s="681" t="s">
        <v>477</v>
      </c>
      <c r="AQ128" s="681"/>
      <c r="AR128" s="411">
        <f>SUM(AR109:AR127)</f>
        <v>22879107.41</v>
      </c>
      <c r="AS128" s="411">
        <f>SUM(AS109:AS127)</f>
        <v>0</v>
      </c>
      <c r="AT128" s="345">
        <f>+AS128/AR128</f>
        <v>0</v>
      </c>
      <c r="AU128" s="114"/>
      <c r="AV128" s="66"/>
      <c r="AW128" s="66"/>
      <c r="AX128" s="115"/>
      <c r="AY128" s="66"/>
      <c r="AZ128" s="19"/>
      <c r="BA128" s="71"/>
      <c r="BB128" s="71"/>
      <c r="BC128" s="71"/>
      <c r="BD128" s="345"/>
    </row>
    <row r="129" spans="1:56" ht="84.75" customHeight="1" thickBot="1" x14ac:dyDescent="0.3">
      <c r="A129" s="470"/>
      <c r="B129" s="470"/>
      <c r="C129" s="473"/>
      <c r="D129" s="652"/>
      <c r="E129" s="473"/>
      <c r="F129" s="532"/>
      <c r="G129" s="536" t="s">
        <v>283</v>
      </c>
      <c r="H129" s="537"/>
      <c r="I129" s="537"/>
      <c r="J129" s="537"/>
      <c r="K129" s="537"/>
      <c r="L129" s="537"/>
      <c r="M129" s="537"/>
      <c r="N129" s="537"/>
      <c r="O129" s="537"/>
      <c r="P129" s="537"/>
      <c r="Q129" s="537"/>
      <c r="R129" s="537"/>
      <c r="S129" s="537"/>
      <c r="T129" s="336">
        <f>AVERAGE(T92:T127)</f>
        <v>1.0002727272727272</v>
      </c>
      <c r="U129" s="336">
        <f>AVERAGE(U92:U127)</f>
        <v>0.85110606060606064</v>
      </c>
      <c r="V129" s="492"/>
      <c r="W129" s="568" t="s">
        <v>284</v>
      </c>
      <c r="X129" s="569"/>
      <c r="Y129" s="569"/>
      <c r="Z129" s="569"/>
      <c r="AA129" s="569"/>
      <c r="AB129" s="569"/>
      <c r="AC129" s="569"/>
      <c r="AD129" s="569"/>
      <c r="AE129" s="569"/>
      <c r="AF129" s="571"/>
      <c r="AG129" s="299">
        <f>AVERAGE(AG92:AG127)</f>
        <v>1</v>
      </c>
      <c r="AH129" s="35"/>
      <c r="AI129" s="397"/>
      <c r="AJ129" s="143"/>
      <c r="AK129" s="33"/>
      <c r="AL129" s="151"/>
      <c r="AM129" s="300"/>
      <c r="AN129" s="153"/>
      <c r="AO129" s="234"/>
      <c r="AP129" s="499" t="s">
        <v>443</v>
      </c>
      <c r="AQ129" s="682"/>
      <c r="AR129" s="115">
        <f>+AR128+AR108</f>
        <v>190398706.96000001</v>
      </c>
      <c r="AS129" s="337">
        <f>SUM(AS92:AS127)</f>
        <v>0</v>
      </c>
      <c r="AT129" s="345">
        <f>+AS129/AR129</f>
        <v>0</v>
      </c>
      <c r="AU129" s="66"/>
      <c r="AV129" s="66"/>
      <c r="AW129" s="66"/>
      <c r="AX129" s="115"/>
      <c r="AY129" s="66"/>
      <c r="AZ129" s="19"/>
      <c r="BA129" s="71"/>
      <c r="BB129" s="71"/>
      <c r="BC129" s="71"/>
      <c r="BD129" s="71"/>
    </row>
    <row r="130" spans="1:56" ht="69" customHeight="1" x14ac:dyDescent="0.25">
      <c r="A130" s="470"/>
      <c r="B130" s="470"/>
      <c r="C130" s="473"/>
      <c r="D130" s="652"/>
      <c r="E130" s="473"/>
      <c r="F130" s="469" t="s">
        <v>285</v>
      </c>
      <c r="G130" s="472" t="s">
        <v>286</v>
      </c>
      <c r="H130" s="472" t="s">
        <v>54</v>
      </c>
      <c r="I130" s="486" t="s">
        <v>240</v>
      </c>
      <c r="J130" s="472" t="s">
        <v>287</v>
      </c>
      <c r="K130" s="488">
        <v>4</v>
      </c>
      <c r="L130" s="488">
        <v>1</v>
      </c>
      <c r="M130" s="463">
        <v>1.55</v>
      </c>
      <c r="N130" s="463">
        <v>0.34</v>
      </c>
      <c r="O130" s="463">
        <v>0.34</v>
      </c>
      <c r="P130" s="463">
        <v>0.1</v>
      </c>
      <c r="Q130" s="463">
        <v>0.17</v>
      </c>
      <c r="R130" s="515">
        <f>SUM(N130:Q134)</f>
        <v>0.95000000000000007</v>
      </c>
      <c r="S130" s="463">
        <f>+M130+N130+O130+P130+Q130</f>
        <v>2.5</v>
      </c>
      <c r="T130" s="430">
        <f>(+N130+O130+P130+Q130)/L130</f>
        <v>0.95000000000000007</v>
      </c>
      <c r="U130" s="613">
        <f>+S130/K130</f>
        <v>0.625</v>
      </c>
      <c r="V130" s="619" t="s">
        <v>288</v>
      </c>
      <c r="W130" s="578">
        <v>2021130010198</v>
      </c>
      <c r="X130" s="578" t="s">
        <v>289</v>
      </c>
      <c r="Y130" s="62" t="s">
        <v>290</v>
      </c>
      <c r="Z130" s="62">
        <v>2</v>
      </c>
      <c r="AA130" s="62">
        <v>0.8</v>
      </c>
      <c r="AB130" s="62">
        <v>0.15</v>
      </c>
      <c r="AC130" s="62">
        <v>1.05</v>
      </c>
      <c r="AD130" s="93">
        <v>0</v>
      </c>
      <c r="AE130" s="62">
        <v>2</v>
      </c>
      <c r="AF130" s="301">
        <f t="shared" ref="AF130:AF135" si="7">SUM(AA130:AD130)/Z130</f>
        <v>1</v>
      </c>
      <c r="AG130" s="785">
        <f>AVERAGE(AF130:AF135,AF140:AF141)</f>
        <v>0.90201388888888889</v>
      </c>
      <c r="AH130" s="22">
        <v>44562</v>
      </c>
      <c r="AI130" s="22">
        <v>44926</v>
      </c>
      <c r="AJ130" s="85">
        <v>365</v>
      </c>
      <c r="AK130" s="41" t="s">
        <v>60</v>
      </c>
      <c r="AL130" s="86" t="s">
        <v>60</v>
      </c>
      <c r="AM130" s="278">
        <v>7.6999999999999999E-2</v>
      </c>
      <c r="AN130" s="445" t="s">
        <v>61</v>
      </c>
      <c r="AO130" s="445" t="s">
        <v>62</v>
      </c>
      <c r="AP130" s="445" t="s">
        <v>291</v>
      </c>
      <c r="AQ130" s="547"/>
      <c r="AR130" s="547">
        <v>0</v>
      </c>
      <c r="AS130" s="726">
        <v>0</v>
      </c>
      <c r="AT130" s="430">
        <v>0</v>
      </c>
      <c r="AU130" s="445" t="s">
        <v>291</v>
      </c>
      <c r="AV130" s="445" t="s">
        <v>64</v>
      </c>
      <c r="AW130" s="445"/>
      <c r="AX130" s="445" t="s">
        <v>65</v>
      </c>
      <c r="AY130" s="433">
        <f>AS130</f>
        <v>0</v>
      </c>
      <c r="AZ130" s="19" t="s">
        <v>66</v>
      </c>
      <c r="BA130" s="41" t="s">
        <v>67</v>
      </c>
      <c r="BB130" s="41" t="s">
        <v>68</v>
      </c>
      <c r="BC130" s="41"/>
      <c r="BD130" s="41"/>
    </row>
    <row r="131" spans="1:56" ht="86.25" customHeight="1" x14ac:dyDescent="0.25">
      <c r="A131" s="470"/>
      <c r="B131" s="470"/>
      <c r="C131" s="473"/>
      <c r="D131" s="652"/>
      <c r="E131" s="473"/>
      <c r="F131" s="470"/>
      <c r="G131" s="473"/>
      <c r="H131" s="473"/>
      <c r="I131" s="487"/>
      <c r="J131" s="473"/>
      <c r="K131" s="489"/>
      <c r="L131" s="489"/>
      <c r="M131" s="464"/>
      <c r="N131" s="464"/>
      <c r="O131" s="464"/>
      <c r="P131" s="464"/>
      <c r="Q131" s="464"/>
      <c r="R131" s="516"/>
      <c r="S131" s="464"/>
      <c r="T131" s="431"/>
      <c r="U131" s="614"/>
      <c r="V131" s="619"/>
      <c r="W131" s="578"/>
      <c r="X131" s="578"/>
      <c r="Y131" s="62" t="s">
        <v>292</v>
      </c>
      <c r="Z131" s="62">
        <v>2</v>
      </c>
      <c r="AA131" s="62">
        <v>0.75</v>
      </c>
      <c r="AB131" s="62">
        <v>0.2</v>
      </c>
      <c r="AC131" s="62">
        <v>1.05</v>
      </c>
      <c r="AD131" s="93">
        <v>0</v>
      </c>
      <c r="AE131" s="62">
        <v>2</v>
      </c>
      <c r="AF131" s="301">
        <f t="shared" si="7"/>
        <v>1</v>
      </c>
      <c r="AG131" s="786"/>
      <c r="AH131" s="22">
        <v>44562</v>
      </c>
      <c r="AI131" s="22">
        <v>44926</v>
      </c>
      <c r="AJ131" s="92">
        <v>365</v>
      </c>
      <c r="AK131" s="26" t="s">
        <v>60</v>
      </c>
      <c r="AL131" s="93" t="s">
        <v>60</v>
      </c>
      <c r="AM131" s="259">
        <v>7.6999999999999999E-2</v>
      </c>
      <c r="AN131" s="446"/>
      <c r="AO131" s="446"/>
      <c r="AP131" s="446"/>
      <c r="AQ131" s="539"/>
      <c r="AR131" s="539"/>
      <c r="AS131" s="712"/>
      <c r="AT131" s="431"/>
      <c r="AU131" s="446"/>
      <c r="AV131" s="446"/>
      <c r="AW131" s="446"/>
      <c r="AX131" s="446"/>
      <c r="AY131" s="434"/>
      <c r="AZ131" s="19" t="s">
        <v>66</v>
      </c>
      <c r="BA131" s="26" t="s">
        <v>67</v>
      </c>
      <c r="BB131" s="26" t="s">
        <v>68</v>
      </c>
      <c r="BC131" s="26"/>
      <c r="BD131" s="26"/>
    </row>
    <row r="132" spans="1:56" ht="62.25" customHeight="1" x14ac:dyDescent="0.25">
      <c r="A132" s="470"/>
      <c r="B132" s="470"/>
      <c r="C132" s="473"/>
      <c r="D132" s="652"/>
      <c r="E132" s="473"/>
      <c r="F132" s="470"/>
      <c r="G132" s="473"/>
      <c r="H132" s="473"/>
      <c r="I132" s="487"/>
      <c r="J132" s="473"/>
      <c r="K132" s="489"/>
      <c r="L132" s="489"/>
      <c r="M132" s="464"/>
      <c r="N132" s="464"/>
      <c r="O132" s="464"/>
      <c r="P132" s="464"/>
      <c r="Q132" s="464"/>
      <c r="R132" s="516"/>
      <c r="S132" s="464"/>
      <c r="T132" s="431"/>
      <c r="U132" s="614"/>
      <c r="V132" s="619"/>
      <c r="W132" s="578"/>
      <c r="X132" s="578"/>
      <c r="Y132" s="62" t="s">
        <v>293</v>
      </c>
      <c r="Z132" s="62">
        <v>2</v>
      </c>
      <c r="AA132" s="61">
        <v>0</v>
      </c>
      <c r="AB132" s="61">
        <v>1</v>
      </c>
      <c r="AC132" s="302">
        <v>0.1</v>
      </c>
      <c r="AD132" s="335">
        <v>0.89999999999999991</v>
      </c>
      <c r="AE132" s="302">
        <v>2</v>
      </c>
      <c r="AF132" s="301">
        <f t="shared" si="7"/>
        <v>1</v>
      </c>
      <c r="AG132" s="786"/>
      <c r="AH132" s="22">
        <v>44562</v>
      </c>
      <c r="AI132" s="22">
        <v>44926</v>
      </c>
      <c r="AJ132" s="92">
        <v>365</v>
      </c>
      <c r="AK132" s="26" t="s">
        <v>60</v>
      </c>
      <c r="AL132" s="93" t="s">
        <v>60</v>
      </c>
      <c r="AM132" s="259">
        <v>7.6999999999999999E-2</v>
      </c>
      <c r="AN132" s="446"/>
      <c r="AO132" s="446"/>
      <c r="AP132" s="446"/>
      <c r="AQ132" s="539"/>
      <c r="AR132" s="539"/>
      <c r="AS132" s="712"/>
      <c r="AT132" s="431"/>
      <c r="AU132" s="446"/>
      <c r="AV132" s="446"/>
      <c r="AW132" s="446"/>
      <c r="AX132" s="446"/>
      <c r="AY132" s="434"/>
      <c r="AZ132" s="19" t="s">
        <v>66</v>
      </c>
      <c r="BA132" s="26" t="s">
        <v>67</v>
      </c>
      <c r="BB132" s="26" t="s">
        <v>68</v>
      </c>
      <c r="BC132" s="26"/>
      <c r="BD132" s="26"/>
    </row>
    <row r="133" spans="1:56" ht="42.75" customHeight="1" thickBot="1" x14ac:dyDescent="0.3">
      <c r="A133" s="470"/>
      <c r="B133" s="470"/>
      <c r="C133" s="473"/>
      <c r="D133" s="652"/>
      <c r="E133" s="473"/>
      <c r="F133" s="470"/>
      <c r="G133" s="473"/>
      <c r="H133" s="473"/>
      <c r="I133" s="487"/>
      <c r="J133" s="473"/>
      <c r="K133" s="489"/>
      <c r="L133" s="489"/>
      <c r="M133" s="464"/>
      <c r="N133" s="464"/>
      <c r="O133" s="464"/>
      <c r="P133" s="464"/>
      <c r="Q133" s="464"/>
      <c r="R133" s="516"/>
      <c r="S133" s="464"/>
      <c r="T133" s="431"/>
      <c r="U133" s="614"/>
      <c r="V133" s="619"/>
      <c r="W133" s="578"/>
      <c r="X133" s="578"/>
      <c r="Y133" s="62" t="s">
        <v>294</v>
      </c>
      <c r="Z133" s="62">
        <v>4</v>
      </c>
      <c r="AA133" s="62">
        <v>0.08</v>
      </c>
      <c r="AB133" s="62">
        <v>0.38</v>
      </c>
      <c r="AC133" s="62">
        <v>1.8</v>
      </c>
      <c r="AD133" s="93">
        <v>1.2</v>
      </c>
      <c r="AE133" s="302"/>
      <c r="AF133" s="301">
        <f t="shared" si="7"/>
        <v>0.86499999999999999</v>
      </c>
      <c r="AG133" s="786"/>
      <c r="AH133" s="22">
        <v>44562</v>
      </c>
      <c r="AI133" s="22">
        <v>44926</v>
      </c>
      <c r="AJ133" s="92">
        <v>365</v>
      </c>
      <c r="AK133" s="26" t="s">
        <v>60</v>
      </c>
      <c r="AL133" s="93" t="s">
        <v>60</v>
      </c>
      <c r="AM133" s="259">
        <v>7.6999999999999999E-2</v>
      </c>
      <c r="AN133" s="446"/>
      <c r="AO133" s="446"/>
      <c r="AP133" s="447"/>
      <c r="AQ133" s="540"/>
      <c r="AR133" s="540"/>
      <c r="AS133" s="713"/>
      <c r="AT133" s="459"/>
      <c r="AU133" s="447"/>
      <c r="AV133" s="447"/>
      <c r="AW133" s="446"/>
      <c r="AX133" s="447"/>
      <c r="AY133" s="435"/>
      <c r="AZ133" s="19" t="s">
        <v>66</v>
      </c>
      <c r="BA133" s="26" t="s">
        <v>67</v>
      </c>
      <c r="BB133" s="26" t="s">
        <v>68</v>
      </c>
      <c r="BC133" s="26"/>
      <c r="BD133" s="26"/>
    </row>
    <row r="134" spans="1:56" ht="48.75" customHeight="1" thickBot="1" x14ac:dyDescent="0.3">
      <c r="A134" s="470"/>
      <c r="B134" s="470"/>
      <c r="C134" s="473"/>
      <c r="D134" s="652"/>
      <c r="E134" s="473"/>
      <c r="F134" s="470"/>
      <c r="G134" s="474"/>
      <c r="H134" s="474"/>
      <c r="I134" s="654"/>
      <c r="J134" s="474"/>
      <c r="K134" s="495"/>
      <c r="L134" s="495"/>
      <c r="M134" s="465"/>
      <c r="N134" s="465"/>
      <c r="O134" s="465"/>
      <c r="P134" s="465"/>
      <c r="Q134" s="465"/>
      <c r="R134" s="517"/>
      <c r="S134" s="465"/>
      <c r="T134" s="459"/>
      <c r="U134" s="618"/>
      <c r="V134" s="619"/>
      <c r="W134" s="578"/>
      <c r="X134" s="578"/>
      <c r="Y134" s="62" t="s">
        <v>295</v>
      </c>
      <c r="Z134" s="62">
        <v>36</v>
      </c>
      <c r="AA134" s="62">
        <v>5</v>
      </c>
      <c r="AB134" s="62">
        <v>14</v>
      </c>
      <c r="AC134" s="62">
        <v>8</v>
      </c>
      <c r="AD134" s="93">
        <v>4</v>
      </c>
      <c r="AE134" s="62">
        <v>31</v>
      </c>
      <c r="AF134" s="301">
        <f t="shared" si="7"/>
        <v>0.86111111111111116</v>
      </c>
      <c r="AG134" s="786"/>
      <c r="AH134" s="22">
        <v>44562</v>
      </c>
      <c r="AI134" s="22">
        <v>44926</v>
      </c>
      <c r="AJ134" s="92">
        <v>365</v>
      </c>
      <c r="AK134" s="26" t="s">
        <v>60</v>
      </c>
      <c r="AL134" s="93" t="s">
        <v>60</v>
      </c>
      <c r="AM134" s="259">
        <v>7.6999999999999999E-2</v>
      </c>
      <c r="AN134" s="446"/>
      <c r="AO134" s="446"/>
      <c r="AP134" s="445" t="s">
        <v>296</v>
      </c>
      <c r="AQ134" s="547"/>
      <c r="AR134" s="547">
        <v>500000000</v>
      </c>
      <c r="AS134" s="726">
        <v>0</v>
      </c>
      <c r="AT134" s="430">
        <v>0</v>
      </c>
      <c r="AU134" s="445" t="s">
        <v>296</v>
      </c>
      <c r="AV134" s="445" t="s">
        <v>64</v>
      </c>
      <c r="AW134" s="446"/>
      <c r="AX134" s="445" t="s">
        <v>65</v>
      </c>
      <c r="AY134" s="433">
        <f>AS134</f>
        <v>0</v>
      </c>
      <c r="AZ134" s="19" t="s">
        <v>66</v>
      </c>
      <c r="BA134" s="26" t="s">
        <v>67</v>
      </c>
      <c r="BB134" s="26" t="s">
        <v>68</v>
      </c>
      <c r="BC134" s="26"/>
      <c r="BD134" s="26"/>
    </row>
    <row r="135" spans="1:56" ht="42.75" x14ac:dyDescent="0.25">
      <c r="A135" s="470"/>
      <c r="B135" s="470"/>
      <c r="C135" s="473"/>
      <c r="D135" s="652"/>
      <c r="E135" s="473"/>
      <c r="F135" s="470"/>
      <c r="G135" s="472" t="s">
        <v>297</v>
      </c>
      <c r="H135" s="472" t="s">
        <v>54</v>
      </c>
      <c r="I135" s="472" t="s">
        <v>260</v>
      </c>
      <c r="J135" s="472" t="s">
        <v>298</v>
      </c>
      <c r="K135" s="488">
        <v>4</v>
      </c>
      <c r="L135" s="488">
        <v>1</v>
      </c>
      <c r="M135" s="463">
        <v>0.75</v>
      </c>
      <c r="N135" s="463">
        <v>0.08</v>
      </c>
      <c r="O135" s="463">
        <v>7.0000000000000007E-2</v>
      </c>
      <c r="P135" s="463">
        <v>0.04</v>
      </c>
      <c r="Q135" s="463">
        <v>0.3</v>
      </c>
      <c r="R135" s="515">
        <f>SUM(N135:Q139)</f>
        <v>0.49</v>
      </c>
      <c r="S135" s="463">
        <f>M135+N135+O135+P135+Q135</f>
        <v>1.24</v>
      </c>
      <c r="T135" s="782">
        <f>(N135+O135+P135+Q135)/L135</f>
        <v>0.49</v>
      </c>
      <c r="U135" s="613">
        <f>+S135/K135</f>
        <v>0.31</v>
      </c>
      <c r="V135" s="619"/>
      <c r="W135" s="578"/>
      <c r="X135" s="578"/>
      <c r="Y135" s="62" t="s">
        <v>299</v>
      </c>
      <c r="Z135" s="62">
        <v>1</v>
      </c>
      <c r="AA135" s="62">
        <v>0.15</v>
      </c>
      <c r="AB135" s="62">
        <v>0.6</v>
      </c>
      <c r="AC135" s="62">
        <v>0.03</v>
      </c>
      <c r="AD135" s="93">
        <v>0.22</v>
      </c>
      <c r="AE135" s="62">
        <v>1.18</v>
      </c>
      <c r="AF135" s="301">
        <f t="shared" si="7"/>
        <v>1</v>
      </c>
      <c r="AG135" s="786"/>
      <c r="AH135" s="22">
        <v>44562</v>
      </c>
      <c r="AI135" s="22">
        <v>44926</v>
      </c>
      <c r="AJ135" s="92">
        <v>365</v>
      </c>
      <c r="AK135" s="26" t="s">
        <v>60</v>
      </c>
      <c r="AL135" s="93" t="s">
        <v>60</v>
      </c>
      <c r="AM135" s="259">
        <v>7.6999999999999999E-2</v>
      </c>
      <c r="AN135" s="446"/>
      <c r="AO135" s="446"/>
      <c r="AP135" s="446"/>
      <c r="AQ135" s="539"/>
      <c r="AR135" s="539"/>
      <c r="AS135" s="712"/>
      <c r="AT135" s="431"/>
      <c r="AU135" s="446"/>
      <c r="AV135" s="446"/>
      <c r="AW135" s="446"/>
      <c r="AX135" s="446"/>
      <c r="AY135" s="434"/>
      <c r="AZ135" s="19" t="s">
        <v>66</v>
      </c>
      <c r="BA135" s="26" t="s">
        <v>67</v>
      </c>
      <c r="BB135" s="26" t="s">
        <v>68</v>
      </c>
      <c r="BC135" s="26"/>
      <c r="BD135" s="26"/>
    </row>
    <row r="136" spans="1:56" ht="93" customHeight="1" x14ac:dyDescent="0.25">
      <c r="A136" s="470"/>
      <c r="B136" s="470"/>
      <c r="C136" s="473"/>
      <c r="D136" s="652"/>
      <c r="E136" s="473"/>
      <c r="F136" s="470"/>
      <c r="G136" s="473"/>
      <c r="H136" s="473"/>
      <c r="I136" s="473"/>
      <c r="J136" s="473"/>
      <c r="K136" s="489"/>
      <c r="L136" s="489"/>
      <c r="M136" s="464"/>
      <c r="N136" s="464"/>
      <c r="O136" s="464"/>
      <c r="P136" s="464"/>
      <c r="Q136" s="464"/>
      <c r="R136" s="516"/>
      <c r="S136" s="464"/>
      <c r="T136" s="783"/>
      <c r="U136" s="614"/>
      <c r="V136" s="619"/>
      <c r="W136" s="578"/>
      <c r="X136" s="578"/>
      <c r="Y136" s="62" t="s">
        <v>300</v>
      </c>
      <c r="Z136" s="62">
        <v>1</v>
      </c>
      <c r="AA136" s="62">
        <v>0.15</v>
      </c>
      <c r="AB136" s="62">
        <v>0</v>
      </c>
      <c r="AC136" s="62">
        <v>0</v>
      </c>
      <c r="AD136" s="93">
        <v>0.85</v>
      </c>
      <c r="AE136" s="62">
        <v>1.05</v>
      </c>
      <c r="AF136" s="301">
        <f t="shared" ref="AF136:AF142" si="8">SUM(AA136:AD136)</f>
        <v>1</v>
      </c>
      <c r="AG136" s="786"/>
      <c r="AH136" s="22">
        <v>44562</v>
      </c>
      <c r="AI136" s="22">
        <v>44926</v>
      </c>
      <c r="AJ136" s="92">
        <v>365</v>
      </c>
      <c r="AK136" s="26" t="s">
        <v>60</v>
      </c>
      <c r="AL136" s="93" t="s">
        <v>60</v>
      </c>
      <c r="AM136" s="259">
        <v>7.6999999999999999E-2</v>
      </c>
      <c r="AN136" s="446"/>
      <c r="AO136" s="446"/>
      <c r="AP136" s="446"/>
      <c r="AQ136" s="539"/>
      <c r="AR136" s="539"/>
      <c r="AS136" s="712"/>
      <c r="AT136" s="431"/>
      <c r="AU136" s="446"/>
      <c r="AV136" s="446"/>
      <c r="AW136" s="446"/>
      <c r="AX136" s="446"/>
      <c r="AY136" s="434"/>
      <c r="AZ136" s="19" t="s">
        <v>66</v>
      </c>
      <c r="BA136" s="26" t="s">
        <v>67</v>
      </c>
      <c r="BB136" s="26" t="s">
        <v>68</v>
      </c>
      <c r="BC136" s="26"/>
      <c r="BD136" s="26"/>
    </row>
    <row r="137" spans="1:56" ht="61.5" customHeight="1" x14ac:dyDescent="0.25">
      <c r="A137" s="470"/>
      <c r="B137" s="470"/>
      <c r="C137" s="473"/>
      <c r="D137" s="652"/>
      <c r="E137" s="473"/>
      <c r="F137" s="470"/>
      <c r="G137" s="473"/>
      <c r="H137" s="473"/>
      <c r="I137" s="473"/>
      <c r="J137" s="473"/>
      <c r="K137" s="489"/>
      <c r="L137" s="489"/>
      <c r="M137" s="464"/>
      <c r="N137" s="464"/>
      <c r="O137" s="464"/>
      <c r="P137" s="464"/>
      <c r="Q137" s="464"/>
      <c r="R137" s="516"/>
      <c r="S137" s="464"/>
      <c r="T137" s="783"/>
      <c r="U137" s="614"/>
      <c r="V137" s="619"/>
      <c r="W137" s="578"/>
      <c r="X137" s="578"/>
      <c r="Y137" s="62" t="s">
        <v>301</v>
      </c>
      <c r="Z137" s="62">
        <v>1</v>
      </c>
      <c r="AA137" s="62">
        <v>0.15</v>
      </c>
      <c r="AB137" s="62">
        <v>0</v>
      </c>
      <c r="AC137" s="62">
        <v>0</v>
      </c>
      <c r="AD137" s="93">
        <v>0</v>
      </c>
      <c r="AE137" s="62">
        <v>0.15</v>
      </c>
      <c r="AF137" s="301">
        <f t="shared" si="8"/>
        <v>0.15</v>
      </c>
      <c r="AG137" s="786"/>
      <c r="AH137" s="22">
        <v>44562</v>
      </c>
      <c r="AI137" s="22">
        <v>44926</v>
      </c>
      <c r="AJ137" s="92">
        <v>365</v>
      </c>
      <c r="AK137" s="26" t="s">
        <v>60</v>
      </c>
      <c r="AL137" s="93" t="s">
        <v>60</v>
      </c>
      <c r="AM137" s="259">
        <v>7.6999999999999999E-2</v>
      </c>
      <c r="AN137" s="446"/>
      <c r="AO137" s="446"/>
      <c r="AP137" s="446"/>
      <c r="AQ137" s="539"/>
      <c r="AR137" s="539"/>
      <c r="AS137" s="712"/>
      <c r="AT137" s="431"/>
      <c r="AU137" s="446"/>
      <c r="AV137" s="446"/>
      <c r="AW137" s="446"/>
      <c r="AX137" s="446"/>
      <c r="AY137" s="434"/>
      <c r="AZ137" s="19" t="s">
        <v>66</v>
      </c>
      <c r="BA137" s="26" t="s">
        <v>67</v>
      </c>
      <c r="BB137" s="26" t="s">
        <v>68</v>
      </c>
      <c r="BC137" s="26"/>
      <c r="BD137" s="26"/>
    </row>
    <row r="138" spans="1:56" ht="43.5" thickBot="1" x14ac:dyDescent="0.3">
      <c r="A138" s="470"/>
      <c r="B138" s="470"/>
      <c r="C138" s="473"/>
      <c r="D138" s="652"/>
      <c r="E138" s="473"/>
      <c r="F138" s="470"/>
      <c r="G138" s="473"/>
      <c r="H138" s="473"/>
      <c r="I138" s="473"/>
      <c r="J138" s="473"/>
      <c r="K138" s="489"/>
      <c r="L138" s="489"/>
      <c r="M138" s="464"/>
      <c r="N138" s="464"/>
      <c r="O138" s="464"/>
      <c r="P138" s="464"/>
      <c r="Q138" s="464"/>
      <c r="R138" s="516"/>
      <c r="S138" s="464"/>
      <c r="T138" s="783"/>
      <c r="U138" s="614"/>
      <c r="V138" s="619"/>
      <c r="W138" s="578"/>
      <c r="X138" s="578"/>
      <c r="Y138" s="62" t="s">
        <v>302</v>
      </c>
      <c r="Z138" s="62">
        <v>1</v>
      </c>
      <c r="AA138" s="62">
        <v>0.15</v>
      </c>
      <c r="AB138" s="62">
        <v>0</v>
      </c>
      <c r="AC138" s="62">
        <v>0</v>
      </c>
      <c r="AD138" s="93">
        <v>0</v>
      </c>
      <c r="AE138" s="62">
        <v>0.15</v>
      </c>
      <c r="AF138" s="301">
        <f t="shared" si="8"/>
        <v>0.15</v>
      </c>
      <c r="AG138" s="786"/>
      <c r="AH138" s="22">
        <v>44562</v>
      </c>
      <c r="AI138" s="22">
        <v>44926</v>
      </c>
      <c r="AJ138" s="92">
        <v>365</v>
      </c>
      <c r="AK138" s="26" t="s">
        <v>60</v>
      </c>
      <c r="AL138" s="93" t="s">
        <v>60</v>
      </c>
      <c r="AM138" s="259">
        <v>7.6999999999999999E-2</v>
      </c>
      <c r="AN138" s="446"/>
      <c r="AO138" s="446"/>
      <c r="AP138" s="447"/>
      <c r="AQ138" s="540"/>
      <c r="AR138" s="540"/>
      <c r="AS138" s="713"/>
      <c r="AT138" s="459"/>
      <c r="AU138" s="447"/>
      <c r="AV138" s="447"/>
      <c r="AW138" s="446"/>
      <c r="AX138" s="447"/>
      <c r="AY138" s="435"/>
      <c r="AZ138" s="19" t="s">
        <v>66</v>
      </c>
      <c r="BA138" s="26" t="s">
        <v>67</v>
      </c>
      <c r="BB138" s="26" t="s">
        <v>68</v>
      </c>
      <c r="BC138" s="26"/>
      <c r="BD138" s="26"/>
    </row>
    <row r="139" spans="1:56" ht="72" thickBot="1" x14ac:dyDescent="0.3">
      <c r="A139" s="470"/>
      <c r="B139" s="470"/>
      <c r="C139" s="473"/>
      <c r="D139" s="652"/>
      <c r="E139" s="473"/>
      <c r="F139" s="470"/>
      <c r="G139" s="474"/>
      <c r="H139" s="474"/>
      <c r="I139" s="474"/>
      <c r="J139" s="474"/>
      <c r="K139" s="495"/>
      <c r="L139" s="495"/>
      <c r="M139" s="465"/>
      <c r="N139" s="465"/>
      <c r="O139" s="465"/>
      <c r="P139" s="465"/>
      <c r="Q139" s="465"/>
      <c r="R139" s="517"/>
      <c r="S139" s="465"/>
      <c r="T139" s="784"/>
      <c r="U139" s="618"/>
      <c r="V139" s="619"/>
      <c r="W139" s="578"/>
      <c r="X139" s="578"/>
      <c r="Y139" s="62" t="s">
        <v>303</v>
      </c>
      <c r="Z139" s="62">
        <v>1</v>
      </c>
      <c r="AA139" s="62">
        <v>0.15</v>
      </c>
      <c r="AB139" s="62">
        <v>0</v>
      </c>
      <c r="AC139" s="62">
        <v>0</v>
      </c>
      <c r="AD139" s="93">
        <v>0</v>
      </c>
      <c r="AE139" s="62">
        <v>0.15</v>
      </c>
      <c r="AF139" s="301">
        <f t="shared" si="8"/>
        <v>0.15</v>
      </c>
      <c r="AG139" s="786"/>
      <c r="AH139" s="22">
        <v>44562</v>
      </c>
      <c r="AI139" s="22">
        <v>44926</v>
      </c>
      <c r="AJ139" s="92">
        <v>365</v>
      </c>
      <c r="AK139" s="26" t="s">
        <v>304</v>
      </c>
      <c r="AL139" s="93" t="s">
        <v>60</v>
      </c>
      <c r="AM139" s="259">
        <v>7.6999999999999999E-2</v>
      </c>
      <c r="AN139" s="446"/>
      <c r="AO139" s="446"/>
      <c r="AP139" s="446" t="s">
        <v>73</v>
      </c>
      <c r="AQ139" s="539"/>
      <c r="AR139" s="539">
        <f>900000000+1171112281.85</f>
        <v>2071112281.8499999</v>
      </c>
      <c r="AS139" s="712">
        <v>0</v>
      </c>
      <c r="AT139" s="431">
        <v>0</v>
      </c>
      <c r="AU139" s="446" t="s">
        <v>73</v>
      </c>
      <c r="AV139" s="446" t="s">
        <v>64</v>
      </c>
      <c r="AW139" s="446"/>
      <c r="AX139" s="446" t="s">
        <v>65</v>
      </c>
      <c r="AY139" s="434">
        <f>AS139</f>
        <v>0</v>
      </c>
      <c r="AZ139" s="19" t="s">
        <v>66</v>
      </c>
      <c r="BA139" s="26" t="s">
        <v>67</v>
      </c>
      <c r="BB139" s="26" t="s">
        <v>68</v>
      </c>
      <c r="BC139" s="26"/>
      <c r="BD139" s="26"/>
    </row>
    <row r="140" spans="1:56" ht="80.25" customHeight="1" x14ac:dyDescent="0.25">
      <c r="A140" s="470"/>
      <c r="B140" s="470"/>
      <c r="C140" s="473"/>
      <c r="D140" s="652"/>
      <c r="E140" s="473"/>
      <c r="F140" s="470"/>
      <c r="G140" s="472" t="s">
        <v>305</v>
      </c>
      <c r="H140" s="472" t="s">
        <v>54</v>
      </c>
      <c r="I140" s="472" t="s">
        <v>260</v>
      </c>
      <c r="J140" s="472" t="s">
        <v>306</v>
      </c>
      <c r="K140" s="488">
        <v>2</v>
      </c>
      <c r="L140" s="488">
        <v>1</v>
      </c>
      <c r="M140" s="463">
        <v>1.1499999999999999</v>
      </c>
      <c r="N140" s="463">
        <v>0.31</v>
      </c>
      <c r="O140" s="463">
        <v>0.37</v>
      </c>
      <c r="P140" s="463">
        <v>0.12</v>
      </c>
      <c r="Q140" s="463">
        <v>0</v>
      </c>
      <c r="R140" s="463">
        <f>SUM(N140:Q142)</f>
        <v>0.79999999999999993</v>
      </c>
      <c r="S140" s="463">
        <f>M140+N140+O140+P140+Q140</f>
        <v>1.9500000000000002</v>
      </c>
      <c r="T140" s="430">
        <f>+(N140+O140+P140+Q140)/L140</f>
        <v>0.79999999999999993</v>
      </c>
      <c r="U140" s="613">
        <f>+S140/K140</f>
        <v>0.97500000000000009</v>
      </c>
      <c r="V140" s="619"/>
      <c r="W140" s="578"/>
      <c r="X140" s="578"/>
      <c r="Y140" s="62" t="s">
        <v>307</v>
      </c>
      <c r="Z140" s="62">
        <v>1</v>
      </c>
      <c r="AA140" s="62">
        <v>0.5</v>
      </c>
      <c r="AB140" s="62">
        <v>0.18</v>
      </c>
      <c r="AC140" s="62">
        <v>0.12</v>
      </c>
      <c r="AD140" s="93">
        <v>0</v>
      </c>
      <c r="AE140" s="62">
        <v>0.8</v>
      </c>
      <c r="AF140" s="301">
        <f t="shared" si="8"/>
        <v>0.79999999999999993</v>
      </c>
      <c r="AG140" s="786"/>
      <c r="AH140" s="22">
        <v>44562</v>
      </c>
      <c r="AI140" s="22">
        <v>44926</v>
      </c>
      <c r="AJ140" s="92">
        <v>365</v>
      </c>
      <c r="AK140" s="26" t="s">
        <v>60</v>
      </c>
      <c r="AL140" s="93" t="s">
        <v>60</v>
      </c>
      <c r="AM140" s="259">
        <v>7.6999999999999999E-2</v>
      </c>
      <c r="AN140" s="446"/>
      <c r="AO140" s="446"/>
      <c r="AP140" s="446"/>
      <c r="AQ140" s="539"/>
      <c r="AR140" s="539"/>
      <c r="AS140" s="712"/>
      <c r="AT140" s="431"/>
      <c r="AU140" s="446"/>
      <c r="AV140" s="446"/>
      <c r="AW140" s="446"/>
      <c r="AX140" s="446"/>
      <c r="AY140" s="434"/>
      <c r="AZ140" s="19" t="s">
        <v>66</v>
      </c>
      <c r="BA140" s="26" t="s">
        <v>67</v>
      </c>
      <c r="BB140" s="26" t="s">
        <v>68</v>
      </c>
      <c r="BC140" s="26"/>
      <c r="BD140" s="26"/>
    </row>
    <row r="141" spans="1:56" ht="57" customHeight="1" x14ac:dyDescent="0.25">
      <c r="A141" s="470"/>
      <c r="B141" s="470"/>
      <c r="C141" s="473"/>
      <c r="D141" s="652"/>
      <c r="E141" s="473"/>
      <c r="F141" s="470"/>
      <c r="G141" s="473"/>
      <c r="H141" s="473"/>
      <c r="I141" s="473"/>
      <c r="J141" s="473"/>
      <c r="K141" s="489"/>
      <c r="L141" s="489"/>
      <c r="M141" s="464"/>
      <c r="N141" s="464"/>
      <c r="O141" s="464"/>
      <c r="P141" s="464"/>
      <c r="Q141" s="464"/>
      <c r="R141" s="464"/>
      <c r="S141" s="464"/>
      <c r="T141" s="431"/>
      <c r="U141" s="614"/>
      <c r="V141" s="619"/>
      <c r="W141" s="578"/>
      <c r="X141" s="578"/>
      <c r="Y141" s="62" t="s">
        <v>308</v>
      </c>
      <c r="Z141" s="62">
        <v>1</v>
      </c>
      <c r="AA141" s="62">
        <v>0.5</v>
      </c>
      <c r="AB141" s="62">
        <v>0</v>
      </c>
      <c r="AC141" s="62">
        <v>0</v>
      </c>
      <c r="AD141" s="93">
        <v>0.18999999999999995</v>
      </c>
      <c r="AE141" s="62">
        <v>0.69</v>
      </c>
      <c r="AF141" s="301">
        <f t="shared" si="8"/>
        <v>0.69</v>
      </c>
      <c r="AG141" s="786"/>
      <c r="AH141" s="22">
        <v>44562</v>
      </c>
      <c r="AI141" s="22">
        <v>44926</v>
      </c>
      <c r="AJ141" s="92">
        <v>365</v>
      </c>
      <c r="AK141" s="26" t="s">
        <v>60</v>
      </c>
      <c r="AL141" s="93" t="s">
        <v>60</v>
      </c>
      <c r="AM141" s="259">
        <v>7.6999999999999999E-2</v>
      </c>
      <c r="AN141" s="446"/>
      <c r="AO141" s="446"/>
      <c r="AP141" s="446"/>
      <c r="AQ141" s="539"/>
      <c r="AR141" s="539"/>
      <c r="AS141" s="712"/>
      <c r="AT141" s="431"/>
      <c r="AU141" s="446"/>
      <c r="AV141" s="446"/>
      <c r="AW141" s="446"/>
      <c r="AX141" s="446"/>
      <c r="AY141" s="434"/>
      <c r="AZ141" s="19" t="s">
        <v>66</v>
      </c>
      <c r="BA141" s="26" t="s">
        <v>309</v>
      </c>
      <c r="BB141" s="26" t="s">
        <v>169</v>
      </c>
      <c r="BC141" s="26"/>
      <c r="BD141" s="26"/>
    </row>
    <row r="142" spans="1:56" ht="60" customHeight="1" thickBot="1" x14ac:dyDescent="0.3">
      <c r="A142" s="470"/>
      <c r="B142" s="470"/>
      <c r="C142" s="473"/>
      <c r="D142" s="652"/>
      <c r="E142" s="473"/>
      <c r="F142" s="470"/>
      <c r="G142" s="474"/>
      <c r="H142" s="474"/>
      <c r="I142" s="474"/>
      <c r="J142" s="474"/>
      <c r="K142" s="495"/>
      <c r="L142" s="495"/>
      <c r="M142" s="465"/>
      <c r="N142" s="465"/>
      <c r="O142" s="465"/>
      <c r="P142" s="465"/>
      <c r="Q142" s="465"/>
      <c r="R142" s="465"/>
      <c r="S142" s="465"/>
      <c r="T142" s="459"/>
      <c r="U142" s="618"/>
      <c r="V142" s="619"/>
      <c r="W142" s="578"/>
      <c r="X142" s="578"/>
      <c r="Y142" s="62" t="s">
        <v>310</v>
      </c>
      <c r="Z142" s="62">
        <v>1</v>
      </c>
      <c r="AA142" s="62">
        <v>0.5</v>
      </c>
      <c r="AB142" s="62">
        <v>0</v>
      </c>
      <c r="AC142" s="62">
        <v>0.4</v>
      </c>
      <c r="AD142" s="93">
        <v>9.9999999999999978E-2</v>
      </c>
      <c r="AE142" s="62">
        <v>1</v>
      </c>
      <c r="AF142" s="301">
        <f t="shared" si="8"/>
        <v>1</v>
      </c>
      <c r="AG142" s="787"/>
      <c r="AH142" s="22">
        <v>44562</v>
      </c>
      <c r="AI142" s="22">
        <v>44926</v>
      </c>
      <c r="AJ142" s="143">
        <v>365</v>
      </c>
      <c r="AK142" s="33" t="s">
        <v>60</v>
      </c>
      <c r="AL142" s="151" t="s">
        <v>60</v>
      </c>
      <c r="AM142" s="282">
        <v>7.6999999999999999E-2</v>
      </c>
      <c r="AN142" s="447"/>
      <c r="AO142" s="447"/>
      <c r="AP142" s="447"/>
      <c r="AQ142" s="540"/>
      <c r="AR142" s="540"/>
      <c r="AS142" s="713"/>
      <c r="AT142" s="459"/>
      <c r="AU142" s="447"/>
      <c r="AV142" s="447"/>
      <c r="AW142" s="447"/>
      <c r="AX142" s="447"/>
      <c r="AY142" s="435"/>
      <c r="AZ142" s="71" t="s">
        <v>66</v>
      </c>
      <c r="BA142" s="33" t="s">
        <v>67</v>
      </c>
      <c r="BB142" s="33" t="s">
        <v>68</v>
      </c>
      <c r="BC142" s="33"/>
      <c r="BD142" s="33"/>
    </row>
    <row r="143" spans="1:56" ht="99.75" customHeight="1" thickBot="1" x14ac:dyDescent="0.3">
      <c r="A143" s="470"/>
      <c r="B143" s="470"/>
      <c r="C143" s="473"/>
      <c r="D143" s="652"/>
      <c r="E143" s="473"/>
      <c r="F143" s="471"/>
      <c r="G143" s="551" t="s">
        <v>311</v>
      </c>
      <c r="H143" s="552"/>
      <c r="I143" s="552"/>
      <c r="J143" s="552"/>
      <c r="K143" s="552"/>
      <c r="L143" s="552"/>
      <c r="M143" s="552"/>
      <c r="N143" s="552"/>
      <c r="O143" s="552"/>
      <c r="P143" s="552"/>
      <c r="Q143" s="552"/>
      <c r="R143" s="552"/>
      <c r="S143" s="553"/>
      <c r="T143" s="226">
        <f>AVERAGE(T130:T142)</f>
        <v>0.74666666666666659</v>
      </c>
      <c r="U143" s="226">
        <f>AVERAGE(U130:U142)</f>
        <v>0.63666666666666671</v>
      </c>
      <c r="V143" s="619"/>
      <c r="W143" s="624" t="s">
        <v>312</v>
      </c>
      <c r="X143" s="624"/>
      <c r="Y143" s="624"/>
      <c r="Z143" s="624"/>
      <c r="AA143" s="624"/>
      <c r="AB143" s="624"/>
      <c r="AC143" s="624"/>
      <c r="AD143" s="624"/>
      <c r="AE143" s="624"/>
      <c r="AF143" s="624"/>
      <c r="AG143" s="303">
        <f>+AG130</f>
        <v>0.90201388888888889</v>
      </c>
      <c r="AH143" s="129"/>
      <c r="AI143" s="367"/>
      <c r="AJ143" s="130"/>
      <c r="AK143" s="165"/>
      <c r="AL143" s="253"/>
      <c r="AM143" s="304"/>
      <c r="AN143" s="239"/>
      <c r="AO143" s="66"/>
      <c r="AP143" s="683" t="s">
        <v>444</v>
      </c>
      <c r="AQ143" s="684"/>
      <c r="AR143" s="305">
        <f>SUM(AR130:AR142)</f>
        <v>2571112281.8499999</v>
      </c>
      <c r="AS143" s="342">
        <f>SUM(AS130:AS142)</f>
        <v>0</v>
      </c>
      <c r="AT143" s="264">
        <f>+AS143/AR143</f>
        <v>0</v>
      </c>
      <c r="AU143" s="66"/>
      <c r="AV143" s="67"/>
      <c r="AW143" s="67"/>
      <c r="AX143" s="67"/>
      <c r="AY143" s="69"/>
      <c r="AZ143" s="71"/>
      <c r="BA143" s="71"/>
      <c r="BB143" s="71"/>
      <c r="BC143" s="71"/>
      <c r="BD143" s="71"/>
    </row>
    <row r="144" spans="1:56" ht="82.5" customHeight="1" x14ac:dyDescent="0.25">
      <c r="A144" s="470"/>
      <c r="B144" s="470"/>
      <c r="C144" s="473"/>
      <c r="D144" s="652"/>
      <c r="E144" s="473"/>
      <c r="F144" s="530" t="s">
        <v>313</v>
      </c>
      <c r="G144" s="533" t="s">
        <v>314</v>
      </c>
      <c r="H144" s="533" t="s">
        <v>54</v>
      </c>
      <c r="I144" s="533" t="s">
        <v>315</v>
      </c>
      <c r="J144" s="533" t="s">
        <v>316</v>
      </c>
      <c r="K144" s="469">
        <v>90</v>
      </c>
      <c r="L144" s="469">
        <v>30</v>
      </c>
      <c r="M144" s="469">
        <v>49</v>
      </c>
      <c r="N144" s="469">
        <v>9</v>
      </c>
      <c r="O144" s="469">
        <v>5</v>
      </c>
      <c r="P144" s="469">
        <f>35-14</f>
        <v>21</v>
      </c>
      <c r="Q144" s="469">
        <v>0</v>
      </c>
      <c r="R144" s="469">
        <f>SUM(N144:Q154)</f>
        <v>35</v>
      </c>
      <c r="S144" s="469">
        <f>M144+N144+O144+P144</f>
        <v>84</v>
      </c>
      <c r="T144" s="430">
        <v>1</v>
      </c>
      <c r="U144" s="430">
        <f>+S144/K144</f>
        <v>0.93333333333333335</v>
      </c>
      <c r="V144" s="470" t="s">
        <v>317</v>
      </c>
      <c r="W144" s="788">
        <v>2020130010179</v>
      </c>
      <c r="X144" s="567" t="s">
        <v>318</v>
      </c>
      <c r="Y144" s="121" t="s">
        <v>319</v>
      </c>
      <c r="Z144" s="19">
        <v>1</v>
      </c>
      <c r="AA144" s="19">
        <v>1</v>
      </c>
      <c r="AB144" s="245">
        <v>0</v>
      </c>
      <c r="AC144" s="245">
        <v>0</v>
      </c>
      <c r="AD144" s="245">
        <v>0</v>
      </c>
      <c r="AE144" s="245">
        <v>1</v>
      </c>
      <c r="AF144" s="263">
        <f>SUM(AA144:AD144)/Z144</f>
        <v>1</v>
      </c>
      <c r="AG144" s="795">
        <f>AVERAGE(AF144:AF160)</f>
        <v>1</v>
      </c>
      <c r="AH144" s="395">
        <v>44589</v>
      </c>
      <c r="AI144" s="60">
        <v>44926</v>
      </c>
      <c r="AJ144" s="61">
        <v>365</v>
      </c>
      <c r="AK144" s="86">
        <v>4</v>
      </c>
      <c r="AL144" s="62">
        <v>4</v>
      </c>
      <c r="AM144" s="62">
        <v>0.02</v>
      </c>
      <c r="AN144" s="494" t="s">
        <v>320</v>
      </c>
      <c r="AO144" s="445" t="s">
        <v>321</v>
      </c>
      <c r="AP144" s="445" t="s">
        <v>63</v>
      </c>
      <c r="AQ144" s="433">
        <v>150000000</v>
      </c>
      <c r="AR144" s="433">
        <v>150000000</v>
      </c>
      <c r="AS144" s="433">
        <v>150000000</v>
      </c>
      <c r="AT144" s="430">
        <f>+AS144/AQ144</f>
        <v>1</v>
      </c>
      <c r="AU144" s="445" t="s">
        <v>63</v>
      </c>
      <c r="AV144" s="503" t="s">
        <v>64</v>
      </c>
      <c r="AW144" s="503"/>
      <c r="AX144" s="503" t="s">
        <v>65</v>
      </c>
      <c r="AY144" s="665">
        <f>AS144</f>
        <v>150000000</v>
      </c>
      <c r="AZ144" s="41" t="s">
        <v>66</v>
      </c>
      <c r="BA144" s="19" t="s">
        <v>67</v>
      </c>
      <c r="BB144" s="19" t="s">
        <v>68</v>
      </c>
      <c r="BC144" s="19"/>
      <c r="BD144" s="19"/>
    </row>
    <row r="145" spans="1:56" ht="80.25" customHeight="1" x14ac:dyDescent="0.25">
      <c r="A145" s="470"/>
      <c r="B145" s="470"/>
      <c r="C145" s="473"/>
      <c r="D145" s="652"/>
      <c r="E145" s="473"/>
      <c r="F145" s="531"/>
      <c r="G145" s="534"/>
      <c r="H145" s="534"/>
      <c r="I145" s="534"/>
      <c r="J145" s="534"/>
      <c r="K145" s="470"/>
      <c r="L145" s="470"/>
      <c r="M145" s="470"/>
      <c r="N145" s="470"/>
      <c r="O145" s="470"/>
      <c r="P145" s="470"/>
      <c r="Q145" s="470"/>
      <c r="R145" s="470"/>
      <c r="S145" s="470"/>
      <c r="T145" s="431"/>
      <c r="U145" s="431"/>
      <c r="V145" s="470"/>
      <c r="W145" s="504"/>
      <c r="X145" s="587"/>
      <c r="Y145" s="177" t="s">
        <v>322</v>
      </c>
      <c r="Z145" s="168">
        <v>4</v>
      </c>
      <c r="AA145" s="168">
        <v>1</v>
      </c>
      <c r="AB145" s="246">
        <v>2</v>
      </c>
      <c r="AC145" s="246">
        <v>0</v>
      </c>
      <c r="AD145" s="246">
        <v>1</v>
      </c>
      <c r="AE145" s="246">
        <v>3</v>
      </c>
      <c r="AF145" s="88">
        <f>SUM(AA145:AD145)/Z145</f>
        <v>1</v>
      </c>
      <c r="AG145" s="796"/>
      <c r="AH145" s="395">
        <v>44596</v>
      </c>
      <c r="AI145" s="60">
        <v>44716</v>
      </c>
      <c r="AJ145" s="406">
        <v>120</v>
      </c>
      <c r="AK145" s="123">
        <v>80</v>
      </c>
      <c r="AL145" s="123">
        <v>20</v>
      </c>
      <c r="AM145" s="177">
        <v>0.02</v>
      </c>
      <c r="AN145" s="446"/>
      <c r="AO145" s="446"/>
      <c r="AP145" s="446"/>
      <c r="AQ145" s="434"/>
      <c r="AR145" s="434"/>
      <c r="AS145" s="434"/>
      <c r="AT145" s="431"/>
      <c r="AU145" s="446"/>
      <c r="AV145" s="504"/>
      <c r="AW145" s="504"/>
      <c r="AX145" s="504"/>
      <c r="AY145" s="666"/>
      <c r="AZ145" s="19" t="s">
        <v>66</v>
      </c>
      <c r="BA145" s="168" t="s">
        <v>67</v>
      </c>
      <c r="BB145" s="168" t="s">
        <v>68</v>
      </c>
      <c r="BC145" s="168"/>
      <c r="BD145" s="168"/>
    </row>
    <row r="146" spans="1:56" ht="51" x14ac:dyDescent="0.25">
      <c r="A146" s="470"/>
      <c r="B146" s="470"/>
      <c r="C146" s="473"/>
      <c r="D146" s="652"/>
      <c r="E146" s="473"/>
      <c r="F146" s="531"/>
      <c r="G146" s="534"/>
      <c r="H146" s="534"/>
      <c r="I146" s="534"/>
      <c r="J146" s="534"/>
      <c r="K146" s="470"/>
      <c r="L146" s="470"/>
      <c r="M146" s="470"/>
      <c r="N146" s="470"/>
      <c r="O146" s="470"/>
      <c r="P146" s="470"/>
      <c r="Q146" s="470"/>
      <c r="R146" s="470"/>
      <c r="S146" s="470"/>
      <c r="T146" s="431"/>
      <c r="U146" s="431"/>
      <c r="V146" s="470"/>
      <c r="W146" s="504"/>
      <c r="X146" s="587"/>
      <c r="Y146" s="177" t="s">
        <v>323</v>
      </c>
      <c r="Z146" s="168">
        <v>4</v>
      </c>
      <c r="AA146" s="168">
        <v>2</v>
      </c>
      <c r="AB146" s="246">
        <v>2</v>
      </c>
      <c r="AC146" s="246">
        <v>0</v>
      </c>
      <c r="AD146" s="246">
        <v>0</v>
      </c>
      <c r="AE146" s="246">
        <v>4</v>
      </c>
      <c r="AF146" s="293">
        <f>IF((SUM(AA146:AD146)&gt;100%),100%,SUM(AA146:AD146))</f>
        <v>1</v>
      </c>
      <c r="AG146" s="797"/>
      <c r="AH146" s="28">
        <v>44593</v>
      </c>
      <c r="AI146" s="60">
        <v>44926</v>
      </c>
      <c r="AJ146" s="170">
        <v>365</v>
      </c>
      <c r="AK146" s="26">
        <v>30</v>
      </c>
      <c r="AL146" s="123">
        <v>7</v>
      </c>
      <c r="AM146" s="177">
        <v>0.1</v>
      </c>
      <c r="AN146" s="446"/>
      <c r="AO146" s="446"/>
      <c r="AP146" s="446"/>
      <c r="AQ146" s="434"/>
      <c r="AR146" s="434"/>
      <c r="AS146" s="434"/>
      <c r="AT146" s="431"/>
      <c r="AU146" s="446"/>
      <c r="AV146" s="504"/>
      <c r="AW146" s="504"/>
      <c r="AX146" s="504"/>
      <c r="AY146" s="666"/>
      <c r="AZ146" s="19" t="s">
        <v>66</v>
      </c>
      <c r="BA146" s="168" t="s">
        <v>67</v>
      </c>
      <c r="BB146" s="168" t="s">
        <v>68</v>
      </c>
      <c r="BC146" s="168"/>
      <c r="BD146" s="168"/>
    </row>
    <row r="147" spans="1:56" ht="83.1" customHeight="1" x14ac:dyDescent="0.25">
      <c r="A147" s="470"/>
      <c r="B147" s="470"/>
      <c r="C147" s="473"/>
      <c r="D147" s="652"/>
      <c r="E147" s="473"/>
      <c r="F147" s="531"/>
      <c r="G147" s="534"/>
      <c r="H147" s="534"/>
      <c r="I147" s="534"/>
      <c r="J147" s="534"/>
      <c r="K147" s="470"/>
      <c r="L147" s="470"/>
      <c r="M147" s="470"/>
      <c r="N147" s="470"/>
      <c r="O147" s="470"/>
      <c r="P147" s="470"/>
      <c r="Q147" s="470"/>
      <c r="R147" s="470"/>
      <c r="S147" s="470"/>
      <c r="T147" s="431"/>
      <c r="U147" s="431"/>
      <c r="V147" s="470"/>
      <c r="W147" s="504"/>
      <c r="X147" s="587"/>
      <c r="Y147" s="177" t="s">
        <v>324</v>
      </c>
      <c r="Z147" s="168">
        <v>30</v>
      </c>
      <c r="AA147" s="168">
        <v>7</v>
      </c>
      <c r="AB147" s="246">
        <v>15</v>
      </c>
      <c r="AC147" s="246">
        <v>13</v>
      </c>
      <c r="AD147" s="246">
        <v>0</v>
      </c>
      <c r="AE147" s="246">
        <v>35</v>
      </c>
      <c r="AF147" s="293">
        <f>IF((SUM(AA147:AD147)&gt;100%),100%,SUM(AA147:AD147))</f>
        <v>1</v>
      </c>
      <c r="AG147" s="797"/>
      <c r="AH147" s="28">
        <v>44589</v>
      </c>
      <c r="AI147" s="60">
        <v>44926</v>
      </c>
      <c r="AJ147" s="170">
        <v>365</v>
      </c>
      <c r="AK147" s="26">
        <v>30</v>
      </c>
      <c r="AL147" s="123">
        <v>7</v>
      </c>
      <c r="AM147" s="177">
        <v>0.1</v>
      </c>
      <c r="AN147" s="446"/>
      <c r="AO147" s="446"/>
      <c r="AP147" s="446"/>
      <c r="AQ147" s="434"/>
      <c r="AR147" s="434"/>
      <c r="AS147" s="434"/>
      <c r="AT147" s="431"/>
      <c r="AU147" s="446"/>
      <c r="AV147" s="504"/>
      <c r="AW147" s="504"/>
      <c r="AX147" s="504"/>
      <c r="AY147" s="666"/>
      <c r="AZ147" s="19" t="s">
        <v>66</v>
      </c>
      <c r="BA147" s="168" t="s">
        <v>67</v>
      </c>
      <c r="BB147" s="168" t="s">
        <v>68</v>
      </c>
      <c r="BC147" s="168"/>
      <c r="BD147" s="168"/>
    </row>
    <row r="148" spans="1:56" ht="60.75" customHeight="1" x14ac:dyDescent="0.25">
      <c r="A148" s="470"/>
      <c r="B148" s="470"/>
      <c r="C148" s="473"/>
      <c r="D148" s="652"/>
      <c r="E148" s="473"/>
      <c r="F148" s="531"/>
      <c r="G148" s="534"/>
      <c r="H148" s="534"/>
      <c r="I148" s="534"/>
      <c r="J148" s="534"/>
      <c r="K148" s="470"/>
      <c r="L148" s="470"/>
      <c r="M148" s="470"/>
      <c r="N148" s="470"/>
      <c r="O148" s="470"/>
      <c r="P148" s="470"/>
      <c r="Q148" s="470"/>
      <c r="R148" s="470"/>
      <c r="S148" s="470"/>
      <c r="T148" s="431"/>
      <c r="U148" s="431"/>
      <c r="V148" s="470"/>
      <c r="W148" s="504"/>
      <c r="X148" s="587"/>
      <c r="Y148" s="177" t="s">
        <v>325</v>
      </c>
      <c r="Z148" s="168">
        <v>30</v>
      </c>
      <c r="AA148" s="168">
        <v>2</v>
      </c>
      <c r="AB148" s="246">
        <v>8</v>
      </c>
      <c r="AC148" s="246">
        <v>0</v>
      </c>
      <c r="AD148" s="246">
        <v>20</v>
      </c>
      <c r="AE148" s="246">
        <v>30</v>
      </c>
      <c r="AF148" s="293">
        <f>IF((SUM(AA148:AD148)&gt;100%),100%,SUM(AA148:AD148))</f>
        <v>1</v>
      </c>
      <c r="AG148" s="797"/>
      <c r="AH148" s="28">
        <v>44593</v>
      </c>
      <c r="AI148" s="60">
        <v>44926</v>
      </c>
      <c r="AJ148" s="170">
        <v>365</v>
      </c>
      <c r="AK148" s="26">
        <v>30</v>
      </c>
      <c r="AL148" s="123">
        <v>2</v>
      </c>
      <c r="AM148" s="177">
        <v>0.1</v>
      </c>
      <c r="AN148" s="446"/>
      <c r="AO148" s="446"/>
      <c r="AP148" s="446"/>
      <c r="AQ148" s="434"/>
      <c r="AR148" s="434"/>
      <c r="AS148" s="434"/>
      <c r="AT148" s="431"/>
      <c r="AU148" s="446"/>
      <c r="AV148" s="504"/>
      <c r="AW148" s="504"/>
      <c r="AX148" s="504"/>
      <c r="AY148" s="666"/>
      <c r="AZ148" s="19" t="s">
        <v>66</v>
      </c>
      <c r="BA148" s="168" t="s">
        <v>67</v>
      </c>
      <c r="BB148" s="168" t="s">
        <v>68</v>
      </c>
      <c r="BC148" s="168"/>
      <c r="BD148" s="168"/>
    </row>
    <row r="149" spans="1:56" ht="38.25" x14ac:dyDescent="0.25">
      <c r="A149" s="470"/>
      <c r="B149" s="470"/>
      <c r="C149" s="473"/>
      <c r="D149" s="652"/>
      <c r="E149" s="473"/>
      <c r="F149" s="531"/>
      <c r="G149" s="534"/>
      <c r="H149" s="534"/>
      <c r="I149" s="534"/>
      <c r="J149" s="534"/>
      <c r="K149" s="470"/>
      <c r="L149" s="470"/>
      <c r="M149" s="470"/>
      <c r="N149" s="470"/>
      <c r="O149" s="470"/>
      <c r="P149" s="470"/>
      <c r="Q149" s="470"/>
      <c r="R149" s="470"/>
      <c r="S149" s="470"/>
      <c r="T149" s="431"/>
      <c r="U149" s="431"/>
      <c r="V149" s="470"/>
      <c r="W149" s="504"/>
      <c r="X149" s="587"/>
      <c r="Y149" s="177" t="s">
        <v>326</v>
      </c>
      <c r="Z149" s="168">
        <v>4</v>
      </c>
      <c r="AA149" s="168">
        <v>2</v>
      </c>
      <c r="AB149" s="246">
        <v>1</v>
      </c>
      <c r="AC149" s="246">
        <v>0</v>
      </c>
      <c r="AD149" s="246">
        <v>2</v>
      </c>
      <c r="AE149" s="246">
        <v>5</v>
      </c>
      <c r="AF149" s="293">
        <f>IF((SUM(AA149:AD149)&gt;100%),100%,SUM(AA149:AD149))</f>
        <v>1</v>
      </c>
      <c r="AG149" s="797"/>
      <c r="AH149" s="28">
        <v>44607</v>
      </c>
      <c r="AI149" s="28">
        <v>44849</v>
      </c>
      <c r="AJ149" s="170">
        <v>240</v>
      </c>
      <c r="AK149" s="26">
        <v>500</v>
      </c>
      <c r="AL149" s="123">
        <v>120</v>
      </c>
      <c r="AM149" s="177">
        <v>0.1</v>
      </c>
      <c r="AN149" s="446"/>
      <c r="AO149" s="446"/>
      <c r="AP149" s="446"/>
      <c r="AQ149" s="434"/>
      <c r="AR149" s="434"/>
      <c r="AS149" s="434"/>
      <c r="AT149" s="431"/>
      <c r="AU149" s="446"/>
      <c r="AV149" s="504"/>
      <c r="AW149" s="504"/>
      <c r="AX149" s="504"/>
      <c r="AY149" s="666"/>
      <c r="AZ149" s="19" t="s">
        <v>66</v>
      </c>
      <c r="BA149" s="168" t="s">
        <v>67</v>
      </c>
      <c r="BB149" s="168" t="s">
        <v>68</v>
      </c>
      <c r="BC149" s="168"/>
      <c r="BD149" s="168"/>
    </row>
    <row r="150" spans="1:56" ht="33.75" customHeight="1" x14ac:dyDescent="0.25">
      <c r="A150" s="470"/>
      <c r="B150" s="470"/>
      <c r="C150" s="473"/>
      <c r="D150" s="652"/>
      <c r="E150" s="473"/>
      <c r="F150" s="531"/>
      <c r="G150" s="534"/>
      <c r="H150" s="534"/>
      <c r="I150" s="534"/>
      <c r="J150" s="534"/>
      <c r="K150" s="470"/>
      <c r="L150" s="470"/>
      <c r="M150" s="470"/>
      <c r="N150" s="470"/>
      <c r="O150" s="470"/>
      <c r="P150" s="470"/>
      <c r="Q150" s="470"/>
      <c r="R150" s="470"/>
      <c r="S150" s="470"/>
      <c r="T150" s="431"/>
      <c r="U150" s="431"/>
      <c r="V150" s="470"/>
      <c r="W150" s="504"/>
      <c r="X150" s="587"/>
      <c r="Y150" s="177" t="s">
        <v>327</v>
      </c>
      <c r="Z150" s="168">
        <v>4</v>
      </c>
      <c r="AA150" s="168">
        <v>0</v>
      </c>
      <c r="AB150" s="246">
        <v>0</v>
      </c>
      <c r="AC150" s="246">
        <v>2</v>
      </c>
      <c r="AD150" s="246">
        <v>0</v>
      </c>
      <c r="AE150" s="246">
        <v>2</v>
      </c>
      <c r="AF150" s="293">
        <f>IF((SUM(AA150:AD150)&gt;100%),100%,SUM(AA150:AD150))</f>
        <v>1</v>
      </c>
      <c r="AG150" s="797"/>
      <c r="AH150" s="28">
        <v>44696</v>
      </c>
      <c r="AI150" s="28">
        <v>44880</v>
      </c>
      <c r="AJ150" s="170">
        <v>200</v>
      </c>
      <c r="AK150" s="26">
        <v>200</v>
      </c>
      <c r="AL150" s="123">
        <v>0</v>
      </c>
      <c r="AM150" s="177">
        <v>0.04</v>
      </c>
      <c r="AN150" s="446"/>
      <c r="AO150" s="446"/>
      <c r="AP150" s="446"/>
      <c r="AQ150" s="434"/>
      <c r="AR150" s="434"/>
      <c r="AS150" s="434"/>
      <c r="AT150" s="431"/>
      <c r="AU150" s="446"/>
      <c r="AV150" s="504"/>
      <c r="AW150" s="504"/>
      <c r="AX150" s="504"/>
      <c r="AY150" s="666"/>
      <c r="AZ150" s="19" t="s">
        <v>66</v>
      </c>
      <c r="BA150" s="168" t="s">
        <v>67</v>
      </c>
      <c r="BB150" s="168" t="s">
        <v>68</v>
      </c>
      <c r="BC150" s="168"/>
      <c r="BD150" s="168"/>
    </row>
    <row r="151" spans="1:56" ht="32.25" customHeight="1" x14ac:dyDescent="0.25">
      <c r="A151" s="470"/>
      <c r="B151" s="470"/>
      <c r="C151" s="473"/>
      <c r="D151" s="652"/>
      <c r="E151" s="473"/>
      <c r="F151" s="531"/>
      <c r="G151" s="534"/>
      <c r="H151" s="534"/>
      <c r="I151" s="534"/>
      <c r="J151" s="534"/>
      <c r="K151" s="470"/>
      <c r="L151" s="470"/>
      <c r="M151" s="470"/>
      <c r="N151" s="470"/>
      <c r="O151" s="470"/>
      <c r="P151" s="470"/>
      <c r="Q151" s="470"/>
      <c r="R151" s="470"/>
      <c r="S151" s="470"/>
      <c r="T151" s="431"/>
      <c r="U151" s="431"/>
      <c r="V151" s="470"/>
      <c r="W151" s="504"/>
      <c r="X151" s="587"/>
      <c r="Y151" s="177" t="s">
        <v>328</v>
      </c>
      <c r="Z151" s="168">
        <v>1</v>
      </c>
      <c r="AA151" s="168">
        <v>1</v>
      </c>
      <c r="AB151" s="246">
        <v>0</v>
      </c>
      <c r="AC151" s="246">
        <v>0</v>
      </c>
      <c r="AD151" s="246">
        <v>0</v>
      </c>
      <c r="AE151" s="246">
        <v>1</v>
      </c>
      <c r="AF151" s="301">
        <f t="shared" ref="AF151:AF158" si="9">SUM(AA151:AD151)</f>
        <v>1</v>
      </c>
      <c r="AG151" s="797"/>
      <c r="AH151" s="28">
        <v>44607</v>
      </c>
      <c r="AI151" s="28">
        <v>44608</v>
      </c>
      <c r="AJ151" s="170">
        <v>1</v>
      </c>
      <c r="AK151" s="26">
        <v>0</v>
      </c>
      <c r="AL151" s="123">
        <v>0</v>
      </c>
      <c r="AM151" s="177">
        <v>0.02</v>
      </c>
      <c r="AN151" s="446"/>
      <c r="AO151" s="446"/>
      <c r="AP151" s="446"/>
      <c r="AQ151" s="434"/>
      <c r="AR151" s="434"/>
      <c r="AS151" s="434"/>
      <c r="AT151" s="431"/>
      <c r="AU151" s="446"/>
      <c r="AV151" s="504"/>
      <c r="AW151" s="504"/>
      <c r="AX151" s="504"/>
      <c r="AY151" s="666"/>
      <c r="AZ151" s="19" t="s">
        <v>66</v>
      </c>
      <c r="BA151" s="168" t="s">
        <v>67</v>
      </c>
      <c r="BB151" s="168" t="s">
        <v>68</v>
      </c>
      <c r="BC151" s="168"/>
      <c r="BD151" s="168"/>
    </row>
    <row r="152" spans="1:56" ht="43.5" customHeight="1" x14ac:dyDescent="0.25">
      <c r="A152" s="470"/>
      <c r="B152" s="470"/>
      <c r="C152" s="473"/>
      <c r="D152" s="652"/>
      <c r="E152" s="473"/>
      <c r="F152" s="531"/>
      <c r="G152" s="534"/>
      <c r="H152" s="534"/>
      <c r="I152" s="534"/>
      <c r="J152" s="534"/>
      <c r="K152" s="470"/>
      <c r="L152" s="470"/>
      <c r="M152" s="470"/>
      <c r="N152" s="470"/>
      <c r="O152" s="470"/>
      <c r="P152" s="470"/>
      <c r="Q152" s="470"/>
      <c r="R152" s="470"/>
      <c r="S152" s="470"/>
      <c r="T152" s="431"/>
      <c r="U152" s="431"/>
      <c r="V152" s="470"/>
      <c r="W152" s="504"/>
      <c r="X152" s="587"/>
      <c r="Y152" s="177" t="s">
        <v>329</v>
      </c>
      <c r="Z152" s="168">
        <v>1</v>
      </c>
      <c r="AA152" s="168">
        <v>1</v>
      </c>
      <c r="AB152" s="246">
        <v>0</v>
      </c>
      <c r="AC152" s="246">
        <v>0</v>
      </c>
      <c r="AD152" s="246">
        <v>0</v>
      </c>
      <c r="AE152" s="246">
        <v>1</v>
      </c>
      <c r="AF152" s="301">
        <f t="shared" si="9"/>
        <v>1</v>
      </c>
      <c r="AG152" s="797"/>
      <c r="AH152" s="28">
        <v>44607</v>
      </c>
      <c r="AI152" s="28">
        <v>44617</v>
      </c>
      <c r="AJ152" s="170">
        <v>10</v>
      </c>
      <c r="AK152" s="26">
        <v>0</v>
      </c>
      <c r="AL152" s="123">
        <v>0</v>
      </c>
      <c r="AM152" s="177">
        <v>0.03</v>
      </c>
      <c r="AN152" s="446"/>
      <c r="AO152" s="446"/>
      <c r="AP152" s="446"/>
      <c r="AQ152" s="434"/>
      <c r="AR152" s="434"/>
      <c r="AS152" s="434"/>
      <c r="AT152" s="431"/>
      <c r="AU152" s="446"/>
      <c r="AV152" s="504"/>
      <c r="AW152" s="504"/>
      <c r="AX152" s="504"/>
      <c r="AY152" s="666"/>
      <c r="AZ152" s="19" t="s">
        <v>66</v>
      </c>
      <c r="BA152" s="168" t="s">
        <v>67</v>
      </c>
      <c r="BB152" s="168" t="s">
        <v>68</v>
      </c>
      <c r="BC152" s="168"/>
      <c r="BD152" s="168"/>
    </row>
    <row r="153" spans="1:56" ht="45.95" customHeight="1" x14ac:dyDescent="0.25">
      <c r="A153" s="470"/>
      <c r="B153" s="470"/>
      <c r="C153" s="473"/>
      <c r="D153" s="652"/>
      <c r="E153" s="473"/>
      <c r="F153" s="531"/>
      <c r="G153" s="534"/>
      <c r="H153" s="534"/>
      <c r="I153" s="534"/>
      <c r="J153" s="534"/>
      <c r="K153" s="470"/>
      <c r="L153" s="470"/>
      <c r="M153" s="470"/>
      <c r="N153" s="470"/>
      <c r="O153" s="470"/>
      <c r="P153" s="470"/>
      <c r="Q153" s="470"/>
      <c r="R153" s="470"/>
      <c r="S153" s="470"/>
      <c r="T153" s="431"/>
      <c r="U153" s="431"/>
      <c r="V153" s="470"/>
      <c r="W153" s="504"/>
      <c r="X153" s="587"/>
      <c r="Y153" s="177" t="s">
        <v>330</v>
      </c>
      <c r="Z153" s="168">
        <v>1</v>
      </c>
      <c r="AA153" s="168">
        <v>0</v>
      </c>
      <c r="AB153" s="246">
        <v>1</v>
      </c>
      <c r="AC153" s="246">
        <v>0</v>
      </c>
      <c r="AD153" s="246">
        <v>0</v>
      </c>
      <c r="AE153" s="246">
        <v>1</v>
      </c>
      <c r="AF153" s="301">
        <f t="shared" si="9"/>
        <v>1</v>
      </c>
      <c r="AG153" s="797"/>
      <c r="AH153" s="28">
        <v>44701</v>
      </c>
      <c r="AI153" s="28">
        <v>44711</v>
      </c>
      <c r="AJ153" s="170">
        <v>10</v>
      </c>
      <c r="AK153" s="26">
        <v>0</v>
      </c>
      <c r="AL153" s="123">
        <v>0</v>
      </c>
      <c r="AM153" s="177">
        <v>0.02</v>
      </c>
      <c r="AN153" s="446"/>
      <c r="AO153" s="446"/>
      <c r="AP153" s="446"/>
      <c r="AQ153" s="434"/>
      <c r="AR153" s="434"/>
      <c r="AS153" s="434"/>
      <c r="AT153" s="431"/>
      <c r="AU153" s="446"/>
      <c r="AV153" s="504"/>
      <c r="AW153" s="504"/>
      <c r="AX153" s="504"/>
      <c r="AY153" s="666"/>
      <c r="AZ153" s="19" t="s">
        <v>66</v>
      </c>
      <c r="BA153" s="168" t="s">
        <v>67</v>
      </c>
      <c r="BB153" s="168" t="s">
        <v>68</v>
      </c>
      <c r="BC153" s="168"/>
      <c r="BD153" s="168"/>
    </row>
    <row r="154" spans="1:56" ht="56.45" customHeight="1" x14ac:dyDescent="0.25">
      <c r="A154" s="470"/>
      <c r="B154" s="470"/>
      <c r="C154" s="473"/>
      <c r="D154" s="652"/>
      <c r="E154" s="473"/>
      <c r="F154" s="531"/>
      <c r="G154" s="534"/>
      <c r="H154" s="534"/>
      <c r="I154" s="534"/>
      <c r="J154" s="534"/>
      <c r="K154" s="470"/>
      <c r="L154" s="470"/>
      <c r="M154" s="470"/>
      <c r="N154" s="470"/>
      <c r="O154" s="470"/>
      <c r="P154" s="470"/>
      <c r="Q154" s="781"/>
      <c r="R154" s="781"/>
      <c r="S154" s="470"/>
      <c r="T154" s="431"/>
      <c r="U154" s="432"/>
      <c r="V154" s="470"/>
      <c r="W154" s="504"/>
      <c r="X154" s="587"/>
      <c r="Y154" s="177" t="s">
        <v>331</v>
      </c>
      <c r="Z154" s="168">
        <v>10</v>
      </c>
      <c r="AA154" s="168">
        <v>4</v>
      </c>
      <c r="AB154" s="246">
        <v>5</v>
      </c>
      <c r="AC154" s="246">
        <v>1</v>
      </c>
      <c r="AD154" s="246">
        <v>0</v>
      </c>
      <c r="AE154" s="246">
        <v>10</v>
      </c>
      <c r="AF154" s="293">
        <f>IF((SUM(AA154:AD154)&gt;100%),100%,SUM(AA154:AD154))</f>
        <v>1</v>
      </c>
      <c r="AG154" s="797"/>
      <c r="AH154" s="28">
        <v>44589</v>
      </c>
      <c r="AI154" s="28">
        <v>44770</v>
      </c>
      <c r="AJ154" s="170">
        <v>200</v>
      </c>
      <c r="AK154" s="26">
        <v>2000</v>
      </c>
      <c r="AL154" s="123">
        <v>190</v>
      </c>
      <c r="AM154" s="177">
        <v>0.05</v>
      </c>
      <c r="AN154" s="446"/>
      <c r="AO154" s="446"/>
      <c r="AP154" s="446"/>
      <c r="AQ154" s="434"/>
      <c r="AR154" s="434"/>
      <c r="AS154" s="434"/>
      <c r="AT154" s="431"/>
      <c r="AU154" s="446"/>
      <c r="AV154" s="504"/>
      <c r="AW154" s="504"/>
      <c r="AX154" s="504"/>
      <c r="AY154" s="666"/>
      <c r="AZ154" s="19" t="s">
        <v>66</v>
      </c>
      <c r="BA154" s="168" t="s">
        <v>67</v>
      </c>
      <c r="BB154" s="168" t="s">
        <v>68</v>
      </c>
      <c r="BC154" s="168"/>
      <c r="BD154" s="168"/>
    </row>
    <row r="155" spans="1:56" ht="71.25" customHeight="1" x14ac:dyDescent="0.25">
      <c r="A155" s="470"/>
      <c r="B155" s="470"/>
      <c r="C155" s="473"/>
      <c r="D155" s="652"/>
      <c r="E155" s="473"/>
      <c r="F155" s="531"/>
      <c r="G155" s="26" t="s">
        <v>332</v>
      </c>
      <c r="H155" s="26" t="s">
        <v>54</v>
      </c>
      <c r="I155" s="56" t="s">
        <v>333</v>
      </c>
      <c r="J155" s="26" t="s">
        <v>334</v>
      </c>
      <c r="K155" s="249">
        <v>90</v>
      </c>
      <c r="L155" s="250">
        <v>30</v>
      </c>
      <c r="M155" s="250">
        <v>38</v>
      </c>
      <c r="N155" s="250">
        <v>0</v>
      </c>
      <c r="O155" s="343">
        <v>5</v>
      </c>
      <c r="P155" s="343">
        <v>25</v>
      </c>
      <c r="Q155" s="344">
        <v>0</v>
      </c>
      <c r="R155" s="344">
        <f>SUM(N155:Q155)</f>
        <v>30</v>
      </c>
      <c r="S155" s="306">
        <f>M155+N155+O155+P155</f>
        <v>68</v>
      </c>
      <c r="T155" s="251">
        <f>+SUM(N155:P155)/L155</f>
        <v>1</v>
      </c>
      <c r="U155" s="252">
        <f>+S155/K155</f>
        <v>0.75555555555555554</v>
      </c>
      <c r="V155" s="470"/>
      <c r="W155" s="504"/>
      <c r="X155" s="587"/>
      <c r="Y155" s="307" t="s">
        <v>335</v>
      </c>
      <c r="Z155" s="168">
        <v>30</v>
      </c>
      <c r="AA155" s="168">
        <v>0</v>
      </c>
      <c r="AB155" s="246">
        <v>5</v>
      </c>
      <c r="AC155" s="246">
        <v>25</v>
      </c>
      <c r="AD155" s="246">
        <v>0</v>
      </c>
      <c r="AE155" s="246">
        <v>30</v>
      </c>
      <c r="AF155" s="293">
        <f>IF((SUM(AA155:AD155)&gt;100%),100%,SUM(AA155:AD155))</f>
        <v>1</v>
      </c>
      <c r="AG155" s="797"/>
      <c r="AH155" s="28">
        <v>44752</v>
      </c>
      <c r="AI155" s="28">
        <v>44762</v>
      </c>
      <c r="AJ155" s="170">
        <v>10</v>
      </c>
      <c r="AK155" s="168">
        <v>30</v>
      </c>
      <c r="AL155" s="177">
        <v>0</v>
      </c>
      <c r="AM155" s="177">
        <v>0.08</v>
      </c>
      <c r="AN155" s="446"/>
      <c r="AO155" s="446"/>
      <c r="AP155" s="446"/>
      <c r="AQ155" s="434"/>
      <c r="AR155" s="434"/>
      <c r="AS155" s="434"/>
      <c r="AT155" s="431"/>
      <c r="AU155" s="446"/>
      <c r="AV155" s="504"/>
      <c r="AW155" s="504"/>
      <c r="AX155" s="504"/>
      <c r="AY155" s="666"/>
      <c r="AZ155" s="19" t="s">
        <v>336</v>
      </c>
      <c r="BA155" s="168"/>
      <c r="BB155" s="168"/>
      <c r="BC155" s="168"/>
      <c r="BD155" s="168"/>
    </row>
    <row r="156" spans="1:56" ht="42.75" x14ac:dyDescent="0.25">
      <c r="A156" s="470"/>
      <c r="B156" s="470"/>
      <c r="C156" s="473"/>
      <c r="D156" s="652"/>
      <c r="E156" s="473"/>
      <c r="F156" s="531"/>
      <c r="G156" s="793" t="s">
        <v>337</v>
      </c>
      <c r="H156" s="793" t="s">
        <v>54</v>
      </c>
      <c r="I156" s="793" t="s">
        <v>240</v>
      </c>
      <c r="J156" s="793" t="s">
        <v>338</v>
      </c>
      <c r="K156" s="776">
        <v>3</v>
      </c>
      <c r="L156" s="776">
        <v>1</v>
      </c>
      <c r="M156" s="776">
        <v>1</v>
      </c>
      <c r="N156" s="776">
        <v>0</v>
      </c>
      <c r="O156" s="776">
        <v>0</v>
      </c>
      <c r="P156" s="776">
        <v>1</v>
      </c>
      <c r="Q156" s="776">
        <v>0</v>
      </c>
      <c r="R156" s="776">
        <f>SUM(N156:Q158)</f>
        <v>1</v>
      </c>
      <c r="S156" s="505">
        <f>M156+N156+O156+P156+Q156</f>
        <v>2</v>
      </c>
      <c r="T156" s="789">
        <f>+(N156+O156+P156+Q156)</f>
        <v>1</v>
      </c>
      <c r="U156" s="790">
        <f>+S156/K156</f>
        <v>0.66666666666666663</v>
      </c>
      <c r="V156" s="470"/>
      <c r="W156" s="504"/>
      <c r="X156" s="587"/>
      <c r="Y156" s="123" t="s">
        <v>339</v>
      </c>
      <c r="Z156" s="26">
        <v>1</v>
      </c>
      <c r="AA156" s="26">
        <v>0</v>
      </c>
      <c r="AB156" s="56">
        <v>1</v>
      </c>
      <c r="AC156" s="56">
        <v>0</v>
      </c>
      <c r="AD156" s="56">
        <v>0</v>
      </c>
      <c r="AE156" s="56">
        <v>1</v>
      </c>
      <c r="AF156" s="301">
        <f t="shared" si="9"/>
        <v>1</v>
      </c>
      <c r="AG156" s="797"/>
      <c r="AH156" s="28">
        <v>44752</v>
      </c>
      <c r="AI156" s="28">
        <v>44783</v>
      </c>
      <c r="AJ156" s="170">
        <v>30</v>
      </c>
      <c r="AK156" s="26">
        <v>30</v>
      </c>
      <c r="AL156" s="123">
        <v>0</v>
      </c>
      <c r="AM156" s="123">
        <v>0.03</v>
      </c>
      <c r="AN156" s="446"/>
      <c r="AO156" s="446"/>
      <c r="AP156" s="446"/>
      <c r="AQ156" s="434"/>
      <c r="AR156" s="434"/>
      <c r="AS156" s="434"/>
      <c r="AT156" s="431"/>
      <c r="AU156" s="446"/>
      <c r="AV156" s="504"/>
      <c r="AW156" s="504"/>
      <c r="AX156" s="504"/>
      <c r="AY156" s="666"/>
      <c r="AZ156" s="19" t="s">
        <v>66</v>
      </c>
      <c r="BA156" s="26" t="s">
        <v>67</v>
      </c>
      <c r="BB156" s="26" t="s">
        <v>68</v>
      </c>
      <c r="BC156" s="26"/>
      <c r="BD156" s="26"/>
    </row>
    <row r="157" spans="1:56" ht="42.75" x14ac:dyDescent="0.25">
      <c r="A157" s="470"/>
      <c r="B157" s="470"/>
      <c r="C157" s="473"/>
      <c r="D157" s="652"/>
      <c r="E157" s="473"/>
      <c r="F157" s="531"/>
      <c r="G157" s="534"/>
      <c r="H157" s="534"/>
      <c r="I157" s="534"/>
      <c r="J157" s="534"/>
      <c r="K157" s="446"/>
      <c r="L157" s="446"/>
      <c r="M157" s="446"/>
      <c r="N157" s="446"/>
      <c r="O157" s="446"/>
      <c r="P157" s="446"/>
      <c r="Q157" s="446"/>
      <c r="R157" s="446"/>
      <c r="S157" s="437"/>
      <c r="T157" s="431"/>
      <c r="U157" s="614" t="e">
        <f t="shared" ref="U157:U158" si="10">+S157/K157</f>
        <v>#DIV/0!</v>
      </c>
      <c r="V157" s="470"/>
      <c r="W157" s="504"/>
      <c r="X157" s="587"/>
      <c r="Y157" s="123" t="s">
        <v>340</v>
      </c>
      <c r="Z157" s="26">
        <v>1</v>
      </c>
      <c r="AA157" s="26">
        <v>0</v>
      </c>
      <c r="AB157" s="56">
        <v>0</v>
      </c>
      <c r="AC157" s="56">
        <v>1</v>
      </c>
      <c r="AD157" s="56">
        <v>0</v>
      </c>
      <c r="AE157" s="56">
        <v>1</v>
      </c>
      <c r="AF157" s="301">
        <f t="shared" si="9"/>
        <v>1</v>
      </c>
      <c r="AG157" s="797"/>
      <c r="AH157" s="28">
        <v>44752</v>
      </c>
      <c r="AI157" s="28">
        <v>44756</v>
      </c>
      <c r="AJ157" s="170">
        <v>4</v>
      </c>
      <c r="AK157" s="26">
        <v>30</v>
      </c>
      <c r="AL157" s="123">
        <v>0</v>
      </c>
      <c r="AM157" s="123">
        <v>0.1</v>
      </c>
      <c r="AN157" s="446"/>
      <c r="AO157" s="446"/>
      <c r="AP157" s="446"/>
      <c r="AQ157" s="434"/>
      <c r="AR157" s="434"/>
      <c r="AS157" s="434"/>
      <c r="AT157" s="431"/>
      <c r="AU157" s="446"/>
      <c r="AV157" s="504"/>
      <c r="AW157" s="504"/>
      <c r="AX157" s="504"/>
      <c r="AY157" s="666"/>
      <c r="AZ157" s="19" t="s">
        <v>66</v>
      </c>
      <c r="BA157" s="26" t="s">
        <v>67</v>
      </c>
      <c r="BB157" s="26" t="s">
        <v>68</v>
      </c>
      <c r="BC157" s="26"/>
      <c r="BD157" s="26"/>
    </row>
    <row r="158" spans="1:56" ht="49.5" customHeight="1" x14ac:dyDescent="0.25">
      <c r="A158" s="470"/>
      <c r="B158" s="470"/>
      <c r="C158" s="473"/>
      <c r="D158" s="652"/>
      <c r="E158" s="473"/>
      <c r="F158" s="531"/>
      <c r="G158" s="794"/>
      <c r="H158" s="794"/>
      <c r="I158" s="794"/>
      <c r="J158" s="794"/>
      <c r="K158" s="567"/>
      <c r="L158" s="567"/>
      <c r="M158" s="567"/>
      <c r="N158" s="567"/>
      <c r="O158" s="567"/>
      <c r="P158" s="567"/>
      <c r="Q158" s="567"/>
      <c r="R158" s="567"/>
      <c r="S158" s="788"/>
      <c r="T158" s="432"/>
      <c r="U158" s="791" t="e">
        <f t="shared" si="10"/>
        <v>#DIV/0!</v>
      </c>
      <c r="V158" s="470"/>
      <c r="W158" s="504"/>
      <c r="X158" s="587"/>
      <c r="Y158" s="123" t="s">
        <v>295</v>
      </c>
      <c r="Z158" s="26">
        <v>1</v>
      </c>
      <c r="AA158" s="26">
        <v>0</v>
      </c>
      <c r="AB158" s="56">
        <v>0</v>
      </c>
      <c r="AC158" s="56">
        <v>1</v>
      </c>
      <c r="AD158" s="56">
        <v>0</v>
      </c>
      <c r="AE158" s="56">
        <v>1</v>
      </c>
      <c r="AF158" s="301">
        <f t="shared" si="9"/>
        <v>1</v>
      </c>
      <c r="AG158" s="797"/>
      <c r="AH158" s="28">
        <v>44752</v>
      </c>
      <c r="AI158" s="28">
        <v>44783</v>
      </c>
      <c r="AJ158" s="170">
        <v>30</v>
      </c>
      <c r="AK158" s="26">
        <v>0</v>
      </c>
      <c r="AL158" s="123">
        <v>0</v>
      </c>
      <c r="AM158" s="123">
        <v>0.03</v>
      </c>
      <c r="AN158" s="446"/>
      <c r="AO158" s="446"/>
      <c r="AP158" s="446"/>
      <c r="AQ158" s="434"/>
      <c r="AR158" s="434"/>
      <c r="AS158" s="434"/>
      <c r="AT158" s="431"/>
      <c r="AU158" s="446"/>
      <c r="AV158" s="504"/>
      <c r="AW158" s="504"/>
      <c r="AX158" s="504"/>
      <c r="AY158" s="666"/>
      <c r="AZ158" s="19" t="s">
        <v>66</v>
      </c>
      <c r="BA158" s="26" t="s">
        <v>67</v>
      </c>
      <c r="BB158" s="26" t="s">
        <v>68</v>
      </c>
      <c r="BC158" s="26"/>
      <c r="BD158" s="26"/>
    </row>
    <row r="159" spans="1:56" ht="56.25" customHeight="1" x14ac:dyDescent="0.25">
      <c r="A159" s="470"/>
      <c r="B159" s="470"/>
      <c r="C159" s="473"/>
      <c r="D159" s="652"/>
      <c r="E159" s="473"/>
      <c r="F159" s="531"/>
      <c r="G159" s="534" t="s">
        <v>341</v>
      </c>
      <c r="H159" s="534" t="s">
        <v>54</v>
      </c>
      <c r="I159" s="534" t="s">
        <v>342</v>
      </c>
      <c r="J159" s="534" t="s">
        <v>343</v>
      </c>
      <c r="K159" s="470">
        <v>41</v>
      </c>
      <c r="L159" s="470">
        <v>15</v>
      </c>
      <c r="M159" s="470">
        <v>16</v>
      </c>
      <c r="N159" s="470">
        <v>0</v>
      </c>
      <c r="O159" s="470">
        <v>5</v>
      </c>
      <c r="P159" s="470">
        <v>14</v>
      </c>
      <c r="Q159" s="707">
        <v>0</v>
      </c>
      <c r="R159" s="707">
        <f>SUM(N159:Q160)</f>
        <v>19</v>
      </c>
      <c r="S159" s="470">
        <f>M159+N159+O159+P159</f>
        <v>35</v>
      </c>
      <c r="T159" s="620">
        <v>1</v>
      </c>
      <c r="U159" s="626">
        <f>+S159/K159</f>
        <v>0.85365853658536583</v>
      </c>
      <c r="V159" s="470"/>
      <c r="W159" s="504"/>
      <c r="X159" s="587"/>
      <c r="Y159" s="126" t="s">
        <v>344</v>
      </c>
      <c r="Z159" s="44">
        <v>15</v>
      </c>
      <c r="AA159" s="44">
        <v>1</v>
      </c>
      <c r="AB159" s="58">
        <v>11</v>
      </c>
      <c r="AC159" s="58">
        <v>0</v>
      </c>
      <c r="AD159" s="58">
        <v>0</v>
      </c>
      <c r="AE159" s="58">
        <v>12</v>
      </c>
      <c r="AF159" s="293">
        <v>1</v>
      </c>
      <c r="AG159" s="797"/>
      <c r="AH159" s="28">
        <v>44621</v>
      </c>
      <c r="AI159" s="396"/>
      <c r="AJ159" s="170">
        <v>300</v>
      </c>
      <c r="AK159" s="26">
        <v>10</v>
      </c>
      <c r="AL159" s="123">
        <v>1</v>
      </c>
      <c r="AM159" s="123">
        <v>0.08</v>
      </c>
      <c r="AN159" s="446"/>
      <c r="AO159" s="446"/>
      <c r="AP159" s="446"/>
      <c r="AQ159" s="434"/>
      <c r="AR159" s="434"/>
      <c r="AS159" s="434"/>
      <c r="AT159" s="431"/>
      <c r="AU159" s="446"/>
      <c r="AV159" s="504"/>
      <c r="AW159" s="504"/>
      <c r="AX159" s="504"/>
      <c r="AY159" s="666"/>
      <c r="AZ159" s="19" t="s">
        <v>66</v>
      </c>
      <c r="BA159" s="26" t="s">
        <v>67</v>
      </c>
      <c r="BB159" s="26" t="s">
        <v>68</v>
      </c>
      <c r="BC159" s="26"/>
      <c r="BD159" s="26"/>
    </row>
    <row r="160" spans="1:56" ht="51.75" customHeight="1" thickBot="1" x14ac:dyDescent="0.3">
      <c r="A160" s="470"/>
      <c r="B160" s="470"/>
      <c r="C160" s="473"/>
      <c r="D160" s="652"/>
      <c r="E160" s="473"/>
      <c r="F160" s="531"/>
      <c r="G160" s="535"/>
      <c r="H160" s="535"/>
      <c r="I160" s="535"/>
      <c r="J160" s="535"/>
      <c r="K160" s="471"/>
      <c r="L160" s="471"/>
      <c r="M160" s="471"/>
      <c r="N160" s="471"/>
      <c r="O160" s="471"/>
      <c r="P160" s="471"/>
      <c r="Q160" s="471"/>
      <c r="R160" s="471"/>
      <c r="S160" s="471"/>
      <c r="T160" s="471"/>
      <c r="U160" s="524"/>
      <c r="V160" s="470"/>
      <c r="W160" s="505"/>
      <c r="X160" s="776"/>
      <c r="Y160" s="126" t="s">
        <v>345</v>
      </c>
      <c r="Z160" s="44">
        <v>15</v>
      </c>
      <c r="AA160" s="44">
        <v>0</v>
      </c>
      <c r="AB160" s="58">
        <v>5</v>
      </c>
      <c r="AC160" s="58">
        <v>14</v>
      </c>
      <c r="AD160" s="58">
        <v>0</v>
      </c>
      <c r="AE160" s="58">
        <v>19</v>
      </c>
      <c r="AF160" s="424">
        <f>IF((SUM(AA160:AD160)&gt;100%),100%,SUM(AA160:AD160))</f>
        <v>1</v>
      </c>
      <c r="AG160" s="797"/>
      <c r="AH160" s="57">
        <v>44698</v>
      </c>
      <c r="AI160" s="57">
        <v>44882</v>
      </c>
      <c r="AJ160" s="46">
        <v>180</v>
      </c>
      <c r="AK160" s="44">
        <v>15</v>
      </c>
      <c r="AL160" s="126">
        <v>0</v>
      </c>
      <c r="AM160" s="44">
        <v>0.08</v>
      </c>
      <c r="AN160" s="446"/>
      <c r="AO160" s="446"/>
      <c r="AP160" s="446"/>
      <c r="AQ160" s="434"/>
      <c r="AR160" s="434"/>
      <c r="AS160" s="434"/>
      <c r="AT160" s="431"/>
      <c r="AU160" s="446"/>
      <c r="AV160" s="505"/>
      <c r="AW160" s="505"/>
      <c r="AX160" s="505"/>
      <c r="AY160" s="792"/>
      <c r="AZ160" s="71" t="s">
        <v>66</v>
      </c>
      <c r="BA160" s="44" t="s">
        <v>67</v>
      </c>
      <c r="BB160" s="44" t="s">
        <v>68</v>
      </c>
      <c r="BC160" s="44"/>
      <c r="BD160" s="44"/>
    </row>
    <row r="161" spans="1:56" ht="121.5" customHeight="1" thickBot="1" x14ac:dyDescent="0.3">
      <c r="A161" s="470"/>
      <c r="B161" s="470"/>
      <c r="C161" s="473"/>
      <c r="D161" s="652"/>
      <c r="E161" s="473"/>
      <c r="F161" s="532"/>
      <c r="G161" s="536" t="s">
        <v>346</v>
      </c>
      <c r="H161" s="537"/>
      <c r="I161" s="537"/>
      <c r="J161" s="537"/>
      <c r="K161" s="537"/>
      <c r="L161" s="537"/>
      <c r="M161" s="537"/>
      <c r="N161" s="537"/>
      <c r="O161" s="537"/>
      <c r="P161" s="537"/>
      <c r="Q161" s="537"/>
      <c r="R161" s="537"/>
      <c r="S161" s="538"/>
      <c r="T161" s="227">
        <f>AVERAGE(T144:T160)</f>
        <v>1</v>
      </c>
      <c r="U161" s="226">
        <f>AVERAGE(U144,U155,U156,U159)</f>
        <v>0.80230352303523034</v>
      </c>
      <c r="V161" s="524"/>
      <c r="W161" s="681" t="s">
        <v>347</v>
      </c>
      <c r="X161" s="681"/>
      <c r="Y161" s="681"/>
      <c r="Z161" s="681"/>
      <c r="AA161" s="681"/>
      <c r="AB161" s="681"/>
      <c r="AC161" s="681"/>
      <c r="AD161" s="681"/>
      <c r="AE161" s="681"/>
      <c r="AF161" s="681"/>
      <c r="AG161" s="423">
        <f>+AG144</f>
        <v>1</v>
      </c>
      <c r="AH161" s="402"/>
      <c r="AI161" s="403"/>
      <c r="AJ161" s="255"/>
      <c r="AK161" s="172"/>
      <c r="AL161" s="248"/>
      <c r="AM161" s="248"/>
      <c r="AN161" s="239"/>
      <c r="AO161" s="239"/>
      <c r="AP161" s="683" t="s">
        <v>478</v>
      </c>
      <c r="AQ161" s="685"/>
      <c r="AR161" s="132">
        <f>SUM(AR144)</f>
        <v>150000000</v>
      </c>
      <c r="AS161" s="392">
        <f>SUM(AS144)</f>
        <v>150000000</v>
      </c>
      <c r="AT161" s="264">
        <f>+AS161/AR161</f>
        <v>1</v>
      </c>
      <c r="AU161" s="239"/>
      <c r="AV161" s="256"/>
      <c r="AW161" s="256"/>
      <c r="AX161" s="256"/>
      <c r="AY161" s="257"/>
      <c r="AZ161" s="172"/>
      <c r="BA161" s="172"/>
      <c r="BB161" s="172"/>
      <c r="BC161" s="172"/>
      <c r="BD161" s="172"/>
    </row>
    <row r="162" spans="1:56" ht="42.75" customHeight="1" x14ac:dyDescent="0.25">
      <c r="A162" s="470"/>
      <c r="B162" s="470"/>
      <c r="C162" s="473"/>
      <c r="D162" s="652"/>
      <c r="E162" s="473"/>
      <c r="F162" s="469" t="s">
        <v>348</v>
      </c>
      <c r="G162" s="472" t="s">
        <v>349</v>
      </c>
      <c r="H162" s="472" t="s">
        <v>54</v>
      </c>
      <c r="I162" s="486" t="s">
        <v>250</v>
      </c>
      <c r="J162" s="472" t="s">
        <v>350</v>
      </c>
      <c r="K162" s="488">
        <v>1</v>
      </c>
      <c r="L162" s="488">
        <v>1</v>
      </c>
      <c r="M162" s="463">
        <v>0.6</v>
      </c>
      <c r="N162" s="463">
        <v>0.2</v>
      </c>
      <c r="O162" s="463">
        <v>0.1</v>
      </c>
      <c r="P162" s="463">
        <v>0.2</v>
      </c>
      <c r="Q162" s="463">
        <v>0.2</v>
      </c>
      <c r="R162" s="463">
        <f>SUM(N162:Q168)</f>
        <v>0.7</v>
      </c>
      <c r="S162" s="518">
        <f>M162+N162+O162+P162</f>
        <v>1.1000000000000001</v>
      </c>
      <c r="T162" s="490">
        <f>+(N162+O162+P162+Q162)/L162</f>
        <v>0.7</v>
      </c>
      <c r="U162" s="490">
        <v>1</v>
      </c>
      <c r="V162" s="478" t="s">
        <v>351</v>
      </c>
      <c r="W162" s="578">
        <v>2021130010217</v>
      </c>
      <c r="X162" s="578" t="s">
        <v>352</v>
      </c>
      <c r="Y162" s="62" t="s">
        <v>353</v>
      </c>
      <c r="Z162" s="62">
        <v>1</v>
      </c>
      <c r="AA162" s="293">
        <v>1</v>
      </c>
      <c r="AB162" s="293">
        <v>0</v>
      </c>
      <c r="AC162" s="293">
        <v>0</v>
      </c>
      <c r="AD162" s="293">
        <v>0</v>
      </c>
      <c r="AE162" s="293"/>
      <c r="AF162" s="293">
        <f t="shared" ref="AF162:AF183" si="11">SUM(AA162:AD162)</f>
        <v>1</v>
      </c>
      <c r="AG162" s="799">
        <f>AVERAGE(AF162:AF183)</f>
        <v>0.73590909090909085</v>
      </c>
      <c r="AH162" s="404">
        <v>44562</v>
      </c>
      <c r="AI162" s="404">
        <v>44593</v>
      </c>
      <c r="AJ162" s="254">
        <v>30</v>
      </c>
      <c r="AK162" s="19" t="s">
        <v>60</v>
      </c>
      <c r="AL162" s="19" t="s">
        <v>60</v>
      </c>
      <c r="AM162" s="72">
        <v>0.05</v>
      </c>
      <c r="AN162" s="446" t="s">
        <v>354</v>
      </c>
      <c r="AO162" s="446" t="s">
        <v>355</v>
      </c>
      <c r="AP162" s="436" t="s">
        <v>63</v>
      </c>
      <c r="AQ162" s="699"/>
      <c r="AR162" s="699">
        <v>250000000</v>
      </c>
      <c r="AS162" s="699">
        <v>250000000</v>
      </c>
      <c r="AT162" s="592">
        <f>+AS162/AR162</f>
        <v>1</v>
      </c>
      <c r="AU162" s="433" t="s">
        <v>63</v>
      </c>
      <c r="AV162" s="437" t="s">
        <v>64</v>
      </c>
      <c r="AW162" s="437"/>
      <c r="AX162" s="437" t="s">
        <v>65</v>
      </c>
      <c r="AY162" s="443">
        <f>AS162</f>
        <v>250000000</v>
      </c>
      <c r="AZ162" s="19" t="s">
        <v>66</v>
      </c>
      <c r="BA162" s="19" t="s">
        <v>67</v>
      </c>
      <c r="BB162" s="19" t="s">
        <v>68</v>
      </c>
      <c r="BC162" s="19"/>
      <c r="BD162" s="19"/>
    </row>
    <row r="163" spans="1:56" ht="42.75" x14ac:dyDescent="0.25">
      <c r="A163" s="470"/>
      <c r="B163" s="470"/>
      <c r="C163" s="473"/>
      <c r="D163" s="652"/>
      <c r="E163" s="473"/>
      <c r="F163" s="470"/>
      <c r="G163" s="473"/>
      <c r="H163" s="473"/>
      <c r="I163" s="487"/>
      <c r="J163" s="473"/>
      <c r="K163" s="489"/>
      <c r="L163" s="489"/>
      <c r="M163" s="464"/>
      <c r="N163" s="464"/>
      <c r="O163" s="464"/>
      <c r="P163" s="464"/>
      <c r="Q163" s="464"/>
      <c r="R163" s="464"/>
      <c r="S163" s="519"/>
      <c r="T163" s="490"/>
      <c r="U163" s="490"/>
      <c r="V163" s="479"/>
      <c r="W163" s="578"/>
      <c r="X163" s="578"/>
      <c r="Y163" s="62" t="s">
        <v>356</v>
      </c>
      <c r="Z163" s="62">
        <v>1</v>
      </c>
      <c r="AA163" s="293">
        <v>1</v>
      </c>
      <c r="AB163" s="293">
        <v>0</v>
      </c>
      <c r="AC163" s="293">
        <v>0</v>
      </c>
      <c r="AD163" s="293">
        <v>0</v>
      </c>
      <c r="AE163" s="293"/>
      <c r="AF163" s="293">
        <f t="shared" si="11"/>
        <v>1</v>
      </c>
      <c r="AG163" s="799"/>
      <c r="AH163" s="404">
        <v>44562</v>
      </c>
      <c r="AI163" s="404">
        <v>44593</v>
      </c>
      <c r="AJ163" s="192">
        <v>30</v>
      </c>
      <c r="AK163" s="26" t="s">
        <v>60</v>
      </c>
      <c r="AL163" s="26" t="s">
        <v>60</v>
      </c>
      <c r="AM163" s="75">
        <v>0.02</v>
      </c>
      <c r="AN163" s="446"/>
      <c r="AO163" s="446"/>
      <c r="AP163" s="437"/>
      <c r="AQ163" s="699"/>
      <c r="AR163" s="699"/>
      <c r="AS163" s="699"/>
      <c r="AT163" s="593"/>
      <c r="AU163" s="434"/>
      <c r="AV163" s="437"/>
      <c r="AW163" s="437"/>
      <c r="AX163" s="437"/>
      <c r="AY163" s="443"/>
      <c r="AZ163" s="19" t="s">
        <v>66</v>
      </c>
      <c r="BA163" s="26" t="s">
        <v>67</v>
      </c>
      <c r="BB163" s="26" t="s">
        <v>68</v>
      </c>
      <c r="BC163" s="26"/>
      <c r="BD163" s="26"/>
    </row>
    <row r="164" spans="1:56" ht="28.5" x14ac:dyDescent="0.25">
      <c r="A164" s="470"/>
      <c r="B164" s="470"/>
      <c r="C164" s="473"/>
      <c r="D164" s="652"/>
      <c r="E164" s="473"/>
      <c r="F164" s="470"/>
      <c r="G164" s="473"/>
      <c r="H164" s="473"/>
      <c r="I164" s="487"/>
      <c r="J164" s="473"/>
      <c r="K164" s="489"/>
      <c r="L164" s="489"/>
      <c r="M164" s="464"/>
      <c r="N164" s="464"/>
      <c r="O164" s="464"/>
      <c r="P164" s="464"/>
      <c r="Q164" s="464"/>
      <c r="R164" s="464"/>
      <c r="S164" s="519"/>
      <c r="T164" s="490"/>
      <c r="U164" s="490"/>
      <c r="V164" s="479"/>
      <c r="W164" s="578"/>
      <c r="X164" s="578"/>
      <c r="Y164" s="62" t="s">
        <v>357</v>
      </c>
      <c r="Z164" s="62">
        <v>1</v>
      </c>
      <c r="AA164" s="293">
        <v>0.5</v>
      </c>
      <c r="AB164" s="293">
        <v>0.5</v>
      </c>
      <c r="AC164" s="293">
        <v>0</v>
      </c>
      <c r="AD164" s="293">
        <v>0</v>
      </c>
      <c r="AE164" s="293"/>
      <c r="AF164" s="293">
        <f t="shared" si="11"/>
        <v>1</v>
      </c>
      <c r="AG164" s="799"/>
      <c r="AH164" s="404">
        <v>44562</v>
      </c>
      <c r="AI164" s="404">
        <v>44652</v>
      </c>
      <c r="AJ164" s="192">
        <v>90</v>
      </c>
      <c r="AK164" s="26" t="s">
        <v>60</v>
      </c>
      <c r="AL164" s="26" t="s">
        <v>60</v>
      </c>
      <c r="AM164" s="75">
        <v>0.03</v>
      </c>
      <c r="AN164" s="446"/>
      <c r="AO164" s="446"/>
      <c r="AP164" s="437"/>
      <c r="AQ164" s="699"/>
      <c r="AR164" s="699"/>
      <c r="AS164" s="699"/>
      <c r="AT164" s="593"/>
      <c r="AU164" s="434"/>
      <c r="AV164" s="437"/>
      <c r="AW164" s="437"/>
      <c r="AX164" s="437"/>
      <c r="AY164" s="443"/>
      <c r="AZ164" s="19" t="s">
        <v>66</v>
      </c>
      <c r="BA164" s="26" t="s">
        <v>67</v>
      </c>
      <c r="BB164" s="26" t="s">
        <v>68</v>
      </c>
      <c r="BC164" s="26"/>
      <c r="BD164" s="26"/>
    </row>
    <row r="165" spans="1:56" ht="28.5" x14ac:dyDescent="0.25">
      <c r="A165" s="470"/>
      <c r="B165" s="470"/>
      <c r="C165" s="473"/>
      <c r="D165" s="652"/>
      <c r="E165" s="473"/>
      <c r="F165" s="470"/>
      <c r="G165" s="473"/>
      <c r="H165" s="473"/>
      <c r="I165" s="487"/>
      <c r="J165" s="473"/>
      <c r="K165" s="489"/>
      <c r="L165" s="489"/>
      <c r="M165" s="464"/>
      <c r="N165" s="464"/>
      <c r="O165" s="464"/>
      <c r="P165" s="464"/>
      <c r="Q165" s="464"/>
      <c r="R165" s="464"/>
      <c r="S165" s="519"/>
      <c r="T165" s="490"/>
      <c r="U165" s="490"/>
      <c r="V165" s="479"/>
      <c r="W165" s="578"/>
      <c r="X165" s="578"/>
      <c r="Y165" s="62" t="s">
        <v>358</v>
      </c>
      <c r="Z165" s="62">
        <v>1</v>
      </c>
      <c r="AA165" s="293">
        <v>1</v>
      </c>
      <c r="AB165" s="293">
        <v>0</v>
      </c>
      <c r="AC165" s="293">
        <v>0</v>
      </c>
      <c r="AD165" s="376">
        <v>1</v>
      </c>
      <c r="AE165" s="293"/>
      <c r="AF165" s="293">
        <f>IF((SUM(AA165:AD165)&gt;100%),100%,SUM(AA165:AD165))</f>
        <v>1</v>
      </c>
      <c r="AG165" s="799"/>
      <c r="AH165" s="404">
        <v>44562</v>
      </c>
      <c r="AI165" s="404">
        <v>44652</v>
      </c>
      <c r="AJ165" s="192">
        <v>90</v>
      </c>
      <c r="AK165" s="26" t="s">
        <v>60</v>
      </c>
      <c r="AL165" s="26" t="s">
        <v>60</v>
      </c>
      <c r="AM165" s="75">
        <v>0.05</v>
      </c>
      <c r="AN165" s="446"/>
      <c r="AO165" s="446"/>
      <c r="AP165" s="437"/>
      <c r="AQ165" s="699"/>
      <c r="AR165" s="699"/>
      <c r="AS165" s="699"/>
      <c r="AT165" s="593"/>
      <c r="AU165" s="434"/>
      <c r="AV165" s="437"/>
      <c r="AW165" s="437"/>
      <c r="AX165" s="437"/>
      <c r="AY165" s="443"/>
      <c r="AZ165" s="19" t="s">
        <v>66</v>
      </c>
      <c r="BA165" s="26" t="s">
        <v>67</v>
      </c>
      <c r="BB165" s="26" t="s">
        <v>68</v>
      </c>
      <c r="BC165" s="26"/>
      <c r="BD165" s="26"/>
    </row>
    <row r="166" spans="1:56" ht="28.5" x14ac:dyDescent="0.25">
      <c r="A166" s="470"/>
      <c r="B166" s="470"/>
      <c r="C166" s="473"/>
      <c r="D166" s="652"/>
      <c r="E166" s="473"/>
      <c r="F166" s="470"/>
      <c r="G166" s="473"/>
      <c r="H166" s="473"/>
      <c r="I166" s="487"/>
      <c r="J166" s="473"/>
      <c r="K166" s="489"/>
      <c r="L166" s="489"/>
      <c r="M166" s="464"/>
      <c r="N166" s="464"/>
      <c r="O166" s="464"/>
      <c r="P166" s="464"/>
      <c r="Q166" s="464"/>
      <c r="R166" s="464"/>
      <c r="S166" s="519"/>
      <c r="T166" s="490"/>
      <c r="U166" s="490"/>
      <c r="V166" s="479"/>
      <c r="W166" s="578"/>
      <c r="X166" s="578"/>
      <c r="Y166" s="62" t="s">
        <v>359</v>
      </c>
      <c r="Z166" s="62">
        <v>2</v>
      </c>
      <c r="AA166" s="293">
        <v>0.5</v>
      </c>
      <c r="AB166" s="293">
        <v>0.5</v>
      </c>
      <c r="AC166" s="293">
        <v>0</v>
      </c>
      <c r="AD166" s="293">
        <v>1</v>
      </c>
      <c r="AE166" s="293"/>
      <c r="AF166" s="293">
        <f>IF((SUM(AA166:AD166)&gt;100%),100%,SUM(AA166:AD166))</f>
        <v>1</v>
      </c>
      <c r="AG166" s="799"/>
      <c r="AH166" s="404">
        <v>44593</v>
      </c>
      <c r="AI166" s="404">
        <v>44713</v>
      </c>
      <c r="AJ166" s="192">
        <v>120</v>
      </c>
      <c r="AK166" s="26" t="s">
        <v>60</v>
      </c>
      <c r="AL166" s="26" t="s">
        <v>60</v>
      </c>
      <c r="AM166" s="75">
        <v>0.03</v>
      </c>
      <c r="AN166" s="446"/>
      <c r="AO166" s="446"/>
      <c r="AP166" s="437"/>
      <c r="AQ166" s="699"/>
      <c r="AR166" s="699"/>
      <c r="AS166" s="699"/>
      <c r="AT166" s="593"/>
      <c r="AU166" s="434"/>
      <c r="AV166" s="437"/>
      <c r="AW166" s="437"/>
      <c r="AX166" s="437"/>
      <c r="AY166" s="443"/>
      <c r="AZ166" s="19" t="s">
        <v>66</v>
      </c>
      <c r="BA166" s="26" t="s">
        <v>67</v>
      </c>
      <c r="BB166" s="26" t="s">
        <v>68</v>
      </c>
      <c r="BC166" s="26"/>
      <c r="BD166" s="26"/>
    </row>
    <row r="167" spans="1:56" ht="28.5" x14ac:dyDescent="0.25">
      <c r="A167" s="470"/>
      <c r="B167" s="470"/>
      <c r="C167" s="473"/>
      <c r="D167" s="652"/>
      <c r="E167" s="473"/>
      <c r="F167" s="470"/>
      <c r="G167" s="473"/>
      <c r="H167" s="473"/>
      <c r="I167" s="487"/>
      <c r="J167" s="473"/>
      <c r="K167" s="489"/>
      <c r="L167" s="489"/>
      <c r="M167" s="464"/>
      <c r="N167" s="464"/>
      <c r="O167" s="464"/>
      <c r="P167" s="464"/>
      <c r="Q167" s="464"/>
      <c r="R167" s="464"/>
      <c r="S167" s="519"/>
      <c r="T167" s="490"/>
      <c r="U167" s="490"/>
      <c r="V167" s="479"/>
      <c r="W167" s="578"/>
      <c r="X167" s="578"/>
      <c r="Y167" s="62" t="s">
        <v>360</v>
      </c>
      <c r="Z167" s="62">
        <v>1</v>
      </c>
      <c r="AA167" s="293">
        <v>0.15</v>
      </c>
      <c r="AB167" s="293">
        <v>0.15</v>
      </c>
      <c r="AC167" s="293">
        <v>0.02</v>
      </c>
      <c r="AD167" s="293">
        <v>0.32</v>
      </c>
      <c r="AE167" s="293"/>
      <c r="AF167" s="293">
        <f t="shared" si="11"/>
        <v>0.64</v>
      </c>
      <c r="AG167" s="799"/>
      <c r="AH167" s="404">
        <v>44593</v>
      </c>
      <c r="AI167" s="404"/>
      <c r="AJ167" s="192">
        <v>280</v>
      </c>
      <c r="AK167" s="26" t="s">
        <v>60</v>
      </c>
      <c r="AL167" s="26" t="s">
        <v>60</v>
      </c>
      <c r="AM167" s="75">
        <v>0.05</v>
      </c>
      <c r="AN167" s="446"/>
      <c r="AO167" s="446"/>
      <c r="AP167" s="437"/>
      <c r="AQ167" s="699"/>
      <c r="AR167" s="699"/>
      <c r="AS167" s="699"/>
      <c r="AT167" s="593"/>
      <c r="AU167" s="434"/>
      <c r="AV167" s="437"/>
      <c r="AW167" s="437"/>
      <c r="AX167" s="437"/>
      <c r="AY167" s="443"/>
      <c r="AZ167" s="19" t="s">
        <v>66</v>
      </c>
      <c r="BA167" s="26" t="s">
        <v>67</v>
      </c>
      <c r="BB167" s="26" t="s">
        <v>68</v>
      </c>
      <c r="BC167" s="26"/>
      <c r="BD167" s="26"/>
    </row>
    <row r="168" spans="1:56" ht="29.25" thickBot="1" x14ac:dyDescent="0.3">
      <c r="A168" s="470"/>
      <c r="B168" s="470"/>
      <c r="C168" s="473"/>
      <c r="D168" s="652"/>
      <c r="E168" s="473"/>
      <c r="F168" s="470"/>
      <c r="G168" s="473"/>
      <c r="H168" s="473"/>
      <c r="I168" s="487"/>
      <c r="J168" s="473"/>
      <c r="K168" s="489"/>
      <c r="L168" s="489"/>
      <c r="M168" s="464"/>
      <c r="N168" s="464"/>
      <c r="O168" s="464"/>
      <c r="P168" s="464"/>
      <c r="Q168" s="465"/>
      <c r="R168" s="465"/>
      <c r="S168" s="519"/>
      <c r="T168" s="490"/>
      <c r="U168" s="490"/>
      <c r="V168" s="479"/>
      <c r="W168" s="578"/>
      <c r="X168" s="578"/>
      <c r="Y168" s="62" t="s">
        <v>361</v>
      </c>
      <c r="Z168" s="62">
        <v>4</v>
      </c>
      <c r="AA168" s="293">
        <v>0</v>
      </c>
      <c r="AB168" s="293">
        <v>0</v>
      </c>
      <c r="AC168" s="293">
        <v>0</v>
      </c>
      <c r="AD168" s="293">
        <v>0</v>
      </c>
      <c r="AE168" s="293"/>
      <c r="AF168" s="293">
        <f t="shared" si="11"/>
        <v>0</v>
      </c>
      <c r="AG168" s="799"/>
      <c r="AH168" s="404">
        <v>44713</v>
      </c>
      <c r="AI168" s="404">
        <v>44835</v>
      </c>
      <c r="AJ168" s="192">
        <v>120</v>
      </c>
      <c r="AK168" s="26" t="s">
        <v>60</v>
      </c>
      <c r="AL168" s="26" t="s">
        <v>60</v>
      </c>
      <c r="AM168" s="75">
        <v>0.05</v>
      </c>
      <c r="AN168" s="446"/>
      <c r="AO168" s="446"/>
      <c r="AP168" s="437"/>
      <c r="AQ168" s="708"/>
      <c r="AR168" s="708"/>
      <c r="AS168" s="708"/>
      <c r="AT168" s="593"/>
      <c r="AU168" s="434"/>
      <c r="AV168" s="437"/>
      <c r="AW168" s="437"/>
      <c r="AX168" s="437"/>
      <c r="AY168" s="443"/>
      <c r="AZ168" s="19" t="s">
        <v>66</v>
      </c>
      <c r="BA168" s="26" t="s">
        <v>67</v>
      </c>
      <c r="BB168" s="26" t="s">
        <v>68</v>
      </c>
      <c r="BC168" s="26"/>
      <c r="BD168" s="26"/>
    </row>
    <row r="169" spans="1:56" ht="42.75" x14ac:dyDescent="0.25">
      <c r="A169" s="470"/>
      <c r="B169" s="470"/>
      <c r="C169" s="473"/>
      <c r="D169" s="652"/>
      <c r="E169" s="473"/>
      <c r="F169" s="470"/>
      <c r="G169" s="472" t="s">
        <v>362</v>
      </c>
      <c r="H169" s="472" t="s">
        <v>54</v>
      </c>
      <c r="I169" s="472" t="s">
        <v>250</v>
      </c>
      <c r="J169" s="472" t="s">
        <v>363</v>
      </c>
      <c r="K169" s="488">
        <v>7</v>
      </c>
      <c r="L169" s="488">
        <v>1</v>
      </c>
      <c r="M169" s="488">
        <v>2</v>
      </c>
      <c r="N169" s="463">
        <v>0.1</v>
      </c>
      <c r="O169" s="463">
        <v>0.2</v>
      </c>
      <c r="P169" s="463">
        <v>0.1</v>
      </c>
      <c r="Q169" s="463">
        <v>3.7</v>
      </c>
      <c r="R169" s="463">
        <v>0.7</v>
      </c>
      <c r="S169" s="463">
        <f>M169+N169+O169++Q169+P169</f>
        <v>6.1</v>
      </c>
      <c r="T169" s="430">
        <f>+IF((SUM(N169:Q169)/L169)&gt;100%,100%,SUM(N169:Q169)/L169)</f>
        <v>1</v>
      </c>
      <c r="U169" s="430">
        <f>+S169/K169</f>
        <v>0.87142857142857133</v>
      </c>
      <c r="V169" s="479"/>
      <c r="W169" s="578"/>
      <c r="X169" s="578"/>
      <c r="Y169" s="62" t="s">
        <v>364</v>
      </c>
      <c r="Z169" s="62">
        <v>2</v>
      </c>
      <c r="AA169" s="293">
        <v>0.5</v>
      </c>
      <c r="AB169" s="293">
        <v>0.5</v>
      </c>
      <c r="AC169" s="293">
        <v>0</v>
      </c>
      <c r="AD169" s="293">
        <v>0</v>
      </c>
      <c r="AE169" s="293"/>
      <c r="AF169" s="293">
        <f t="shared" si="11"/>
        <v>1</v>
      </c>
      <c r="AG169" s="799"/>
      <c r="AH169" s="404">
        <v>44562</v>
      </c>
      <c r="AI169" s="404"/>
      <c r="AJ169" s="192">
        <v>280</v>
      </c>
      <c r="AK169" s="26" t="s">
        <v>60</v>
      </c>
      <c r="AL169" s="26" t="s">
        <v>60</v>
      </c>
      <c r="AM169" s="75">
        <v>0.05</v>
      </c>
      <c r="AN169" s="446"/>
      <c r="AO169" s="446"/>
      <c r="AP169" s="437" t="s">
        <v>452</v>
      </c>
      <c r="AQ169" s="699"/>
      <c r="AR169" s="699">
        <v>637499471.25</v>
      </c>
      <c r="AS169" s="698"/>
      <c r="AT169" s="490">
        <f>+AS169/AR169</f>
        <v>0</v>
      </c>
      <c r="AU169" s="701"/>
      <c r="AV169" s="437"/>
      <c r="AW169" s="437"/>
      <c r="AX169" s="437"/>
      <c r="AY169" s="443"/>
      <c r="AZ169" s="19" t="s">
        <v>66</v>
      </c>
      <c r="BA169" s="26" t="s">
        <v>67</v>
      </c>
      <c r="BB169" s="26" t="s">
        <v>68</v>
      </c>
      <c r="BC169" s="26"/>
      <c r="BD169" s="26"/>
    </row>
    <row r="170" spans="1:56" ht="42.75" x14ac:dyDescent="0.25">
      <c r="A170" s="470"/>
      <c r="B170" s="470"/>
      <c r="C170" s="473"/>
      <c r="D170" s="652"/>
      <c r="E170" s="473"/>
      <c r="F170" s="470"/>
      <c r="G170" s="473"/>
      <c r="H170" s="473"/>
      <c r="I170" s="473"/>
      <c r="J170" s="473"/>
      <c r="K170" s="489"/>
      <c r="L170" s="489"/>
      <c r="M170" s="489"/>
      <c r="N170" s="464"/>
      <c r="O170" s="464"/>
      <c r="P170" s="464"/>
      <c r="Q170" s="464"/>
      <c r="R170" s="464"/>
      <c r="S170" s="464"/>
      <c r="T170" s="431"/>
      <c r="U170" s="431"/>
      <c r="V170" s="479"/>
      <c r="W170" s="578"/>
      <c r="X170" s="578"/>
      <c r="Y170" s="62" t="s">
        <v>365</v>
      </c>
      <c r="Z170" s="62">
        <v>1</v>
      </c>
      <c r="AA170" s="293">
        <v>0</v>
      </c>
      <c r="AB170" s="293">
        <v>0</v>
      </c>
      <c r="AC170" s="293">
        <v>0.5</v>
      </c>
      <c r="AD170" s="293">
        <v>0</v>
      </c>
      <c r="AE170" s="293"/>
      <c r="AF170" s="293">
        <f t="shared" si="11"/>
        <v>0.5</v>
      </c>
      <c r="AG170" s="799"/>
      <c r="AH170" s="404">
        <v>44713</v>
      </c>
      <c r="AI170" s="404"/>
      <c r="AJ170" s="192">
        <v>120</v>
      </c>
      <c r="AK170" s="26" t="s">
        <v>60</v>
      </c>
      <c r="AL170" s="26" t="s">
        <v>60</v>
      </c>
      <c r="AM170" s="75">
        <v>0.03</v>
      </c>
      <c r="AN170" s="446"/>
      <c r="AO170" s="446"/>
      <c r="AP170" s="437"/>
      <c r="AQ170" s="699"/>
      <c r="AR170" s="699"/>
      <c r="AS170" s="698"/>
      <c r="AT170" s="490"/>
      <c r="AU170" s="701"/>
      <c r="AV170" s="437"/>
      <c r="AW170" s="437"/>
      <c r="AX170" s="437"/>
      <c r="AY170" s="443"/>
      <c r="AZ170" s="19" t="s">
        <v>66</v>
      </c>
      <c r="BA170" s="26" t="s">
        <v>67</v>
      </c>
      <c r="BB170" s="26" t="s">
        <v>68</v>
      </c>
      <c r="BC170" s="26"/>
      <c r="BD170" s="26"/>
    </row>
    <row r="171" spans="1:56" ht="44.25" customHeight="1" x14ac:dyDescent="0.25">
      <c r="A171" s="470"/>
      <c r="B171" s="470"/>
      <c r="C171" s="473"/>
      <c r="D171" s="652"/>
      <c r="E171" s="473"/>
      <c r="F171" s="470"/>
      <c r="G171" s="473"/>
      <c r="H171" s="473"/>
      <c r="I171" s="473"/>
      <c r="J171" s="473"/>
      <c r="K171" s="489"/>
      <c r="L171" s="489"/>
      <c r="M171" s="489"/>
      <c r="N171" s="464"/>
      <c r="O171" s="464"/>
      <c r="P171" s="464"/>
      <c r="Q171" s="464"/>
      <c r="R171" s="464"/>
      <c r="S171" s="464"/>
      <c r="T171" s="431"/>
      <c r="U171" s="431"/>
      <c r="V171" s="479"/>
      <c r="W171" s="578"/>
      <c r="X171" s="578"/>
      <c r="Y171" s="62" t="s">
        <v>366</v>
      </c>
      <c r="Z171" s="62">
        <v>1</v>
      </c>
      <c r="AA171" s="293">
        <v>0</v>
      </c>
      <c r="AB171" s="293">
        <v>0</v>
      </c>
      <c r="AC171" s="293">
        <v>0</v>
      </c>
      <c r="AD171" s="293">
        <v>0</v>
      </c>
      <c r="AE171" s="293"/>
      <c r="AF171" s="293">
        <f t="shared" si="11"/>
        <v>0</v>
      </c>
      <c r="AG171" s="799"/>
      <c r="AH171" s="404">
        <v>44774</v>
      </c>
      <c r="AI171" s="404">
        <v>44805</v>
      </c>
      <c r="AJ171" s="192">
        <v>30</v>
      </c>
      <c r="AK171" s="26" t="s">
        <v>60</v>
      </c>
      <c r="AL171" s="26" t="s">
        <v>60</v>
      </c>
      <c r="AM171" s="75">
        <v>0.02</v>
      </c>
      <c r="AN171" s="446"/>
      <c r="AO171" s="446"/>
      <c r="AP171" s="437"/>
      <c r="AQ171" s="699"/>
      <c r="AR171" s="699"/>
      <c r="AS171" s="698"/>
      <c r="AT171" s="490"/>
      <c r="AU171" s="701"/>
      <c r="AV171" s="437"/>
      <c r="AW171" s="437"/>
      <c r="AX171" s="437"/>
      <c r="AY171" s="443"/>
      <c r="AZ171" s="19" t="s">
        <v>66</v>
      </c>
      <c r="BA171" s="26" t="s">
        <v>67</v>
      </c>
      <c r="BB171" s="26" t="s">
        <v>68</v>
      </c>
      <c r="BC171" s="26"/>
      <c r="BD171" s="26"/>
    </row>
    <row r="172" spans="1:56" ht="41.25" customHeight="1" x14ac:dyDescent="0.25">
      <c r="A172" s="470"/>
      <c r="B172" s="470"/>
      <c r="C172" s="473"/>
      <c r="D172" s="652"/>
      <c r="E172" s="473"/>
      <c r="F172" s="470"/>
      <c r="G172" s="473"/>
      <c r="H172" s="473"/>
      <c r="I172" s="473"/>
      <c r="J172" s="473"/>
      <c r="K172" s="489"/>
      <c r="L172" s="489"/>
      <c r="M172" s="489"/>
      <c r="N172" s="464"/>
      <c r="O172" s="464"/>
      <c r="P172" s="464"/>
      <c r="Q172" s="464"/>
      <c r="R172" s="464"/>
      <c r="S172" s="464"/>
      <c r="T172" s="431"/>
      <c r="U172" s="431"/>
      <c r="V172" s="479"/>
      <c r="W172" s="578"/>
      <c r="X172" s="578"/>
      <c r="Y172" s="62" t="s">
        <v>367</v>
      </c>
      <c r="Z172" s="62">
        <v>1</v>
      </c>
      <c r="AA172" s="293">
        <v>0</v>
      </c>
      <c r="AB172" s="293">
        <v>0</v>
      </c>
      <c r="AC172" s="293">
        <v>0</v>
      </c>
      <c r="AD172" s="293">
        <v>0</v>
      </c>
      <c r="AE172" s="293"/>
      <c r="AF172" s="293">
        <f t="shared" si="11"/>
        <v>0</v>
      </c>
      <c r="AG172" s="799"/>
      <c r="AH172" s="404">
        <v>44774</v>
      </c>
      <c r="AI172" s="404">
        <v>44835</v>
      </c>
      <c r="AJ172" s="192">
        <v>120</v>
      </c>
      <c r="AK172" s="26" t="s">
        <v>60</v>
      </c>
      <c r="AL172" s="26" t="s">
        <v>60</v>
      </c>
      <c r="AM172" s="75">
        <v>0.05</v>
      </c>
      <c r="AN172" s="446"/>
      <c r="AO172" s="446"/>
      <c r="AP172" s="437"/>
      <c r="AQ172" s="699"/>
      <c r="AR172" s="699"/>
      <c r="AS172" s="698"/>
      <c r="AT172" s="490"/>
      <c r="AU172" s="701"/>
      <c r="AV172" s="437"/>
      <c r="AW172" s="437"/>
      <c r="AX172" s="437"/>
      <c r="AY172" s="443"/>
      <c r="AZ172" s="19" t="s">
        <v>66</v>
      </c>
      <c r="BA172" s="26" t="s">
        <v>67</v>
      </c>
      <c r="BB172" s="26" t="s">
        <v>68</v>
      </c>
      <c r="BC172" s="26"/>
      <c r="BD172" s="26"/>
    </row>
    <row r="173" spans="1:56" ht="43.5" thickBot="1" x14ac:dyDescent="0.3">
      <c r="A173" s="470"/>
      <c r="B173" s="470"/>
      <c r="C173" s="473"/>
      <c r="D173" s="652"/>
      <c r="E173" s="473"/>
      <c r="F173" s="470"/>
      <c r="G173" s="474"/>
      <c r="H173" s="474"/>
      <c r="I173" s="474"/>
      <c r="J173" s="474"/>
      <c r="K173" s="495"/>
      <c r="L173" s="495"/>
      <c r="M173" s="495"/>
      <c r="N173" s="465"/>
      <c r="O173" s="465"/>
      <c r="P173" s="465"/>
      <c r="Q173" s="465"/>
      <c r="R173" s="465"/>
      <c r="S173" s="465"/>
      <c r="T173" s="459"/>
      <c r="U173" s="459"/>
      <c r="V173" s="479"/>
      <c r="W173" s="578"/>
      <c r="X173" s="578"/>
      <c r="Y173" s="62" t="s">
        <v>368</v>
      </c>
      <c r="Z173" s="62">
        <v>1</v>
      </c>
      <c r="AA173" s="293">
        <v>0</v>
      </c>
      <c r="AB173" s="293">
        <v>0</v>
      </c>
      <c r="AC173" s="293">
        <v>0</v>
      </c>
      <c r="AD173" s="293">
        <v>0</v>
      </c>
      <c r="AE173" s="293"/>
      <c r="AF173" s="293">
        <f t="shared" si="11"/>
        <v>0</v>
      </c>
      <c r="AG173" s="799"/>
      <c r="AH173" s="404">
        <v>44774</v>
      </c>
      <c r="AI173" s="404">
        <v>44835</v>
      </c>
      <c r="AJ173" s="192">
        <v>120</v>
      </c>
      <c r="AK173" s="26" t="s">
        <v>60</v>
      </c>
      <c r="AL173" s="26" t="s">
        <v>60</v>
      </c>
      <c r="AM173" s="75">
        <v>0.05</v>
      </c>
      <c r="AN173" s="446"/>
      <c r="AO173" s="446"/>
      <c r="AP173" s="437"/>
      <c r="AQ173" s="699"/>
      <c r="AR173" s="699"/>
      <c r="AS173" s="698"/>
      <c r="AT173" s="490"/>
      <c r="AU173" s="701"/>
      <c r="AV173" s="437"/>
      <c r="AW173" s="437"/>
      <c r="AX173" s="437"/>
      <c r="AY173" s="443"/>
      <c r="AZ173" s="19" t="s">
        <v>66</v>
      </c>
      <c r="BA173" s="26" t="s">
        <v>67</v>
      </c>
      <c r="BB173" s="26" t="s">
        <v>68</v>
      </c>
      <c r="BC173" s="26"/>
      <c r="BD173" s="26"/>
    </row>
    <row r="174" spans="1:56" ht="42.75" x14ac:dyDescent="0.25">
      <c r="A174" s="470"/>
      <c r="B174" s="470"/>
      <c r="C174" s="473"/>
      <c r="D174" s="652"/>
      <c r="E174" s="473"/>
      <c r="F174" s="470"/>
      <c r="G174" s="472" t="s">
        <v>369</v>
      </c>
      <c r="H174" s="472" t="s">
        <v>54</v>
      </c>
      <c r="I174" s="472" t="s">
        <v>250</v>
      </c>
      <c r="J174" s="472" t="s">
        <v>370</v>
      </c>
      <c r="K174" s="488">
        <v>1</v>
      </c>
      <c r="L174" s="488" t="s">
        <v>424</v>
      </c>
      <c r="M174" s="463">
        <v>0.95</v>
      </c>
      <c r="N174" s="463">
        <v>0.45</v>
      </c>
      <c r="O174" s="463">
        <v>0.15</v>
      </c>
      <c r="P174" s="463">
        <v>0</v>
      </c>
      <c r="Q174" s="463">
        <v>0</v>
      </c>
      <c r="R174" s="463">
        <f>SUM(N174:Q178)</f>
        <v>0.6</v>
      </c>
      <c r="S174" s="463">
        <f>M174+0.03</f>
        <v>0.98</v>
      </c>
      <c r="T174" s="430">
        <f>+SUM(N174:P178)</f>
        <v>0.6</v>
      </c>
      <c r="U174" s="430">
        <v>1</v>
      </c>
      <c r="V174" s="479"/>
      <c r="W174" s="578"/>
      <c r="X174" s="578"/>
      <c r="Y174" s="62" t="s">
        <v>371</v>
      </c>
      <c r="Z174" s="62">
        <v>1</v>
      </c>
      <c r="AA174" s="293">
        <v>1</v>
      </c>
      <c r="AB174" s="293">
        <v>0</v>
      </c>
      <c r="AC174" s="293">
        <v>0</v>
      </c>
      <c r="AD174" s="293">
        <v>0</v>
      </c>
      <c r="AE174" s="293"/>
      <c r="AF174" s="293">
        <f t="shared" si="11"/>
        <v>1</v>
      </c>
      <c r="AG174" s="799"/>
      <c r="AH174" s="404">
        <v>44562</v>
      </c>
      <c r="AI174" s="404">
        <v>44593</v>
      </c>
      <c r="AJ174" s="192">
        <v>30</v>
      </c>
      <c r="AK174" s="26" t="s">
        <v>60</v>
      </c>
      <c r="AL174" s="26" t="s">
        <v>60</v>
      </c>
      <c r="AM174" s="75">
        <v>0.05</v>
      </c>
      <c r="AN174" s="446"/>
      <c r="AO174" s="446"/>
      <c r="AP174" s="437"/>
      <c r="AQ174" s="699"/>
      <c r="AR174" s="699"/>
      <c r="AS174" s="698"/>
      <c r="AT174" s="490"/>
      <c r="AU174" s="701"/>
      <c r="AV174" s="437"/>
      <c r="AW174" s="437"/>
      <c r="AX174" s="437"/>
      <c r="AY174" s="443"/>
      <c r="AZ174" s="19" t="s">
        <v>66</v>
      </c>
      <c r="BA174" s="26" t="s">
        <v>67</v>
      </c>
      <c r="BB174" s="26" t="s">
        <v>68</v>
      </c>
      <c r="BC174" s="26"/>
      <c r="BD174" s="430" t="s">
        <v>421</v>
      </c>
    </row>
    <row r="175" spans="1:56" ht="57" x14ac:dyDescent="0.25">
      <c r="A175" s="470"/>
      <c r="B175" s="470"/>
      <c r="C175" s="473"/>
      <c r="D175" s="652"/>
      <c r="E175" s="473"/>
      <c r="F175" s="470"/>
      <c r="G175" s="473"/>
      <c r="H175" s="473"/>
      <c r="I175" s="473"/>
      <c r="J175" s="473"/>
      <c r="K175" s="489"/>
      <c r="L175" s="489"/>
      <c r="M175" s="464"/>
      <c r="N175" s="464"/>
      <c r="O175" s="464"/>
      <c r="P175" s="464"/>
      <c r="Q175" s="464"/>
      <c r="R175" s="464"/>
      <c r="S175" s="464"/>
      <c r="T175" s="431"/>
      <c r="U175" s="431"/>
      <c r="V175" s="479"/>
      <c r="W175" s="578"/>
      <c r="X175" s="578"/>
      <c r="Y175" s="62" t="s">
        <v>372</v>
      </c>
      <c r="Z175" s="62">
        <v>1</v>
      </c>
      <c r="AA175" s="293">
        <v>1</v>
      </c>
      <c r="AB175" s="293">
        <v>0</v>
      </c>
      <c r="AC175" s="293">
        <v>0</v>
      </c>
      <c r="AD175" s="293">
        <v>0</v>
      </c>
      <c r="AE175" s="293"/>
      <c r="AF175" s="293">
        <f t="shared" si="11"/>
        <v>1</v>
      </c>
      <c r="AG175" s="799"/>
      <c r="AH175" s="404">
        <v>44562</v>
      </c>
      <c r="AI175" s="404">
        <v>44593</v>
      </c>
      <c r="AJ175" s="192">
        <v>30</v>
      </c>
      <c r="AK175" s="26" t="s">
        <v>60</v>
      </c>
      <c r="AL175" s="26" t="s">
        <v>60</v>
      </c>
      <c r="AM175" s="75">
        <v>0.05</v>
      </c>
      <c r="AN175" s="446"/>
      <c r="AO175" s="446"/>
      <c r="AP175" s="437"/>
      <c r="AQ175" s="699"/>
      <c r="AR175" s="699"/>
      <c r="AS175" s="698"/>
      <c r="AT175" s="490"/>
      <c r="AU175" s="701"/>
      <c r="AV175" s="437"/>
      <c r="AW175" s="437"/>
      <c r="AX175" s="437"/>
      <c r="AY175" s="443"/>
      <c r="AZ175" s="19" t="s">
        <v>66</v>
      </c>
      <c r="BA175" s="26" t="s">
        <v>67</v>
      </c>
      <c r="BB175" s="26" t="s">
        <v>68</v>
      </c>
      <c r="BC175" s="26"/>
      <c r="BD175" s="431"/>
    </row>
    <row r="176" spans="1:56" ht="99.75" x14ac:dyDescent="0.25">
      <c r="A176" s="470"/>
      <c r="B176" s="470"/>
      <c r="C176" s="473"/>
      <c r="D176" s="652"/>
      <c r="E176" s="473"/>
      <c r="F176" s="470"/>
      <c r="G176" s="473"/>
      <c r="H176" s="473"/>
      <c r="I176" s="473"/>
      <c r="J176" s="473"/>
      <c r="K176" s="489"/>
      <c r="L176" s="489"/>
      <c r="M176" s="464"/>
      <c r="N176" s="464"/>
      <c r="O176" s="464"/>
      <c r="P176" s="464"/>
      <c r="Q176" s="464"/>
      <c r="R176" s="464"/>
      <c r="S176" s="464"/>
      <c r="T176" s="431"/>
      <c r="U176" s="431"/>
      <c r="V176" s="479"/>
      <c r="W176" s="578"/>
      <c r="X176" s="578"/>
      <c r="Y176" s="62" t="s">
        <v>373</v>
      </c>
      <c r="Z176" s="62">
        <v>4</v>
      </c>
      <c r="AA176" s="293">
        <v>0.25</v>
      </c>
      <c r="AB176" s="398">
        <v>0.25</v>
      </c>
      <c r="AC176" s="398">
        <v>0.25</v>
      </c>
      <c r="AD176" s="398">
        <v>0.1</v>
      </c>
      <c r="AE176" s="398"/>
      <c r="AF176" s="293">
        <f t="shared" si="11"/>
        <v>0.85</v>
      </c>
      <c r="AG176" s="799"/>
      <c r="AH176" s="404">
        <v>44562</v>
      </c>
      <c r="AI176" s="404">
        <v>44896</v>
      </c>
      <c r="AJ176" s="192">
        <v>360</v>
      </c>
      <c r="AK176" s="26" t="s">
        <v>60</v>
      </c>
      <c r="AL176" s="26" t="s">
        <v>60</v>
      </c>
      <c r="AM176" s="75">
        <v>0.05</v>
      </c>
      <c r="AN176" s="446"/>
      <c r="AO176" s="437"/>
      <c r="AP176" s="578" t="s">
        <v>73</v>
      </c>
      <c r="AQ176" s="709"/>
      <c r="AR176" s="709">
        <v>286222456.35000002</v>
      </c>
      <c r="AS176" s="798">
        <v>0</v>
      </c>
      <c r="AT176" s="579" t="e">
        <v>#DIV/0!</v>
      </c>
      <c r="AU176" s="434"/>
      <c r="AV176" s="437"/>
      <c r="AW176" s="437"/>
      <c r="AX176" s="437"/>
      <c r="AY176" s="443"/>
      <c r="AZ176" s="19" t="s">
        <v>66</v>
      </c>
      <c r="BA176" s="26" t="s">
        <v>67</v>
      </c>
      <c r="BB176" s="26" t="s">
        <v>68</v>
      </c>
      <c r="BC176" s="26"/>
      <c r="BD176" s="431"/>
    </row>
    <row r="177" spans="1:56" ht="42.75" x14ac:dyDescent="0.25">
      <c r="A177" s="470"/>
      <c r="B177" s="470"/>
      <c r="C177" s="473"/>
      <c r="D177" s="652"/>
      <c r="E177" s="473"/>
      <c r="F177" s="470"/>
      <c r="G177" s="473"/>
      <c r="H177" s="473"/>
      <c r="I177" s="473"/>
      <c r="J177" s="473"/>
      <c r="K177" s="489"/>
      <c r="L177" s="489"/>
      <c r="M177" s="464"/>
      <c r="N177" s="464"/>
      <c r="O177" s="464"/>
      <c r="P177" s="464"/>
      <c r="Q177" s="464"/>
      <c r="R177" s="464"/>
      <c r="S177" s="464"/>
      <c r="T177" s="431"/>
      <c r="U177" s="431"/>
      <c r="V177" s="479"/>
      <c r="W177" s="578"/>
      <c r="X177" s="578"/>
      <c r="Y177" s="62" t="s">
        <v>374</v>
      </c>
      <c r="Z177" s="62">
        <v>1</v>
      </c>
      <c r="AA177" s="293">
        <v>0</v>
      </c>
      <c r="AB177" s="293">
        <v>0</v>
      </c>
      <c r="AC177" s="293">
        <v>0.2</v>
      </c>
      <c r="AD177" s="293">
        <v>0.5</v>
      </c>
      <c r="AE177" s="293"/>
      <c r="AF177" s="293">
        <f t="shared" si="11"/>
        <v>0.7</v>
      </c>
      <c r="AG177" s="799"/>
      <c r="AH177" s="404">
        <v>44652</v>
      </c>
      <c r="AI177" s="404">
        <v>44926</v>
      </c>
      <c r="AJ177" s="192">
        <v>365</v>
      </c>
      <c r="AK177" s="26" t="s">
        <v>60</v>
      </c>
      <c r="AL177" s="26" t="s">
        <v>60</v>
      </c>
      <c r="AM177" s="75">
        <v>7.0000000000000007E-2</v>
      </c>
      <c r="AN177" s="446"/>
      <c r="AO177" s="437"/>
      <c r="AP177" s="578"/>
      <c r="AQ177" s="699"/>
      <c r="AR177" s="699"/>
      <c r="AS177" s="698"/>
      <c r="AT177" s="579"/>
      <c r="AU177" s="434"/>
      <c r="AV177" s="437"/>
      <c r="AW177" s="437"/>
      <c r="AX177" s="437"/>
      <c r="AY177" s="443"/>
      <c r="AZ177" s="19" t="s">
        <v>66</v>
      </c>
      <c r="BA177" s="26" t="s">
        <v>67</v>
      </c>
      <c r="BB177" s="26" t="s">
        <v>68</v>
      </c>
      <c r="BC177" s="26"/>
      <c r="BD177" s="431"/>
    </row>
    <row r="178" spans="1:56" ht="57.75" thickBot="1" x14ac:dyDescent="0.3">
      <c r="A178" s="470"/>
      <c r="B178" s="470"/>
      <c r="C178" s="473"/>
      <c r="D178" s="652"/>
      <c r="E178" s="473"/>
      <c r="F178" s="470"/>
      <c r="G178" s="473"/>
      <c r="H178" s="473"/>
      <c r="I178" s="473"/>
      <c r="J178" s="473"/>
      <c r="K178" s="489"/>
      <c r="L178" s="495"/>
      <c r="M178" s="465"/>
      <c r="N178" s="465"/>
      <c r="O178" s="465"/>
      <c r="P178" s="465"/>
      <c r="Q178" s="465"/>
      <c r="R178" s="465"/>
      <c r="S178" s="465"/>
      <c r="T178" s="459"/>
      <c r="U178" s="459"/>
      <c r="V178" s="479"/>
      <c r="W178" s="578"/>
      <c r="X178" s="578"/>
      <c r="Y178" s="62" t="s">
        <v>375</v>
      </c>
      <c r="Z178" s="62">
        <v>1</v>
      </c>
      <c r="AA178" s="293">
        <v>0</v>
      </c>
      <c r="AB178" s="293">
        <v>0</v>
      </c>
      <c r="AC178" s="293">
        <v>0.5</v>
      </c>
      <c r="AD178" s="293">
        <v>0.6</v>
      </c>
      <c r="AE178" s="293"/>
      <c r="AF178" s="293">
        <f>IF((SUM(AA178:AD178)&gt;100%),100%,SUM(AA178:AD178))</f>
        <v>1</v>
      </c>
      <c r="AG178" s="799"/>
      <c r="AH178" s="404">
        <v>44562</v>
      </c>
      <c r="AI178" s="404">
        <v>44743</v>
      </c>
      <c r="AJ178" s="192">
        <v>180</v>
      </c>
      <c r="AK178" s="26" t="s">
        <v>60</v>
      </c>
      <c r="AL178" s="26" t="s">
        <v>60</v>
      </c>
      <c r="AM178" s="75">
        <v>0.03</v>
      </c>
      <c r="AN178" s="446"/>
      <c r="AO178" s="437"/>
      <c r="AP178" s="578"/>
      <c r="AQ178" s="699"/>
      <c r="AR178" s="699"/>
      <c r="AS178" s="698"/>
      <c r="AT178" s="579"/>
      <c r="AU178" s="434"/>
      <c r="AV178" s="437"/>
      <c r="AW178" s="437"/>
      <c r="AX178" s="437"/>
      <c r="AY178" s="443"/>
      <c r="AZ178" s="19" t="s">
        <v>66</v>
      </c>
      <c r="BA178" s="26" t="s">
        <v>67</v>
      </c>
      <c r="BB178" s="26" t="s">
        <v>68</v>
      </c>
      <c r="BC178" s="26"/>
      <c r="BD178" s="459"/>
    </row>
    <row r="179" spans="1:56" ht="57" x14ac:dyDescent="0.25">
      <c r="A179" s="470"/>
      <c r="B179" s="470"/>
      <c r="C179" s="473"/>
      <c r="D179" s="652"/>
      <c r="E179" s="473"/>
      <c r="F179" s="485"/>
      <c r="G179" s="460" t="s">
        <v>376</v>
      </c>
      <c r="H179" s="460" t="s">
        <v>377</v>
      </c>
      <c r="I179" s="460" t="s">
        <v>378</v>
      </c>
      <c r="J179" s="460" t="s">
        <v>379</v>
      </c>
      <c r="K179" s="490">
        <v>1</v>
      </c>
      <c r="L179" s="509">
        <v>1</v>
      </c>
      <c r="M179" s="512">
        <v>1</v>
      </c>
      <c r="N179" s="515">
        <v>0.3</v>
      </c>
      <c r="O179" s="515">
        <v>0.26</v>
      </c>
      <c r="P179" s="515">
        <v>0</v>
      </c>
      <c r="Q179" s="515">
        <v>0.38</v>
      </c>
      <c r="R179" s="515">
        <f>SUM(N179:Q183)</f>
        <v>0.94000000000000006</v>
      </c>
      <c r="S179" s="512">
        <f>M179+N179+O179+P179+Q179</f>
        <v>1.94</v>
      </c>
      <c r="T179" s="430">
        <f>+SUM(N179:Q183)</f>
        <v>0.94000000000000006</v>
      </c>
      <c r="U179" s="430">
        <v>1</v>
      </c>
      <c r="V179" s="479"/>
      <c r="W179" s="578"/>
      <c r="X179" s="578"/>
      <c r="Y179" s="62" t="s">
        <v>380</v>
      </c>
      <c r="Z179" s="62">
        <v>1</v>
      </c>
      <c r="AA179" s="293">
        <v>1</v>
      </c>
      <c r="AB179" s="293">
        <v>0</v>
      </c>
      <c r="AC179" s="293">
        <v>1</v>
      </c>
      <c r="AD179" s="293">
        <v>0</v>
      </c>
      <c r="AE179" s="293"/>
      <c r="AF179" s="293">
        <v>1</v>
      </c>
      <c r="AG179" s="799"/>
      <c r="AH179" s="404">
        <v>44562</v>
      </c>
      <c r="AI179" s="404">
        <v>44593</v>
      </c>
      <c r="AJ179" s="192">
        <v>30</v>
      </c>
      <c r="AK179" s="26" t="s">
        <v>60</v>
      </c>
      <c r="AL179" s="26" t="s">
        <v>60</v>
      </c>
      <c r="AM179" s="75">
        <v>7.0000000000000007E-2</v>
      </c>
      <c r="AN179" s="446"/>
      <c r="AO179" s="437"/>
      <c r="AP179" s="578"/>
      <c r="AQ179" s="699"/>
      <c r="AR179" s="699"/>
      <c r="AS179" s="698"/>
      <c r="AT179" s="579"/>
      <c r="AU179" s="434"/>
      <c r="AV179" s="437"/>
      <c r="AW179" s="437"/>
      <c r="AX179" s="437"/>
      <c r="AY179" s="443"/>
      <c r="AZ179" s="19" t="s">
        <v>66</v>
      </c>
      <c r="BA179" s="26" t="s">
        <v>67</v>
      </c>
      <c r="BB179" s="26" t="s">
        <v>68</v>
      </c>
      <c r="BC179" s="26"/>
      <c r="BD179" s="430" t="s">
        <v>422</v>
      </c>
    </row>
    <row r="180" spans="1:56" ht="28.5" x14ac:dyDescent="0.25">
      <c r="A180" s="470"/>
      <c r="B180" s="470"/>
      <c r="C180" s="473"/>
      <c r="D180" s="652"/>
      <c r="E180" s="473"/>
      <c r="F180" s="485"/>
      <c r="G180" s="460"/>
      <c r="H180" s="460"/>
      <c r="I180" s="460"/>
      <c r="J180" s="460"/>
      <c r="K180" s="490"/>
      <c r="L180" s="510"/>
      <c r="M180" s="513"/>
      <c r="N180" s="516"/>
      <c r="O180" s="516"/>
      <c r="P180" s="516"/>
      <c r="Q180" s="516"/>
      <c r="R180" s="516"/>
      <c r="S180" s="513"/>
      <c r="T180" s="431"/>
      <c r="U180" s="431"/>
      <c r="V180" s="479"/>
      <c r="W180" s="578"/>
      <c r="X180" s="578"/>
      <c r="Y180" s="62" t="s">
        <v>381</v>
      </c>
      <c r="Z180" s="62">
        <v>1</v>
      </c>
      <c r="AA180" s="293">
        <v>0.25</v>
      </c>
      <c r="AB180" s="293">
        <v>0.75</v>
      </c>
      <c r="AC180" s="293">
        <v>0</v>
      </c>
      <c r="AD180" s="293">
        <v>0</v>
      </c>
      <c r="AE180" s="293"/>
      <c r="AF180" s="293">
        <f t="shared" si="11"/>
        <v>1</v>
      </c>
      <c r="AG180" s="799"/>
      <c r="AH180" s="404">
        <v>44645</v>
      </c>
      <c r="AI180" s="404">
        <v>44706</v>
      </c>
      <c r="AJ180" s="192">
        <v>60</v>
      </c>
      <c r="AK180" s="26" t="s">
        <v>60</v>
      </c>
      <c r="AL180" s="26" t="s">
        <v>60</v>
      </c>
      <c r="AM180" s="75">
        <v>0.05</v>
      </c>
      <c r="AN180" s="446"/>
      <c r="AO180" s="437"/>
      <c r="AP180" s="578"/>
      <c r="AQ180" s="699"/>
      <c r="AR180" s="699"/>
      <c r="AS180" s="698"/>
      <c r="AT180" s="579"/>
      <c r="AU180" s="434"/>
      <c r="AV180" s="437"/>
      <c r="AW180" s="437"/>
      <c r="AX180" s="437"/>
      <c r="AY180" s="443"/>
      <c r="AZ180" s="19" t="s">
        <v>66</v>
      </c>
      <c r="BA180" s="26" t="s">
        <v>67</v>
      </c>
      <c r="BB180" s="26" t="s">
        <v>68</v>
      </c>
      <c r="BC180" s="26"/>
      <c r="BD180" s="431"/>
    </row>
    <row r="181" spans="1:56" ht="42.75" x14ac:dyDescent="0.25">
      <c r="A181" s="470"/>
      <c r="B181" s="470"/>
      <c r="C181" s="473"/>
      <c r="D181" s="652"/>
      <c r="E181" s="473"/>
      <c r="F181" s="485"/>
      <c r="G181" s="460"/>
      <c r="H181" s="460"/>
      <c r="I181" s="460"/>
      <c r="J181" s="460"/>
      <c r="K181" s="490"/>
      <c r="L181" s="510"/>
      <c r="M181" s="513"/>
      <c r="N181" s="516"/>
      <c r="O181" s="516"/>
      <c r="P181" s="516"/>
      <c r="Q181" s="516"/>
      <c r="R181" s="516"/>
      <c r="S181" s="513"/>
      <c r="T181" s="431"/>
      <c r="U181" s="431"/>
      <c r="V181" s="479"/>
      <c r="W181" s="578"/>
      <c r="X181" s="578"/>
      <c r="Y181" s="62" t="s">
        <v>382</v>
      </c>
      <c r="Z181" s="62">
        <v>1</v>
      </c>
      <c r="AA181" s="293">
        <v>0.25</v>
      </c>
      <c r="AB181" s="293">
        <v>0.25</v>
      </c>
      <c r="AC181" s="293">
        <v>0.25</v>
      </c>
      <c r="AD181" s="293">
        <v>1</v>
      </c>
      <c r="AE181" s="293"/>
      <c r="AF181" s="293">
        <f>IF((SUM(AA181:AD181)&gt;100%),100%,SUM(AA181:AD181))</f>
        <v>1</v>
      </c>
      <c r="AG181" s="799"/>
      <c r="AH181" s="404">
        <v>44562</v>
      </c>
      <c r="AI181" s="404">
        <v>44910</v>
      </c>
      <c r="AJ181" s="192">
        <v>350</v>
      </c>
      <c r="AK181" s="26" t="s">
        <v>60</v>
      </c>
      <c r="AL181" s="26" t="s">
        <v>60</v>
      </c>
      <c r="AM181" s="75">
        <v>0.05</v>
      </c>
      <c r="AN181" s="446"/>
      <c r="AO181" s="437"/>
      <c r="AP181" s="578"/>
      <c r="AQ181" s="699"/>
      <c r="AR181" s="699"/>
      <c r="AS181" s="698"/>
      <c r="AT181" s="579"/>
      <c r="AU181" s="434"/>
      <c r="AV181" s="437"/>
      <c r="AW181" s="437"/>
      <c r="AX181" s="437"/>
      <c r="AY181" s="443"/>
      <c r="AZ181" s="19" t="s">
        <v>66</v>
      </c>
      <c r="BA181" s="26" t="s">
        <v>67</v>
      </c>
      <c r="BB181" s="26" t="s">
        <v>68</v>
      </c>
      <c r="BC181" s="26"/>
      <c r="BD181" s="431"/>
    </row>
    <row r="182" spans="1:56" ht="42.75" x14ac:dyDescent="0.25">
      <c r="A182" s="470"/>
      <c r="B182" s="470"/>
      <c r="C182" s="473"/>
      <c r="D182" s="652"/>
      <c r="E182" s="473"/>
      <c r="F182" s="485"/>
      <c r="G182" s="460"/>
      <c r="H182" s="460"/>
      <c r="I182" s="460"/>
      <c r="J182" s="460"/>
      <c r="K182" s="490"/>
      <c r="L182" s="510"/>
      <c r="M182" s="513"/>
      <c r="N182" s="516"/>
      <c r="O182" s="516"/>
      <c r="P182" s="516"/>
      <c r="Q182" s="516"/>
      <c r="R182" s="516"/>
      <c r="S182" s="513"/>
      <c r="T182" s="431"/>
      <c r="U182" s="431"/>
      <c r="V182" s="479"/>
      <c r="W182" s="578"/>
      <c r="X182" s="578"/>
      <c r="Y182" s="62" t="s">
        <v>383</v>
      </c>
      <c r="Z182" s="62">
        <v>1</v>
      </c>
      <c r="AA182" s="293">
        <v>0</v>
      </c>
      <c r="AB182" s="293">
        <v>0</v>
      </c>
      <c r="AC182" s="293">
        <v>1</v>
      </c>
      <c r="AD182" s="293">
        <v>1</v>
      </c>
      <c r="AE182" s="293"/>
      <c r="AF182" s="293">
        <f>IF((SUM(AA182:AD182)&gt;100%),100%,SUM(AA182:AD182))</f>
        <v>1</v>
      </c>
      <c r="AG182" s="799"/>
      <c r="AH182" s="404">
        <v>44713</v>
      </c>
      <c r="AI182" s="404">
        <v>44896</v>
      </c>
      <c r="AJ182" s="192">
        <v>180</v>
      </c>
      <c r="AK182" s="26" t="s">
        <v>60</v>
      </c>
      <c r="AL182" s="26" t="s">
        <v>60</v>
      </c>
      <c r="AM182" s="75">
        <v>0.05</v>
      </c>
      <c r="AN182" s="446"/>
      <c r="AO182" s="437"/>
      <c r="AP182" s="578"/>
      <c r="AQ182" s="699"/>
      <c r="AR182" s="699"/>
      <c r="AS182" s="698"/>
      <c r="AT182" s="579"/>
      <c r="AU182" s="434"/>
      <c r="AV182" s="437"/>
      <c r="AW182" s="437"/>
      <c r="AX182" s="437"/>
      <c r="AY182" s="443"/>
      <c r="AZ182" s="19" t="s">
        <v>66</v>
      </c>
      <c r="BA182" s="26" t="s">
        <v>67</v>
      </c>
      <c r="BB182" s="26" t="s">
        <v>68</v>
      </c>
      <c r="BC182" s="26"/>
      <c r="BD182" s="431"/>
    </row>
    <row r="183" spans="1:56" ht="29.25" thickBot="1" x14ac:dyDescent="0.3">
      <c r="A183" s="471"/>
      <c r="B183" s="471"/>
      <c r="C183" s="474"/>
      <c r="D183" s="653"/>
      <c r="E183" s="474"/>
      <c r="F183" s="485"/>
      <c r="G183" s="460"/>
      <c r="H183" s="460"/>
      <c r="I183" s="460"/>
      <c r="J183" s="460"/>
      <c r="K183" s="490"/>
      <c r="L183" s="511"/>
      <c r="M183" s="514"/>
      <c r="N183" s="517"/>
      <c r="O183" s="517"/>
      <c r="P183" s="517"/>
      <c r="Q183" s="517"/>
      <c r="R183" s="517"/>
      <c r="S183" s="514"/>
      <c r="T183" s="459"/>
      <c r="U183" s="459"/>
      <c r="V183" s="479"/>
      <c r="W183" s="578"/>
      <c r="X183" s="578"/>
      <c r="Y183" s="62" t="s">
        <v>384</v>
      </c>
      <c r="Z183" s="62">
        <v>1</v>
      </c>
      <c r="AA183" s="293">
        <v>0</v>
      </c>
      <c r="AB183" s="293">
        <v>0</v>
      </c>
      <c r="AC183" s="293">
        <v>0</v>
      </c>
      <c r="AD183" s="293">
        <v>0.5</v>
      </c>
      <c r="AE183" s="293"/>
      <c r="AF183" s="293">
        <f t="shared" si="11"/>
        <v>0.5</v>
      </c>
      <c r="AG183" s="800"/>
      <c r="AH183" s="404">
        <v>44713</v>
      </c>
      <c r="AI183" s="404">
        <v>44896</v>
      </c>
      <c r="AJ183" s="198">
        <v>180</v>
      </c>
      <c r="AK183" s="44" t="s">
        <v>60</v>
      </c>
      <c r="AL183" s="44" t="s">
        <v>60</v>
      </c>
      <c r="AM183" s="77">
        <v>0.05</v>
      </c>
      <c r="AN183" s="447"/>
      <c r="AO183" s="438"/>
      <c r="AP183" s="578"/>
      <c r="AQ183" s="699"/>
      <c r="AR183" s="699"/>
      <c r="AS183" s="698"/>
      <c r="AT183" s="580"/>
      <c r="AU183" s="435"/>
      <c r="AV183" s="438"/>
      <c r="AW183" s="438"/>
      <c r="AX183" s="438"/>
      <c r="AY183" s="444"/>
      <c r="AZ183" s="71" t="s">
        <v>66</v>
      </c>
      <c r="BA183" s="33" t="s">
        <v>67</v>
      </c>
      <c r="BB183" s="33" t="s">
        <v>68</v>
      </c>
      <c r="BC183" s="33"/>
      <c r="BD183" s="459"/>
    </row>
    <row r="184" spans="1:56" ht="90.75" customHeight="1" thickBot="1" x14ac:dyDescent="0.3">
      <c r="B184" s="200"/>
      <c r="C184" s="201"/>
      <c r="D184" s="202"/>
      <c r="E184" s="203"/>
      <c r="F184" s="471"/>
      <c r="G184" s="506" t="s">
        <v>385</v>
      </c>
      <c r="H184" s="507"/>
      <c r="I184" s="507"/>
      <c r="J184" s="507"/>
      <c r="K184" s="507"/>
      <c r="L184" s="507"/>
      <c r="M184" s="507"/>
      <c r="N184" s="507"/>
      <c r="O184" s="507"/>
      <c r="P184" s="507"/>
      <c r="Q184" s="507"/>
      <c r="R184" s="507"/>
      <c r="S184" s="508"/>
      <c r="T184" s="228">
        <f>AVERAGE(T162:T183)</f>
        <v>0.80999999999999994</v>
      </c>
      <c r="U184" s="228">
        <f>AVERAGE(U162:U183)</f>
        <v>0.96785714285714286</v>
      </c>
      <c r="V184" s="493"/>
      <c r="W184" s="681" t="s">
        <v>386</v>
      </c>
      <c r="X184" s="681"/>
      <c r="Y184" s="681"/>
      <c r="Z184" s="681"/>
      <c r="AA184" s="681"/>
      <c r="AB184" s="681"/>
      <c r="AC184" s="681"/>
      <c r="AD184" s="681"/>
      <c r="AE184" s="681"/>
      <c r="AF184" s="681"/>
      <c r="AG184" s="308">
        <f>+AG162</f>
        <v>0.73590909090909085</v>
      </c>
      <c r="AH184" s="404"/>
      <c r="AI184" s="404"/>
      <c r="AJ184" s="192"/>
      <c r="AK184" s="26"/>
      <c r="AL184" s="26"/>
      <c r="AM184" s="309"/>
      <c r="AN184" s="114"/>
      <c r="AO184" s="66"/>
      <c r="AP184" s="678" t="s">
        <v>445</v>
      </c>
      <c r="AQ184" s="686"/>
      <c r="AR184" s="115">
        <f>SUM(AR162:AR183)</f>
        <v>1173721927.5999999</v>
      </c>
      <c r="AS184" s="337">
        <f>SUM(AS162:AS183)</f>
        <v>250000000</v>
      </c>
      <c r="AT184" s="265">
        <f>+AS184/AR184</f>
        <v>0.21299763949302231</v>
      </c>
      <c r="AU184" s="115"/>
      <c r="AV184" s="67"/>
      <c r="AW184" s="67"/>
      <c r="AX184" s="67"/>
      <c r="AY184" s="69"/>
      <c r="AZ184" s="71"/>
      <c r="BA184" s="71"/>
      <c r="BB184" s="71"/>
      <c r="BC184" s="71"/>
      <c r="BD184" s="71"/>
    </row>
    <row r="185" spans="1:56" ht="42.75" customHeight="1" x14ac:dyDescent="0.25">
      <c r="B185" s="469" t="s">
        <v>387</v>
      </c>
      <c r="C185" s="472" t="s">
        <v>388</v>
      </c>
      <c r="D185" s="475" t="s">
        <v>389</v>
      </c>
      <c r="E185" s="475" t="s">
        <v>390</v>
      </c>
      <c r="F185" s="478" t="s">
        <v>391</v>
      </c>
      <c r="G185" s="472" t="s">
        <v>392</v>
      </c>
      <c r="H185" s="472" t="s">
        <v>54</v>
      </c>
      <c r="I185" s="480">
        <v>0</v>
      </c>
      <c r="J185" s="472" t="s">
        <v>393</v>
      </c>
      <c r="K185" s="453">
        <v>1</v>
      </c>
      <c r="L185" s="455" t="s">
        <v>423</v>
      </c>
      <c r="M185" s="457">
        <v>0.67</v>
      </c>
      <c r="N185" s="457">
        <v>0.31</v>
      </c>
      <c r="O185" s="457">
        <v>0.5</v>
      </c>
      <c r="P185" s="457">
        <v>0.05</v>
      </c>
      <c r="Q185" s="457">
        <v>9.1499999999999998E-2</v>
      </c>
      <c r="R185" s="457">
        <f>SUM(N185:Q195)</f>
        <v>0.95150000000000012</v>
      </c>
      <c r="S185" s="457">
        <f>M185+N185+O185+P185+Q185</f>
        <v>1.6214999999999999</v>
      </c>
      <c r="T185" s="453">
        <f>N185+O185+P185+Q185</f>
        <v>0.95150000000000012</v>
      </c>
      <c r="U185" s="453">
        <f>+IF((S185/K185)&gt;100%,100%,(S185/K185))</f>
        <v>1</v>
      </c>
      <c r="V185" s="478" t="s">
        <v>394</v>
      </c>
      <c r="W185" s="578">
        <v>2020130010203</v>
      </c>
      <c r="X185" s="578" t="s">
        <v>395</v>
      </c>
      <c r="Y185" s="62" t="s">
        <v>396</v>
      </c>
      <c r="Z185" s="62">
        <v>1</v>
      </c>
      <c r="AA185" s="62">
        <v>0.31</v>
      </c>
      <c r="AB185" s="62">
        <v>0.3</v>
      </c>
      <c r="AC185" s="62">
        <v>0.14000000000000001</v>
      </c>
      <c r="AD185" s="62">
        <v>0.17000000000000004</v>
      </c>
      <c r="AE185" s="62">
        <v>0.92</v>
      </c>
      <c r="AF185" s="301">
        <f t="shared" ref="AF185:AF195" si="12">SUM(AA185:AD185)</f>
        <v>0.92</v>
      </c>
      <c r="AG185" s="804">
        <f>AVERAGE(AF185:AF195)</f>
        <v>0.95245454545454544</v>
      </c>
      <c r="AH185" s="22">
        <v>44562</v>
      </c>
      <c r="AI185" s="22">
        <v>44926</v>
      </c>
      <c r="AJ185" s="399">
        <v>365</v>
      </c>
      <c r="AK185" s="19" t="s">
        <v>60</v>
      </c>
      <c r="AL185" s="19" t="s">
        <v>60</v>
      </c>
      <c r="AM185" s="279">
        <v>9.0999999999999998E-2</v>
      </c>
      <c r="AN185" s="445" t="s">
        <v>61</v>
      </c>
      <c r="AO185" s="445" t="s">
        <v>62</v>
      </c>
      <c r="AP185" s="445" t="s">
        <v>479</v>
      </c>
      <c r="AQ185" s="433"/>
      <c r="AR185" s="433">
        <f>1571678653.78+1300000000</f>
        <v>2871678653.7799997</v>
      </c>
      <c r="AS185" s="726"/>
      <c r="AT185" s="430" t="e">
        <f>+AS185/AQ185</f>
        <v>#DIV/0!</v>
      </c>
      <c r="AU185" s="433" t="s">
        <v>291</v>
      </c>
      <c r="AV185" s="436" t="s">
        <v>64</v>
      </c>
      <c r="AW185" s="436"/>
      <c r="AX185" s="436" t="s">
        <v>65</v>
      </c>
      <c r="AY185" s="442">
        <f>AS185</f>
        <v>0</v>
      </c>
      <c r="AZ185" s="41" t="s">
        <v>66</v>
      </c>
      <c r="BA185" s="19" t="s">
        <v>67</v>
      </c>
      <c r="BB185" s="19" t="s">
        <v>68</v>
      </c>
      <c r="BC185" s="19"/>
      <c r="BD185" s="430" t="s">
        <v>425</v>
      </c>
    </row>
    <row r="186" spans="1:56" ht="42.75" x14ac:dyDescent="0.25">
      <c r="B186" s="470"/>
      <c r="C186" s="473"/>
      <c r="D186" s="476"/>
      <c r="E186" s="476"/>
      <c r="F186" s="479"/>
      <c r="G186" s="473"/>
      <c r="H186" s="473"/>
      <c r="I186" s="481"/>
      <c r="J186" s="473"/>
      <c r="K186" s="454"/>
      <c r="L186" s="456"/>
      <c r="M186" s="458"/>
      <c r="N186" s="458"/>
      <c r="O186" s="458"/>
      <c r="P186" s="458"/>
      <c r="Q186" s="458"/>
      <c r="R186" s="458"/>
      <c r="S186" s="458"/>
      <c r="T186" s="454"/>
      <c r="U186" s="454"/>
      <c r="V186" s="479"/>
      <c r="W186" s="578"/>
      <c r="X186" s="578"/>
      <c r="Y186" s="62" t="s">
        <v>397</v>
      </c>
      <c r="Z186" s="62">
        <v>1</v>
      </c>
      <c r="AA186" s="62">
        <v>0.31</v>
      </c>
      <c r="AB186" s="62">
        <v>0.3</v>
      </c>
      <c r="AC186" s="62">
        <v>0.31</v>
      </c>
      <c r="AD186" s="62">
        <v>7.999999999999996E-2</v>
      </c>
      <c r="AE186" s="62">
        <v>1</v>
      </c>
      <c r="AF186" s="301">
        <f t="shared" si="12"/>
        <v>0.99999999999999989</v>
      </c>
      <c r="AG186" s="799"/>
      <c r="AH186" s="22">
        <v>44562</v>
      </c>
      <c r="AI186" s="22">
        <v>44926</v>
      </c>
      <c r="AJ186" s="400">
        <v>365</v>
      </c>
      <c r="AK186" s="19" t="s">
        <v>60</v>
      </c>
      <c r="AL186" s="19" t="s">
        <v>60</v>
      </c>
      <c r="AM186" s="279">
        <v>9.0999999999999998E-2</v>
      </c>
      <c r="AN186" s="446"/>
      <c r="AO186" s="446"/>
      <c r="AP186" s="446"/>
      <c r="AQ186" s="434"/>
      <c r="AR186" s="434"/>
      <c r="AS186" s="712"/>
      <c r="AT186" s="431"/>
      <c r="AU186" s="434"/>
      <c r="AV186" s="437"/>
      <c r="AW186" s="437"/>
      <c r="AX186" s="437"/>
      <c r="AY186" s="443"/>
      <c r="AZ186" s="19" t="s">
        <v>66</v>
      </c>
      <c r="BA186" s="26" t="s">
        <v>67</v>
      </c>
      <c r="BB186" s="26" t="s">
        <v>68</v>
      </c>
      <c r="BC186" s="26"/>
      <c r="BD186" s="431"/>
    </row>
    <row r="187" spans="1:56" ht="101.25" customHeight="1" x14ac:dyDescent="0.25">
      <c r="B187" s="470"/>
      <c r="C187" s="473"/>
      <c r="D187" s="476"/>
      <c r="E187" s="476"/>
      <c r="F187" s="479"/>
      <c r="G187" s="473"/>
      <c r="H187" s="473"/>
      <c r="I187" s="481"/>
      <c r="J187" s="473"/>
      <c r="K187" s="454"/>
      <c r="L187" s="456"/>
      <c r="M187" s="458"/>
      <c r="N187" s="458"/>
      <c r="O187" s="458"/>
      <c r="P187" s="458"/>
      <c r="Q187" s="458"/>
      <c r="R187" s="458"/>
      <c r="S187" s="458"/>
      <c r="T187" s="454"/>
      <c r="U187" s="454"/>
      <c r="V187" s="479"/>
      <c r="W187" s="578"/>
      <c r="X187" s="578"/>
      <c r="Y187" s="62" t="s">
        <v>398</v>
      </c>
      <c r="Z187" s="62">
        <v>1</v>
      </c>
      <c r="AA187" s="62">
        <v>0.31</v>
      </c>
      <c r="AB187" s="62">
        <v>0.3</v>
      </c>
      <c r="AC187" s="62">
        <v>0.34</v>
      </c>
      <c r="AD187" s="62">
        <v>4.9999999999999933E-2</v>
      </c>
      <c r="AE187" s="62">
        <v>1</v>
      </c>
      <c r="AF187" s="301">
        <f t="shared" si="12"/>
        <v>0.99999999999999989</v>
      </c>
      <c r="AG187" s="799"/>
      <c r="AH187" s="22">
        <v>44562</v>
      </c>
      <c r="AI187" s="22">
        <v>44926</v>
      </c>
      <c r="AJ187" s="400">
        <v>365</v>
      </c>
      <c r="AK187" s="19" t="s">
        <v>60</v>
      </c>
      <c r="AL187" s="19" t="s">
        <v>60</v>
      </c>
      <c r="AM187" s="279">
        <v>9.0999999999999998E-2</v>
      </c>
      <c r="AN187" s="446"/>
      <c r="AO187" s="446"/>
      <c r="AP187" s="446"/>
      <c r="AQ187" s="434"/>
      <c r="AR187" s="434"/>
      <c r="AS187" s="712"/>
      <c r="AT187" s="431"/>
      <c r="AU187" s="434"/>
      <c r="AV187" s="437"/>
      <c r="AW187" s="437"/>
      <c r="AX187" s="437"/>
      <c r="AY187" s="443"/>
      <c r="AZ187" s="19" t="s">
        <v>66</v>
      </c>
      <c r="BA187" s="26" t="s">
        <v>67</v>
      </c>
      <c r="BB187" s="26" t="s">
        <v>68</v>
      </c>
      <c r="BC187" s="26"/>
      <c r="BD187" s="431"/>
    </row>
    <row r="188" spans="1:56" ht="98.25" customHeight="1" x14ac:dyDescent="0.25">
      <c r="B188" s="470"/>
      <c r="C188" s="473"/>
      <c r="D188" s="476"/>
      <c r="E188" s="476"/>
      <c r="F188" s="479"/>
      <c r="G188" s="473"/>
      <c r="H188" s="473"/>
      <c r="I188" s="481"/>
      <c r="J188" s="473"/>
      <c r="K188" s="454"/>
      <c r="L188" s="456"/>
      <c r="M188" s="458"/>
      <c r="N188" s="458"/>
      <c r="O188" s="458"/>
      <c r="P188" s="458"/>
      <c r="Q188" s="458"/>
      <c r="R188" s="458"/>
      <c r="S188" s="458"/>
      <c r="T188" s="454"/>
      <c r="U188" s="454"/>
      <c r="V188" s="479"/>
      <c r="W188" s="578"/>
      <c r="X188" s="578"/>
      <c r="Y188" s="62" t="s">
        <v>399</v>
      </c>
      <c r="Z188" s="62">
        <v>1</v>
      </c>
      <c r="AA188" s="62">
        <v>0.31</v>
      </c>
      <c r="AB188" s="62">
        <v>0.3</v>
      </c>
      <c r="AC188" s="62">
        <v>0.28999999999999998</v>
      </c>
      <c r="AD188" s="62">
        <v>5.7000000000000051E-2</v>
      </c>
      <c r="AE188" s="62">
        <v>0.95699999999999996</v>
      </c>
      <c r="AF188" s="301">
        <f t="shared" si="12"/>
        <v>0.95699999999999996</v>
      </c>
      <c r="AG188" s="799"/>
      <c r="AH188" s="22">
        <v>44562</v>
      </c>
      <c r="AI188" s="22">
        <v>44926</v>
      </c>
      <c r="AJ188" s="400">
        <v>365</v>
      </c>
      <c r="AK188" s="19" t="s">
        <v>60</v>
      </c>
      <c r="AL188" s="19" t="s">
        <v>60</v>
      </c>
      <c r="AM188" s="279">
        <v>9.0999999999999998E-2</v>
      </c>
      <c r="AN188" s="446"/>
      <c r="AO188" s="446"/>
      <c r="AP188" s="446"/>
      <c r="AQ188" s="434"/>
      <c r="AR188" s="434"/>
      <c r="AS188" s="712"/>
      <c r="AT188" s="431"/>
      <c r="AU188" s="434"/>
      <c r="AV188" s="437"/>
      <c r="AW188" s="437"/>
      <c r="AX188" s="437"/>
      <c r="AY188" s="443"/>
      <c r="AZ188" s="19" t="s">
        <v>66</v>
      </c>
      <c r="BA188" s="26" t="s">
        <v>67</v>
      </c>
      <c r="BB188" s="26" t="s">
        <v>68</v>
      </c>
      <c r="BC188" s="26"/>
      <c r="BD188" s="431"/>
    </row>
    <row r="189" spans="1:56" ht="110.25" customHeight="1" x14ac:dyDescent="0.25">
      <c r="B189" s="470"/>
      <c r="C189" s="473"/>
      <c r="D189" s="476"/>
      <c r="E189" s="476"/>
      <c r="F189" s="479"/>
      <c r="G189" s="473"/>
      <c r="H189" s="473"/>
      <c r="I189" s="481"/>
      <c r="J189" s="473"/>
      <c r="K189" s="454"/>
      <c r="L189" s="456"/>
      <c r="M189" s="458"/>
      <c r="N189" s="458"/>
      <c r="O189" s="458"/>
      <c r="P189" s="458"/>
      <c r="Q189" s="458"/>
      <c r="R189" s="458"/>
      <c r="S189" s="458"/>
      <c r="T189" s="454"/>
      <c r="U189" s="454"/>
      <c r="V189" s="479"/>
      <c r="W189" s="578"/>
      <c r="X189" s="578"/>
      <c r="Y189" s="62" t="s">
        <v>400</v>
      </c>
      <c r="Z189" s="62">
        <v>1</v>
      </c>
      <c r="AA189" s="62">
        <v>0.31</v>
      </c>
      <c r="AB189" s="62">
        <v>0.3</v>
      </c>
      <c r="AC189" s="62">
        <v>0.34</v>
      </c>
      <c r="AD189" s="62">
        <v>-4.9999999999999933E-2</v>
      </c>
      <c r="AE189" s="62">
        <v>0.9</v>
      </c>
      <c r="AF189" s="301">
        <f t="shared" si="12"/>
        <v>0.9</v>
      </c>
      <c r="AG189" s="799"/>
      <c r="AH189" s="22">
        <v>44562</v>
      </c>
      <c r="AI189" s="22">
        <v>44926</v>
      </c>
      <c r="AJ189" s="400">
        <v>365</v>
      </c>
      <c r="AK189" s="19" t="s">
        <v>60</v>
      </c>
      <c r="AL189" s="19" t="s">
        <v>60</v>
      </c>
      <c r="AM189" s="279">
        <v>9.0999999999999998E-2</v>
      </c>
      <c r="AN189" s="446"/>
      <c r="AO189" s="446"/>
      <c r="AP189" s="446"/>
      <c r="AQ189" s="434"/>
      <c r="AR189" s="434"/>
      <c r="AS189" s="712"/>
      <c r="AT189" s="431"/>
      <c r="AU189" s="434"/>
      <c r="AV189" s="437"/>
      <c r="AW189" s="437"/>
      <c r="AX189" s="437"/>
      <c r="AY189" s="443"/>
      <c r="AZ189" s="19" t="s">
        <v>66</v>
      </c>
      <c r="BA189" s="26" t="s">
        <v>401</v>
      </c>
      <c r="BB189" s="26" t="s">
        <v>169</v>
      </c>
      <c r="BC189" s="26"/>
      <c r="BD189" s="431"/>
    </row>
    <row r="190" spans="1:56" ht="93.75" customHeight="1" x14ac:dyDescent="0.25">
      <c r="B190" s="470"/>
      <c r="C190" s="473"/>
      <c r="D190" s="476"/>
      <c r="E190" s="476"/>
      <c r="F190" s="479"/>
      <c r="G190" s="473"/>
      <c r="H190" s="473"/>
      <c r="I190" s="481"/>
      <c r="J190" s="473"/>
      <c r="K190" s="454"/>
      <c r="L190" s="456"/>
      <c r="M190" s="458"/>
      <c r="N190" s="458"/>
      <c r="O190" s="458"/>
      <c r="P190" s="458"/>
      <c r="Q190" s="458"/>
      <c r="R190" s="458"/>
      <c r="S190" s="458"/>
      <c r="T190" s="454"/>
      <c r="U190" s="454"/>
      <c r="V190" s="479"/>
      <c r="W190" s="578"/>
      <c r="X190" s="578"/>
      <c r="Y190" s="62" t="s">
        <v>402</v>
      </c>
      <c r="Z190" s="62">
        <v>1</v>
      </c>
      <c r="AA190" s="62">
        <v>0.31</v>
      </c>
      <c r="AB190" s="62">
        <v>0.3</v>
      </c>
      <c r="AC190" s="62">
        <v>0.28999999999999998</v>
      </c>
      <c r="AD190" s="62">
        <v>9.9999999999999978E-2</v>
      </c>
      <c r="AE190" s="62">
        <v>1</v>
      </c>
      <c r="AF190" s="301">
        <f t="shared" si="12"/>
        <v>0.99999999999999989</v>
      </c>
      <c r="AG190" s="799"/>
      <c r="AH190" s="22">
        <v>44562</v>
      </c>
      <c r="AI190" s="22">
        <v>44926</v>
      </c>
      <c r="AJ190" s="400">
        <v>365</v>
      </c>
      <c r="AK190" s="19" t="s">
        <v>60</v>
      </c>
      <c r="AL190" s="19" t="s">
        <v>60</v>
      </c>
      <c r="AM190" s="279">
        <v>9.0999999999999998E-2</v>
      </c>
      <c r="AN190" s="446"/>
      <c r="AO190" s="446"/>
      <c r="AP190" s="446"/>
      <c r="AQ190" s="434"/>
      <c r="AR190" s="434"/>
      <c r="AS190" s="712"/>
      <c r="AT190" s="431"/>
      <c r="AU190" s="434"/>
      <c r="AV190" s="437"/>
      <c r="AW190" s="437"/>
      <c r="AX190" s="437"/>
      <c r="AY190" s="443"/>
      <c r="AZ190" s="19" t="s">
        <v>66</v>
      </c>
      <c r="BA190" s="26" t="s">
        <v>67</v>
      </c>
      <c r="BB190" s="26" t="s">
        <v>68</v>
      </c>
      <c r="BC190" s="26"/>
      <c r="BD190" s="431"/>
    </row>
    <row r="191" spans="1:56" ht="77.25" customHeight="1" x14ac:dyDescent="0.25">
      <c r="B191" s="470"/>
      <c r="C191" s="473"/>
      <c r="D191" s="476"/>
      <c r="E191" s="476"/>
      <c r="F191" s="479"/>
      <c r="G191" s="473"/>
      <c r="H191" s="473"/>
      <c r="I191" s="481"/>
      <c r="J191" s="473"/>
      <c r="K191" s="454"/>
      <c r="L191" s="456"/>
      <c r="M191" s="458"/>
      <c r="N191" s="458"/>
      <c r="O191" s="458"/>
      <c r="P191" s="458"/>
      <c r="Q191" s="458"/>
      <c r="R191" s="458"/>
      <c r="S191" s="458"/>
      <c r="T191" s="454"/>
      <c r="U191" s="454"/>
      <c r="V191" s="479"/>
      <c r="W191" s="578"/>
      <c r="X191" s="578"/>
      <c r="Y191" s="62" t="s">
        <v>403</v>
      </c>
      <c r="Z191" s="62">
        <v>1</v>
      </c>
      <c r="AA191" s="62">
        <v>0.31</v>
      </c>
      <c r="AB191" s="62">
        <v>0.3</v>
      </c>
      <c r="AC191" s="62">
        <v>0.28999999999999998</v>
      </c>
      <c r="AD191" s="62">
        <v>9.9999999999999978E-2</v>
      </c>
      <c r="AE191" s="62">
        <v>1</v>
      </c>
      <c r="AF191" s="301">
        <f t="shared" si="12"/>
        <v>0.99999999999999989</v>
      </c>
      <c r="AG191" s="799"/>
      <c r="AH191" s="22">
        <v>44562</v>
      </c>
      <c r="AI191" s="22">
        <v>44926</v>
      </c>
      <c r="AJ191" s="400">
        <v>365</v>
      </c>
      <c r="AK191" s="19" t="s">
        <v>60</v>
      </c>
      <c r="AL191" s="19" t="s">
        <v>60</v>
      </c>
      <c r="AM191" s="279">
        <v>9.0999999999999998E-2</v>
      </c>
      <c r="AN191" s="446"/>
      <c r="AO191" s="446"/>
      <c r="AP191" s="446"/>
      <c r="AQ191" s="434"/>
      <c r="AR191" s="434"/>
      <c r="AS191" s="712"/>
      <c r="AT191" s="431"/>
      <c r="AU191" s="434"/>
      <c r="AV191" s="437"/>
      <c r="AW191" s="437"/>
      <c r="AX191" s="437"/>
      <c r="AY191" s="443"/>
      <c r="AZ191" s="19" t="s">
        <v>66</v>
      </c>
      <c r="BA191" s="26" t="s">
        <v>401</v>
      </c>
      <c r="BB191" s="26" t="s">
        <v>77</v>
      </c>
      <c r="BC191" s="26"/>
      <c r="BD191" s="431"/>
    </row>
    <row r="192" spans="1:56" ht="96.75" customHeight="1" x14ac:dyDescent="0.25">
      <c r="B192" s="470"/>
      <c r="C192" s="473"/>
      <c r="D192" s="476"/>
      <c r="E192" s="476"/>
      <c r="F192" s="479"/>
      <c r="G192" s="473"/>
      <c r="H192" s="473"/>
      <c r="I192" s="481"/>
      <c r="J192" s="473"/>
      <c r="K192" s="454"/>
      <c r="L192" s="456"/>
      <c r="M192" s="458"/>
      <c r="N192" s="458"/>
      <c r="O192" s="458"/>
      <c r="P192" s="458"/>
      <c r="Q192" s="458"/>
      <c r="R192" s="458"/>
      <c r="S192" s="458"/>
      <c r="T192" s="454"/>
      <c r="U192" s="454"/>
      <c r="V192" s="479"/>
      <c r="W192" s="578"/>
      <c r="X192" s="578"/>
      <c r="Y192" s="62" t="s">
        <v>404</v>
      </c>
      <c r="Z192" s="62">
        <v>1</v>
      </c>
      <c r="AA192" s="62">
        <v>0.31</v>
      </c>
      <c r="AB192" s="62">
        <v>0.3</v>
      </c>
      <c r="AC192" s="62">
        <v>0.09</v>
      </c>
      <c r="AD192" s="62">
        <v>0.2</v>
      </c>
      <c r="AE192" s="62">
        <v>0.9</v>
      </c>
      <c r="AF192" s="301">
        <f t="shared" si="12"/>
        <v>0.89999999999999991</v>
      </c>
      <c r="AG192" s="799"/>
      <c r="AH192" s="22">
        <v>44562</v>
      </c>
      <c r="AI192" s="22">
        <v>44926</v>
      </c>
      <c r="AJ192" s="400">
        <v>365</v>
      </c>
      <c r="AK192" s="19" t="s">
        <v>60</v>
      </c>
      <c r="AL192" s="19" t="s">
        <v>60</v>
      </c>
      <c r="AM192" s="279">
        <v>9.0999999999999998E-2</v>
      </c>
      <c r="AN192" s="446"/>
      <c r="AO192" s="446"/>
      <c r="AP192" s="446"/>
      <c r="AQ192" s="434"/>
      <c r="AR192" s="434"/>
      <c r="AS192" s="712"/>
      <c r="AT192" s="431"/>
      <c r="AU192" s="434"/>
      <c r="AV192" s="437"/>
      <c r="AW192" s="437"/>
      <c r="AX192" s="437"/>
      <c r="AY192" s="443"/>
      <c r="AZ192" s="19" t="s">
        <v>66</v>
      </c>
      <c r="BA192" s="26" t="s">
        <v>67</v>
      </c>
      <c r="BB192" s="26" t="s">
        <v>68</v>
      </c>
      <c r="BC192" s="26"/>
      <c r="BD192" s="431"/>
    </row>
    <row r="193" spans="2:56" ht="90.75" customHeight="1" x14ac:dyDescent="0.25">
      <c r="B193" s="470"/>
      <c r="C193" s="473"/>
      <c r="D193" s="476"/>
      <c r="E193" s="476"/>
      <c r="F193" s="479"/>
      <c r="G193" s="473"/>
      <c r="H193" s="473"/>
      <c r="I193" s="481"/>
      <c r="J193" s="473"/>
      <c r="K193" s="454"/>
      <c r="L193" s="456"/>
      <c r="M193" s="458"/>
      <c r="N193" s="458"/>
      <c r="O193" s="458"/>
      <c r="P193" s="458"/>
      <c r="Q193" s="458"/>
      <c r="R193" s="458"/>
      <c r="S193" s="458"/>
      <c r="T193" s="454"/>
      <c r="U193" s="454"/>
      <c r="V193" s="479"/>
      <c r="W193" s="578"/>
      <c r="X193" s="578"/>
      <c r="Y193" s="62" t="s">
        <v>405</v>
      </c>
      <c r="Z193" s="62">
        <v>1</v>
      </c>
      <c r="AA193" s="62">
        <v>0.31</v>
      </c>
      <c r="AB193" s="62">
        <v>0.3</v>
      </c>
      <c r="AC193" s="62">
        <v>0.34</v>
      </c>
      <c r="AD193" s="62">
        <v>4.9999999999999933E-2</v>
      </c>
      <c r="AE193" s="62">
        <v>1</v>
      </c>
      <c r="AF193" s="301">
        <f t="shared" si="12"/>
        <v>0.99999999999999989</v>
      </c>
      <c r="AG193" s="799"/>
      <c r="AH193" s="22">
        <v>44562</v>
      </c>
      <c r="AI193" s="22">
        <v>44926</v>
      </c>
      <c r="AJ193" s="400">
        <v>365</v>
      </c>
      <c r="AK193" s="19" t="s">
        <v>60</v>
      </c>
      <c r="AL193" s="19" t="s">
        <v>60</v>
      </c>
      <c r="AM193" s="279">
        <v>9.0999999999999998E-2</v>
      </c>
      <c r="AN193" s="446"/>
      <c r="AO193" s="446"/>
      <c r="AP193" s="446"/>
      <c r="AQ193" s="434"/>
      <c r="AR193" s="434"/>
      <c r="AS193" s="712"/>
      <c r="AT193" s="431"/>
      <c r="AU193" s="434"/>
      <c r="AV193" s="437"/>
      <c r="AW193" s="437"/>
      <c r="AX193" s="437"/>
      <c r="AY193" s="443"/>
      <c r="AZ193" s="19" t="s">
        <v>66</v>
      </c>
      <c r="BA193" s="26" t="s">
        <v>401</v>
      </c>
      <c r="BB193" s="26" t="s">
        <v>169</v>
      </c>
      <c r="BC193" s="26"/>
      <c r="BD193" s="431"/>
    </row>
    <row r="194" spans="2:56" ht="83.25" customHeight="1" x14ac:dyDescent="0.25">
      <c r="B194" s="470"/>
      <c r="C194" s="473"/>
      <c r="D194" s="476"/>
      <c r="E194" s="476"/>
      <c r="F194" s="479"/>
      <c r="G194" s="473"/>
      <c r="H194" s="473"/>
      <c r="I194" s="481"/>
      <c r="J194" s="473"/>
      <c r="K194" s="454"/>
      <c r="L194" s="456"/>
      <c r="M194" s="458"/>
      <c r="N194" s="458"/>
      <c r="O194" s="458"/>
      <c r="P194" s="458"/>
      <c r="Q194" s="458"/>
      <c r="R194" s="458"/>
      <c r="S194" s="458"/>
      <c r="T194" s="454"/>
      <c r="U194" s="454"/>
      <c r="V194" s="479"/>
      <c r="W194" s="578"/>
      <c r="X194" s="578"/>
      <c r="Y194" s="62" t="s">
        <v>406</v>
      </c>
      <c r="Z194" s="62">
        <v>1</v>
      </c>
      <c r="AA194" s="62">
        <v>0.31</v>
      </c>
      <c r="AB194" s="62">
        <v>0.3</v>
      </c>
      <c r="AC194" s="62">
        <v>0</v>
      </c>
      <c r="AD194" s="62">
        <v>0.19</v>
      </c>
      <c r="AE194" s="62">
        <v>0.8</v>
      </c>
      <c r="AF194" s="301">
        <f t="shared" si="12"/>
        <v>0.8</v>
      </c>
      <c r="AG194" s="799"/>
      <c r="AH194" s="22">
        <v>44562</v>
      </c>
      <c r="AI194" s="22">
        <v>44926</v>
      </c>
      <c r="AJ194" s="400">
        <v>365</v>
      </c>
      <c r="AK194" s="19" t="s">
        <v>60</v>
      </c>
      <c r="AL194" s="19" t="s">
        <v>60</v>
      </c>
      <c r="AM194" s="279">
        <v>9.0999999999999998E-2</v>
      </c>
      <c r="AN194" s="446"/>
      <c r="AO194" s="446"/>
      <c r="AP194" s="446"/>
      <c r="AQ194" s="434"/>
      <c r="AR194" s="434"/>
      <c r="AS194" s="712"/>
      <c r="AT194" s="431"/>
      <c r="AU194" s="434"/>
      <c r="AV194" s="437"/>
      <c r="AW194" s="437"/>
      <c r="AX194" s="437"/>
      <c r="AY194" s="443"/>
      <c r="AZ194" s="19" t="s">
        <v>66</v>
      </c>
      <c r="BA194" s="26" t="s">
        <v>407</v>
      </c>
      <c r="BB194" s="26" t="s">
        <v>77</v>
      </c>
      <c r="BC194" s="26"/>
      <c r="BD194" s="431"/>
    </row>
    <row r="195" spans="2:56" ht="99" customHeight="1" thickBot="1" x14ac:dyDescent="0.3">
      <c r="B195" s="471"/>
      <c r="C195" s="474"/>
      <c r="D195" s="477"/>
      <c r="E195" s="477"/>
      <c r="F195" s="479"/>
      <c r="G195" s="473"/>
      <c r="H195" s="473"/>
      <c r="I195" s="481"/>
      <c r="J195" s="473"/>
      <c r="K195" s="454"/>
      <c r="L195" s="456"/>
      <c r="M195" s="458"/>
      <c r="N195" s="458"/>
      <c r="O195" s="458"/>
      <c r="P195" s="458"/>
      <c r="Q195" s="805"/>
      <c r="R195" s="805"/>
      <c r="S195" s="458"/>
      <c r="T195" s="454"/>
      <c r="U195" s="454"/>
      <c r="V195" s="479"/>
      <c r="W195" s="578"/>
      <c r="X195" s="578"/>
      <c r="Y195" s="62" t="s">
        <v>213</v>
      </c>
      <c r="Z195" s="62">
        <v>1</v>
      </c>
      <c r="AA195" s="62">
        <v>0.31</v>
      </c>
      <c r="AB195" s="62">
        <v>0.3</v>
      </c>
      <c r="AC195" s="62">
        <v>0.39</v>
      </c>
      <c r="AD195" s="62">
        <v>0</v>
      </c>
      <c r="AE195" s="62">
        <v>1</v>
      </c>
      <c r="AF195" s="301">
        <f t="shared" si="12"/>
        <v>1</v>
      </c>
      <c r="AG195" s="799"/>
      <c r="AH195" s="22">
        <v>44562</v>
      </c>
      <c r="AI195" s="22">
        <v>44926</v>
      </c>
      <c r="AJ195" s="401">
        <v>365</v>
      </c>
      <c r="AK195" s="33" t="s">
        <v>60</v>
      </c>
      <c r="AL195" s="33" t="s">
        <v>60</v>
      </c>
      <c r="AM195" s="310">
        <v>9.0999999999999998E-2</v>
      </c>
      <c r="AN195" s="447"/>
      <c r="AO195" s="447"/>
      <c r="AP195" s="446"/>
      <c r="AQ195" s="434"/>
      <c r="AR195" s="434"/>
      <c r="AS195" s="712"/>
      <c r="AT195" s="431"/>
      <c r="AU195" s="435"/>
      <c r="AV195" s="438"/>
      <c r="AW195" s="438"/>
      <c r="AX195" s="438"/>
      <c r="AY195" s="444"/>
      <c r="AZ195" s="38" t="s">
        <v>66</v>
      </c>
      <c r="BA195" s="33" t="s">
        <v>67</v>
      </c>
      <c r="BB195" s="33" t="s">
        <v>68</v>
      </c>
      <c r="BC195" s="33"/>
      <c r="BD195" s="431"/>
    </row>
    <row r="196" spans="2:56" ht="90.75" customHeight="1" thickBot="1" x14ac:dyDescent="0.3">
      <c r="F196" s="479"/>
      <c r="G196" s="801" t="s">
        <v>409</v>
      </c>
      <c r="H196" s="802"/>
      <c r="I196" s="802"/>
      <c r="J196" s="802"/>
      <c r="K196" s="802"/>
      <c r="L196" s="802"/>
      <c r="M196" s="802"/>
      <c r="N196" s="802"/>
      <c r="O196" s="802"/>
      <c r="P196" s="802"/>
      <c r="Q196" s="802"/>
      <c r="R196" s="802"/>
      <c r="S196" s="803"/>
      <c r="T196" s="229">
        <f>AVERAGE(T185)</f>
        <v>0.95150000000000012</v>
      </c>
      <c r="U196" s="229">
        <f>AVERAGE(U185)</f>
        <v>1</v>
      </c>
      <c r="V196" s="451"/>
      <c r="W196" s="429" t="s">
        <v>410</v>
      </c>
      <c r="X196" s="429"/>
      <c r="Y196" s="429"/>
      <c r="Z196" s="429"/>
      <c r="AA196" s="429"/>
      <c r="AB196" s="429"/>
      <c r="AC196" s="429"/>
      <c r="AD196" s="429"/>
      <c r="AE196" s="429"/>
      <c r="AF196" s="429"/>
      <c r="AG196" s="311">
        <f>+AG185</f>
        <v>0.95245454545454544</v>
      </c>
      <c r="AP196" s="671" t="s">
        <v>446</v>
      </c>
      <c r="AQ196" s="672"/>
      <c r="AR196" s="313">
        <f>SUM(AR185)</f>
        <v>2871678653.7799997</v>
      </c>
      <c r="AS196" s="341">
        <f>SUM(AS185)</f>
        <v>0</v>
      </c>
      <c r="AT196" s="315">
        <f>+AS196/AR196</f>
        <v>0</v>
      </c>
    </row>
    <row r="197" spans="2:56" ht="129.75" customHeight="1" x14ac:dyDescent="0.25">
      <c r="N197" s="428" t="s">
        <v>453</v>
      </c>
      <c r="O197" s="428"/>
      <c r="P197" s="428"/>
      <c r="Q197" s="428"/>
      <c r="R197" s="428"/>
      <c r="S197" s="428"/>
      <c r="T197" s="230">
        <f>AVERAGE(T34,T72,T91,T129,T143,T161,T184,T196)</f>
        <v>0.85098409090909088</v>
      </c>
      <c r="U197" s="230">
        <f>AVERAGE(U34,U72,U91,U129,U143,U161,U184,U196)</f>
        <v>0.76863986859008193</v>
      </c>
      <c r="AA197" s="429" t="s">
        <v>454</v>
      </c>
      <c r="AB197" s="429"/>
      <c r="AC197" s="429"/>
      <c r="AD197" s="429"/>
      <c r="AE197" s="429"/>
      <c r="AF197" s="429"/>
      <c r="AG197" s="312">
        <f>AVERAGE(AG34,AG72,AG129,AG143,AG161,AG184,AG196)</f>
        <v>0.83952181622143784</v>
      </c>
      <c r="AP197" s="673" t="s">
        <v>455</v>
      </c>
      <c r="AQ197" s="674"/>
      <c r="AR197" s="339">
        <f>+AR34+AR72+AR91+AR129+AR143+AR161+AR184+AR196</f>
        <v>11806690672.369999</v>
      </c>
      <c r="AS197" s="339">
        <f>+AS34+AS72+AS91+AS129+AS143+AS161+AS184+AS196</f>
        <v>3321834818</v>
      </c>
      <c r="AT197" s="314">
        <f>+AS197/AR197</f>
        <v>0.28135189700309104</v>
      </c>
    </row>
    <row r="204" spans="2:56" ht="23.25" x14ac:dyDescent="0.35">
      <c r="AY204" s="241"/>
    </row>
  </sheetData>
  <autoFilter ref="B1:BD197"/>
  <mergeCells count="969">
    <mergeCell ref="R179:R183"/>
    <mergeCell ref="R185:R195"/>
    <mergeCell ref="R96:R98"/>
    <mergeCell ref="R99:R101"/>
    <mergeCell ref="R102:R104"/>
    <mergeCell ref="R106:R107"/>
    <mergeCell ref="R109:R110"/>
    <mergeCell ref="R111:R113"/>
    <mergeCell ref="R117:R122"/>
    <mergeCell ref="R66:R70"/>
    <mergeCell ref="R73:R77"/>
    <mergeCell ref="R78:R79"/>
    <mergeCell ref="R80:R84"/>
    <mergeCell ref="R85:R87"/>
    <mergeCell ref="R88:R90"/>
    <mergeCell ref="R94:R95"/>
    <mergeCell ref="R156:R158"/>
    <mergeCell ref="R159:R160"/>
    <mergeCell ref="Q57:Q59"/>
    <mergeCell ref="Q43:Q45"/>
    <mergeCell ref="Q179:Q183"/>
    <mergeCell ref="Q185:Q195"/>
    <mergeCell ref="Q102:Q104"/>
    <mergeCell ref="Q106:Q107"/>
    <mergeCell ref="Q109:Q110"/>
    <mergeCell ref="Q111:Q116"/>
    <mergeCell ref="Q117:Q122"/>
    <mergeCell ref="Q123:Q127"/>
    <mergeCell ref="Q130:Q134"/>
    <mergeCell ref="Q135:Q139"/>
    <mergeCell ref="Q156:Q158"/>
    <mergeCell ref="Q159:Q160"/>
    <mergeCell ref="Q60:Q65"/>
    <mergeCell ref="Q66:Q70"/>
    <mergeCell ref="BD185:BD195"/>
    <mergeCell ref="G196:S196"/>
    <mergeCell ref="W196:AF196"/>
    <mergeCell ref="N197:S197"/>
    <mergeCell ref="AA197:AF197"/>
    <mergeCell ref="AT185:AT195"/>
    <mergeCell ref="AU185:AU195"/>
    <mergeCell ref="AV185:AV195"/>
    <mergeCell ref="AW185:AW195"/>
    <mergeCell ref="AX185:AX195"/>
    <mergeCell ref="AY185:AY195"/>
    <mergeCell ref="AN185:AN195"/>
    <mergeCell ref="AO185:AO195"/>
    <mergeCell ref="AP185:AP195"/>
    <mergeCell ref="AQ185:AQ195"/>
    <mergeCell ref="AS185:AS195"/>
    <mergeCell ref="T185:T195"/>
    <mergeCell ref="U185:U195"/>
    <mergeCell ref="V185:V196"/>
    <mergeCell ref="W185:W195"/>
    <mergeCell ref="X185:X195"/>
    <mergeCell ref="AG185:AG195"/>
    <mergeCell ref="K185:K195"/>
    <mergeCell ref="L185:L195"/>
    <mergeCell ref="M185:M195"/>
    <mergeCell ref="N185:N195"/>
    <mergeCell ref="O185:O195"/>
    <mergeCell ref="S185:S195"/>
    <mergeCell ref="E185:E195"/>
    <mergeCell ref="F185:F196"/>
    <mergeCell ref="G185:G195"/>
    <mergeCell ref="H185:H195"/>
    <mergeCell ref="I185:I195"/>
    <mergeCell ref="J185:J195"/>
    <mergeCell ref="P185:P195"/>
    <mergeCell ref="BD179:BD183"/>
    <mergeCell ref="G184:S184"/>
    <mergeCell ref="W184:AF184"/>
    <mergeCell ref="BD174:BD178"/>
    <mergeCell ref="G179:G183"/>
    <mergeCell ref="H179:H183"/>
    <mergeCell ref="I179:I183"/>
    <mergeCell ref="J179:J183"/>
    <mergeCell ref="K179:K183"/>
    <mergeCell ref="L179:L183"/>
    <mergeCell ref="M179:M183"/>
    <mergeCell ref="N179:N183"/>
    <mergeCell ref="O179:O183"/>
    <mergeCell ref="M174:M178"/>
    <mergeCell ref="N174:N178"/>
    <mergeCell ref="O174:O178"/>
    <mergeCell ref="S174:S178"/>
    <mergeCell ref="T174:T178"/>
    <mergeCell ref="U174:U178"/>
    <mergeCell ref="G174:G178"/>
    <mergeCell ref="H174:H178"/>
    <mergeCell ref="AG162:AG183"/>
    <mergeCell ref="K162:K168"/>
    <mergeCell ref="L162:L168"/>
    <mergeCell ref="M162:M168"/>
    <mergeCell ref="N162:N168"/>
    <mergeCell ref="O162:O168"/>
    <mergeCell ref="S162:S168"/>
    <mergeCell ref="I174:I178"/>
    <mergeCell ref="J174:J178"/>
    <mergeCell ref="K174:K178"/>
    <mergeCell ref="L174:L178"/>
    <mergeCell ref="M169:M173"/>
    <mergeCell ref="N169:N173"/>
    <mergeCell ref="O169:O173"/>
    <mergeCell ref="S169:S173"/>
    <mergeCell ref="Q162:Q168"/>
    <mergeCell ref="Q169:Q173"/>
    <mergeCell ref="Q174:Q178"/>
    <mergeCell ref="R162:R168"/>
    <mergeCell ref="R169:R173"/>
    <mergeCell ref="R174:R178"/>
    <mergeCell ref="T179:T183"/>
    <mergeCell ref="U179:U183"/>
    <mergeCell ref="AV162:AV183"/>
    <mergeCell ref="AW162:AW183"/>
    <mergeCell ref="AX162:AX183"/>
    <mergeCell ref="AY162:AY183"/>
    <mergeCell ref="AN162:AN183"/>
    <mergeCell ref="AO162:AO183"/>
    <mergeCell ref="AQ162:AQ168"/>
    <mergeCell ref="AS162:AS168"/>
    <mergeCell ref="AT162:AT168"/>
    <mergeCell ref="AU162:AU168"/>
    <mergeCell ref="AP162:AP168"/>
    <mergeCell ref="AP169:AP175"/>
    <mergeCell ref="AP176:AP183"/>
    <mergeCell ref="AQ176:AQ183"/>
    <mergeCell ref="AQ169:AQ175"/>
    <mergeCell ref="AS169:AS175"/>
    <mergeCell ref="AT169:AT175"/>
    <mergeCell ref="AU169:AU175"/>
    <mergeCell ref="AU176:AU183"/>
    <mergeCell ref="AT176:AT183"/>
    <mergeCell ref="AS176:AS183"/>
    <mergeCell ref="W161:AF161"/>
    <mergeCell ref="F162:F184"/>
    <mergeCell ref="G162:G168"/>
    <mergeCell ref="H162:H168"/>
    <mergeCell ref="I162:I168"/>
    <mergeCell ref="J162:J168"/>
    <mergeCell ref="P162:P168"/>
    <mergeCell ref="P169:P173"/>
    <mergeCell ref="P174:P178"/>
    <mergeCell ref="P179:P183"/>
    <mergeCell ref="U169:U173"/>
    <mergeCell ref="G169:G173"/>
    <mergeCell ref="H169:H173"/>
    <mergeCell ref="I169:I173"/>
    <mergeCell ref="J169:J173"/>
    <mergeCell ref="K169:K173"/>
    <mergeCell ref="L169:L173"/>
    <mergeCell ref="T162:T168"/>
    <mergeCell ref="U162:U168"/>
    <mergeCell ref="V162:V184"/>
    <mergeCell ref="W162:W183"/>
    <mergeCell ref="X162:X183"/>
    <mergeCell ref="T169:T173"/>
    <mergeCell ref="S179:S183"/>
    <mergeCell ref="AW144:AW160"/>
    <mergeCell ref="AX144:AX160"/>
    <mergeCell ref="AY144:AY160"/>
    <mergeCell ref="G156:G158"/>
    <mergeCell ref="H156:H158"/>
    <mergeCell ref="I156:I158"/>
    <mergeCell ref="J156:J158"/>
    <mergeCell ref="K156:K158"/>
    <mergeCell ref="L156:L158"/>
    <mergeCell ref="M156:M158"/>
    <mergeCell ref="AQ144:AQ160"/>
    <mergeCell ref="AS144:AS160"/>
    <mergeCell ref="AT144:AT160"/>
    <mergeCell ref="AU144:AU160"/>
    <mergeCell ref="AV144:AV160"/>
    <mergeCell ref="W144:W160"/>
    <mergeCell ref="X144:X160"/>
    <mergeCell ref="AG144:AG160"/>
    <mergeCell ref="AN144:AN160"/>
    <mergeCell ref="AO144:AO160"/>
    <mergeCell ref="AP144:AP160"/>
    <mergeCell ref="N144:N154"/>
    <mergeCell ref="O144:O154"/>
    <mergeCell ref="S144:S154"/>
    <mergeCell ref="T144:T154"/>
    <mergeCell ref="U144:U154"/>
    <mergeCell ref="V144:V161"/>
    <mergeCell ref="N156:N158"/>
    <mergeCell ref="O156:O158"/>
    <mergeCell ref="S156:S158"/>
    <mergeCell ref="T156:T158"/>
    <mergeCell ref="G143:S143"/>
    <mergeCell ref="U156:U158"/>
    <mergeCell ref="G159:G160"/>
    <mergeCell ref="H159:H160"/>
    <mergeCell ref="I159:I160"/>
    <mergeCell ref="J159:J160"/>
    <mergeCell ref="K159:K160"/>
    <mergeCell ref="L159:L160"/>
    <mergeCell ref="M159:M160"/>
    <mergeCell ref="N159:N160"/>
    <mergeCell ref="O159:O160"/>
    <mergeCell ref="S159:S160"/>
    <mergeCell ref="T159:T160"/>
    <mergeCell ref="U159:U160"/>
    <mergeCell ref="G161:S161"/>
    <mergeCell ref="Q144:Q154"/>
    <mergeCell ref="R144:R154"/>
    <mergeCell ref="F144:F161"/>
    <mergeCell ref="G144:G154"/>
    <mergeCell ref="H144:H154"/>
    <mergeCell ref="I144:I154"/>
    <mergeCell ref="J144:J154"/>
    <mergeCell ref="K144:K154"/>
    <mergeCell ref="L144:L154"/>
    <mergeCell ref="M144:M154"/>
    <mergeCell ref="P144:P154"/>
    <mergeCell ref="P156:P158"/>
    <mergeCell ref="P159:P160"/>
    <mergeCell ref="J140:J142"/>
    <mergeCell ref="K140:K142"/>
    <mergeCell ref="L140:L142"/>
    <mergeCell ref="M140:M142"/>
    <mergeCell ref="N140:N142"/>
    <mergeCell ref="AQ139:AQ142"/>
    <mergeCell ref="AS139:AS142"/>
    <mergeCell ref="N135:N139"/>
    <mergeCell ref="O135:O139"/>
    <mergeCell ref="S135:S139"/>
    <mergeCell ref="T135:T139"/>
    <mergeCell ref="U135:U139"/>
    <mergeCell ref="AP139:AP142"/>
    <mergeCell ref="O140:O142"/>
    <mergeCell ref="S140:S142"/>
    <mergeCell ref="W130:W142"/>
    <mergeCell ref="X130:X142"/>
    <mergeCell ref="AG130:AG142"/>
    <mergeCell ref="AN130:AN142"/>
    <mergeCell ref="AO130:AO142"/>
    <mergeCell ref="M130:M134"/>
    <mergeCell ref="N130:N134"/>
    <mergeCell ref="O130:O134"/>
    <mergeCell ref="S130:S134"/>
    <mergeCell ref="T130:T134"/>
    <mergeCell ref="U130:U134"/>
    <mergeCell ref="P135:P139"/>
    <mergeCell ref="P140:P142"/>
    <mergeCell ref="T140:T142"/>
    <mergeCell ref="U140:U142"/>
    <mergeCell ref="V130:V143"/>
    <mergeCell ref="Q140:Q142"/>
    <mergeCell ref="W143:AF143"/>
    <mergeCell ref="R130:R134"/>
    <mergeCell ref="R135:R139"/>
    <mergeCell ref="R140:R142"/>
    <mergeCell ref="AV130:AV133"/>
    <mergeCell ref="AW130:AW142"/>
    <mergeCell ref="AX130:AX133"/>
    <mergeCell ref="AY130:AY133"/>
    <mergeCell ref="AP134:AP138"/>
    <mergeCell ref="AQ134:AQ138"/>
    <mergeCell ref="AS134:AS138"/>
    <mergeCell ref="AT134:AT138"/>
    <mergeCell ref="AU134:AU138"/>
    <mergeCell ref="AP130:AP133"/>
    <mergeCell ref="AQ130:AQ133"/>
    <mergeCell ref="AS130:AS133"/>
    <mergeCell ref="AT130:AT133"/>
    <mergeCell ref="AU130:AU133"/>
    <mergeCell ref="AV134:AV138"/>
    <mergeCell ref="AX134:AX138"/>
    <mergeCell ref="AY134:AY138"/>
    <mergeCell ref="AX139:AX142"/>
    <mergeCell ref="AY139:AY142"/>
    <mergeCell ref="AT139:AT142"/>
    <mergeCell ref="AU139:AU142"/>
    <mergeCell ref="AR130:AR133"/>
    <mergeCell ref="AR134:AR138"/>
    <mergeCell ref="AR139:AR142"/>
    <mergeCell ref="F130:F143"/>
    <mergeCell ref="G130:G134"/>
    <mergeCell ref="H130:H134"/>
    <mergeCell ref="I130:I134"/>
    <mergeCell ref="J130:J134"/>
    <mergeCell ref="K130:K134"/>
    <mergeCell ref="L130:L134"/>
    <mergeCell ref="M123:M127"/>
    <mergeCell ref="N123:N127"/>
    <mergeCell ref="G123:G127"/>
    <mergeCell ref="H123:H127"/>
    <mergeCell ref="I123:I127"/>
    <mergeCell ref="J123:J127"/>
    <mergeCell ref="K123:K127"/>
    <mergeCell ref="L123:L127"/>
    <mergeCell ref="G135:G139"/>
    <mergeCell ref="H135:H139"/>
    <mergeCell ref="I135:I139"/>
    <mergeCell ref="J135:J139"/>
    <mergeCell ref="K135:K139"/>
    <mergeCell ref="L135:L139"/>
    <mergeCell ref="M135:M139"/>
    <mergeCell ref="G140:G142"/>
    <mergeCell ref="I140:I142"/>
    <mergeCell ref="H140:H142"/>
    <mergeCell ref="BD111:BD116"/>
    <mergeCell ref="G117:G122"/>
    <mergeCell ref="H117:H122"/>
    <mergeCell ref="I117:I122"/>
    <mergeCell ref="J117:J122"/>
    <mergeCell ref="K117:K122"/>
    <mergeCell ref="L117:L122"/>
    <mergeCell ref="M117:M122"/>
    <mergeCell ref="N117:N122"/>
    <mergeCell ref="O117:O122"/>
    <mergeCell ref="T117:T122"/>
    <mergeCell ref="U117:U122"/>
    <mergeCell ref="BD117:BD122"/>
    <mergeCell ref="AP119:AP127"/>
    <mergeCell ref="AQ119:AQ127"/>
    <mergeCell ref="AS119:AS127"/>
    <mergeCell ref="AT119:AT127"/>
    <mergeCell ref="AU119:AU127"/>
    <mergeCell ref="AV119:AV127"/>
    <mergeCell ref="BD123:BD127"/>
    <mergeCell ref="O123:O127"/>
    <mergeCell ref="S123:S127"/>
    <mergeCell ref="AV139:AV142"/>
    <mergeCell ref="BD109:BD110"/>
    <mergeCell ref="G111:G116"/>
    <mergeCell ref="H111:H116"/>
    <mergeCell ref="I111:I116"/>
    <mergeCell ref="J111:J116"/>
    <mergeCell ref="K111:K116"/>
    <mergeCell ref="L111:L116"/>
    <mergeCell ref="M111:M116"/>
    <mergeCell ref="N111:N116"/>
    <mergeCell ref="O111:O116"/>
    <mergeCell ref="AV109:AV118"/>
    <mergeCell ref="AW109:AW127"/>
    <mergeCell ref="AX109:AX118"/>
    <mergeCell ref="AY109:AY118"/>
    <mergeCell ref="AX119:AX127"/>
    <mergeCell ref="AY119:AY127"/>
    <mergeCell ref="AG109:AG127"/>
    <mergeCell ref="AN109:AN127"/>
    <mergeCell ref="AO109:AO127"/>
    <mergeCell ref="M109:M110"/>
    <mergeCell ref="N109:N110"/>
    <mergeCell ref="O109:O110"/>
    <mergeCell ref="AR119:AR127"/>
    <mergeCell ref="R123:R127"/>
    <mergeCell ref="AV101:AV107"/>
    <mergeCell ref="AX101:AX107"/>
    <mergeCell ref="L99:L101"/>
    <mergeCell ref="M99:M101"/>
    <mergeCell ref="S109:S110"/>
    <mergeCell ref="T109:T110"/>
    <mergeCell ref="U109:U110"/>
    <mergeCell ref="V109:V129"/>
    <mergeCell ref="W109:W127"/>
    <mergeCell ref="X109:X127"/>
    <mergeCell ref="S111:S116"/>
    <mergeCell ref="T111:T116"/>
    <mergeCell ref="U111:U116"/>
    <mergeCell ref="S117:S122"/>
    <mergeCell ref="G129:S129"/>
    <mergeCell ref="W129:AF129"/>
    <mergeCell ref="U123:U127"/>
    <mergeCell ref="T123:T127"/>
    <mergeCell ref="G109:G110"/>
    <mergeCell ref="H109:H110"/>
    <mergeCell ref="I109:I110"/>
    <mergeCell ref="J109:J110"/>
    <mergeCell ref="K109:K110"/>
    <mergeCell ref="L109:L110"/>
    <mergeCell ref="BD96:BD98"/>
    <mergeCell ref="AY92:AY100"/>
    <mergeCell ref="BD92:BD93"/>
    <mergeCell ref="AU92:AU100"/>
    <mergeCell ref="Q92:Q93"/>
    <mergeCell ref="Q94:Q95"/>
    <mergeCell ref="Q96:Q98"/>
    <mergeCell ref="Q99:Q101"/>
    <mergeCell ref="AP101:AP104"/>
    <mergeCell ref="AQ101:AQ104"/>
    <mergeCell ref="AS101:AS104"/>
    <mergeCell ref="AT101:AT104"/>
    <mergeCell ref="S102:S104"/>
    <mergeCell ref="T102:T104"/>
    <mergeCell ref="U102:U104"/>
    <mergeCell ref="BD102:BD104"/>
    <mergeCell ref="AY101:AY107"/>
    <mergeCell ref="U99:U101"/>
    <mergeCell ref="BD99:BD101"/>
    <mergeCell ref="BD106:BD107"/>
    <mergeCell ref="S106:S107"/>
    <mergeCell ref="T106:T107"/>
    <mergeCell ref="U106:U107"/>
    <mergeCell ref="AU101:AU107"/>
    <mergeCell ref="BD94:BD95"/>
    <mergeCell ref="G96:G98"/>
    <mergeCell ref="H96:H98"/>
    <mergeCell ref="I96:I98"/>
    <mergeCell ref="J96:J98"/>
    <mergeCell ref="K96:K98"/>
    <mergeCell ref="L96:L98"/>
    <mergeCell ref="M96:M98"/>
    <mergeCell ref="N96:N98"/>
    <mergeCell ref="L94:L95"/>
    <mergeCell ref="M94:M95"/>
    <mergeCell ref="N94:N95"/>
    <mergeCell ref="O94:O95"/>
    <mergeCell ref="S94:S95"/>
    <mergeCell ref="T94:T95"/>
    <mergeCell ref="AV92:AV100"/>
    <mergeCell ref="AW92:AW107"/>
    <mergeCell ref="AX92:AX100"/>
    <mergeCell ref="N99:N101"/>
    <mergeCell ref="O99:O101"/>
    <mergeCell ref="S99:S101"/>
    <mergeCell ref="T99:T101"/>
    <mergeCell ref="O96:O98"/>
    <mergeCell ref="S96:S98"/>
    <mergeCell ref="G106:G107"/>
    <mergeCell ref="H106:H107"/>
    <mergeCell ref="I106:I107"/>
    <mergeCell ref="J106:J107"/>
    <mergeCell ref="K106:K107"/>
    <mergeCell ref="G94:G95"/>
    <mergeCell ref="H94:H95"/>
    <mergeCell ref="I94:I95"/>
    <mergeCell ref="J94:J95"/>
    <mergeCell ref="K94:K95"/>
    <mergeCell ref="T92:T93"/>
    <mergeCell ref="U92:U93"/>
    <mergeCell ref="G92:G93"/>
    <mergeCell ref="H92:H93"/>
    <mergeCell ref="I92:I93"/>
    <mergeCell ref="G99:G101"/>
    <mergeCell ref="H99:H101"/>
    <mergeCell ref="I99:I101"/>
    <mergeCell ref="J99:J101"/>
    <mergeCell ref="K99:K101"/>
    <mergeCell ref="U94:U95"/>
    <mergeCell ref="T96:T98"/>
    <mergeCell ref="U96:U98"/>
    <mergeCell ref="V92:V107"/>
    <mergeCell ref="W92:W107"/>
    <mergeCell ref="X92:X107"/>
    <mergeCell ref="AG92:AG107"/>
    <mergeCell ref="L106:L107"/>
    <mergeCell ref="G102:G104"/>
    <mergeCell ref="H102:H104"/>
    <mergeCell ref="I102:I104"/>
    <mergeCell ref="J102:J104"/>
    <mergeCell ref="K102:K104"/>
    <mergeCell ref="L102:L104"/>
    <mergeCell ref="M102:M104"/>
    <mergeCell ref="N102:N104"/>
    <mergeCell ref="O102:O104"/>
    <mergeCell ref="M106:M107"/>
    <mergeCell ref="N106:N107"/>
    <mergeCell ref="O106:O107"/>
    <mergeCell ref="J92:J93"/>
    <mergeCell ref="K92:K93"/>
    <mergeCell ref="L92:L93"/>
    <mergeCell ref="M92:M93"/>
    <mergeCell ref="N92:N93"/>
    <mergeCell ref="O92:O93"/>
    <mergeCell ref="S92:S93"/>
    <mergeCell ref="N88:N90"/>
    <mergeCell ref="O88:O90"/>
    <mergeCell ref="S88:S90"/>
    <mergeCell ref="T88:T90"/>
    <mergeCell ref="U88:U90"/>
    <mergeCell ref="G91:S91"/>
    <mergeCell ref="L80:L84"/>
    <mergeCell ref="AT73:AT81"/>
    <mergeCell ref="G78:G79"/>
    <mergeCell ref="H78:H79"/>
    <mergeCell ref="I78:I79"/>
    <mergeCell ref="J78:J79"/>
    <mergeCell ref="G85:G87"/>
    <mergeCell ref="H85:H87"/>
    <mergeCell ref="I85:I87"/>
    <mergeCell ref="J85:J87"/>
    <mergeCell ref="O80:O84"/>
    <mergeCell ref="S80:S84"/>
    <mergeCell ref="T80:T84"/>
    <mergeCell ref="U80:U84"/>
    <mergeCell ref="G80:G84"/>
    <mergeCell ref="H80:H84"/>
    <mergeCell ref="I80:I84"/>
    <mergeCell ref="M78:M79"/>
    <mergeCell ref="T73:T77"/>
    <mergeCell ref="U73:U77"/>
    <mergeCell ref="V73:V90"/>
    <mergeCell ref="W73:W90"/>
    <mergeCell ref="Q73:Q77"/>
    <mergeCell ref="Q78:Q79"/>
    <mergeCell ref="Q80:Q84"/>
    <mergeCell ref="Q85:Q87"/>
    <mergeCell ref="Q88:Q90"/>
    <mergeCell ref="S85:S87"/>
    <mergeCell ref="T85:T87"/>
    <mergeCell ref="U85:U87"/>
    <mergeCell ref="M88:M90"/>
    <mergeCell ref="AW73:AW90"/>
    <mergeCell ref="AX73:AX81"/>
    <mergeCell ref="M85:M87"/>
    <mergeCell ref="N85:N87"/>
    <mergeCell ref="O85:O87"/>
    <mergeCell ref="M80:M84"/>
    <mergeCell ref="N80:N84"/>
    <mergeCell ref="N78:N79"/>
    <mergeCell ref="O78:O79"/>
    <mergeCell ref="S78:S79"/>
    <mergeCell ref="T78:T79"/>
    <mergeCell ref="U78:U79"/>
    <mergeCell ref="P73:P77"/>
    <mergeCell ref="P78:P79"/>
    <mergeCell ref="P80:P84"/>
    <mergeCell ref="P85:P87"/>
    <mergeCell ref="P88:P90"/>
    <mergeCell ref="X73:X90"/>
    <mergeCell ref="AG73:AG90"/>
    <mergeCell ref="M73:M77"/>
    <mergeCell ref="N73:N77"/>
    <mergeCell ref="O73:O77"/>
    <mergeCell ref="S73:S77"/>
    <mergeCell ref="F73:F91"/>
    <mergeCell ref="G73:G77"/>
    <mergeCell ref="H73:H77"/>
    <mergeCell ref="I73:I77"/>
    <mergeCell ref="J73:J77"/>
    <mergeCell ref="K78:K79"/>
    <mergeCell ref="L78:L79"/>
    <mergeCell ref="K85:K87"/>
    <mergeCell ref="L85:L87"/>
    <mergeCell ref="J80:J84"/>
    <mergeCell ref="K80:K84"/>
    <mergeCell ref="G88:G90"/>
    <mergeCell ref="H88:H90"/>
    <mergeCell ref="I88:I90"/>
    <mergeCell ref="J88:J90"/>
    <mergeCell ref="K88:K90"/>
    <mergeCell ref="L88:L90"/>
    <mergeCell ref="K73:K77"/>
    <mergeCell ref="L73:L77"/>
    <mergeCell ref="AX57:AX70"/>
    <mergeCell ref="AY57:AY70"/>
    <mergeCell ref="AT57:AT70"/>
    <mergeCell ref="AU57:AU70"/>
    <mergeCell ref="AV57:AV70"/>
    <mergeCell ref="AP82:AP87"/>
    <mergeCell ref="AQ82:AQ87"/>
    <mergeCell ref="AS82:AS87"/>
    <mergeCell ref="AT82:AT87"/>
    <mergeCell ref="AY73:AY81"/>
    <mergeCell ref="AV82:AV90"/>
    <mergeCell ref="AX82:AX90"/>
    <mergeCell ref="AP73:AP81"/>
    <mergeCell ref="AQ73:AQ81"/>
    <mergeCell ref="AS73:AS81"/>
    <mergeCell ref="AY82:AY90"/>
    <mergeCell ref="AV73:AV81"/>
    <mergeCell ref="AQ88:AQ90"/>
    <mergeCell ref="AS88:AS90"/>
    <mergeCell ref="AT88:AT90"/>
    <mergeCell ref="AU82:AU87"/>
    <mergeCell ref="AP88:AP90"/>
    <mergeCell ref="AU73:AU81"/>
    <mergeCell ref="AW57:AW70"/>
    <mergeCell ref="AW35:AW55"/>
    <mergeCell ref="G60:G65"/>
    <mergeCell ref="H60:H65"/>
    <mergeCell ref="I60:I65"/>
    <mergeCell ref="J60:J65"/>
    <mergeCell ref="K60:K65"/>
    <mergeCell ref="L60:L65"/>
    <mergeCell ref="M60:M65"/>
    <mergeCell ref="AQ57:AQ70"/>
    <mergeCell ref="AS57:AS70"/>
    <mergeCell ref="W57:W70"/>
    <mergeCell ref="X57:X70"/>
    <mergeCell ref="AG57:AG70"/>
    <mergeCell ref="AN57:AN72"/>
    <mergeCell ref="AP57:AP70"/>
    <mergeCell ref="N57:N59"/>
    <mergeCell ref="O57:O59"/>
    <mergeCell ref="U60:U65"/>
    <mergeCell ref="G66:G70"/>
    <mergeCell ref="R35:R38"/>
    <mergeCell ref="R39:R42"/>
    <mergeCell ref="R43:R45"/>
    <mergeCell ref="R46:R49"/>
    <mergeCell ref="R57:R59"/>
    <mergeCell ref="S66:S70"/>
    <mergeCell ref="T66:T70"/>
    <mergeCell ref="U66:U70"/>
    <mergeCell ref="G72:S72"/>
    <mergeCell ref="L57:L59"/>
    <mergeCell ref="M57:M59"/>
    <mergeCell ref="S57:S59"/>
    <mergeCell ref="T57:T59"/>
    <mergeCell ref="U57:U59"/>
    <mergeCell ref="G57:G59"/>
    <mergeCell ref="H57:H59"/>
    <mergeCell ref="I57:I59"/>
    <mergeCell ref="J57:J59"/>
    <mergeCell ref="K57:K59"/>
    <mergeCell ref="T60:T65"/>
    <mergeCell ref="H66:H70"/>
    <mergeCell ref="I66:I70"/>
    <mergeCell ref="M66:M70"/>
    <mergeCell ref="N66:N70"/>
    <mergeCell ref="J66:J70"/>
    <mergeCell ref="K66:K70"/>
    <mergeCell ref="L66:L70"/>
    <mergeCell ref="R60:R65"/>
    <mergeCell ref="O66:O70"/>
    <mergeCell ref="U50:U52"/>
    <mergeCell ref="M35:M38"/>
    <mergeCell ref="S35:S38"/>
    <mergeCell ref="P66:P70"/>
    <mergeCell ref="N60:N65"/>
    <mergeCell ref="O60:O65"/>
    <mergeCell ref="G53:G55"/>
    <mergeCell ref="H53:H55"/>
    <mergeCell ref="I53:I55"/>
    <mergeCell ref="J53:J55"/>
    <mergeCell ref="K53:K55"/>
    <mergeCell ref="L53:L55"/>
    <mergeCell ref="M53:M55"/>
    <mergeCell ref="N53:N55"/>
    <mergeCell ref="O53:O55"/>
    <mergeCell ref="G50:G52"/>
    <mergeCell ref="H50:H52"/>
    <mergeCell ref="I50:I52"/>
    <mergeCell ref="J50:J52"/>
    <mergeCell ref="K50:K52"/>
    <mergeCell ref="Q50:Q52"/>
    <mergeCell ref="Q53:Q55"/>
    <mergeCell ref="P57:P59"/>
    <mergeCell ref="P60:P65"/>
    <mergeCell ref="M46:M49"/>
    <mergeCell ref="N46:N49"/>
    <mergeCell ref="O46:O49"/>
    <mergeCell ref="S53:S55"/>
    <mergeCell ref="T53:T55"/>
    <mergeCell ref="R50:R52"/>
    <mergeCell ref="R53:R55"/>
    <mergeCell ref="N43:N45"/>
    <mergeCell ref="O43:O45"/>
    <mergeCell ref="S43:S45"/>
    <mergeCell ref="T43:T45"/>
    <mergeCell ref="S46:S49"/>
    <mergeCell ref="T46:T49"/>
    <mergeCell ref="M50:M52"/>
    <mergeCell ref="N50:N52"/>
    <mergeCell ref="O50:O52"/>
    <mergeCell ref="P50:P52"/>
    <mergeCell ref="Q46:Q49"/>
    <mergeCell ref="AX35:AX55"/>
    <mergeCell ref="AY35:AY55"/>
    <mergeCell ref="G39:G42"/>
    <mergeCell ref="H39:H42"/>
    <mergeCell ref="I39:I42"/>
    <mergeCell ref="J39:J42"/>
    <mergeCell ref="K39:K42"/>
    <mergeCell ref="L39:L42"/>
    <mergeCell ref="M39:M42"/>
    <mergeCell ref="AQ35:AQ55"/>
    <mergeCell ref="AS35:AS55"/>
    <mergeCell ref="AT35:AT55"/>
    <mergeCell ref="AU35:AU55"/>
    <mergeCell ref="AV35:AV55"/>
    <mergeCell ref="W35:W55"/>
    <mergeCell ref="X35:X55"/>
    <mergeCell ref="AG35:AG55"/>
    <mergeCell ref="AN35:AN55"/>
    <mergeCell ref="AO35:AO55"/>
    <mergeCell ref="AP35:AP55"/>
    <mergeCell ref="N35:N38"/>
    <mergeCell ref="O35:O38"/>
    <mergeCell ref="L43:L45"/>
    <mergeCell ref="M43:M45"/>
    <mergeCell ref="N39:N42"/>
    <mergeCell ref="O39:O42"/>
    <mergeCell ref="S39:S42"/>
    <mergeCell ref="T39:T42"/>
    <mergeCell ref="G34:S34"/>
    <mergeCell ref="U39:U42"/>
    <mergeCell ref="H32:H33"/>
    <mergeCell ref="I32:I33"/>
    <mergeCell ref="J32:J33"/>
    <mergeCell ref="K32:K33"/>
    <mergeCell ref="L32:L33"/>
    <mergeCell ref="G32:G33"/>
    <mergeCell ref="P35:P38"/>
    <mergeCell ref="P39:P42"/>
    <mergeCell ref="Q32:Q33"/>
    <mergeCell ref="Q35:Q38"/>
    <mergeCell ref="Q39:Q42"/>
    <mergeCell ref="F35:F72"/>
    <mergeCell ref="G35:G38"/>
    <mergeCell ref="H35:H38"/>
    <mergeCell ref="I35:I38"/>
    <mergeCell ref="J35:J38"/>
    <mergeCell ref="K35:K38"/>
    <mergeCell ref="L35:L38"/>
    <mergeCell ref="G43:G45"/>
    <mergeCell ref="H43:H45"/>
    <mergeCell ref="I43:I45"/>
    <mergeCell ref="J43:J45"/>
    <mergeCell ref="K43:K45"/>
    <mergeCell ref="L50:L52"/>
    <mergeCell ref="G46:G49"/>
    <mergeCell ref="H46:H49"/>
    <mergeCell ref="I46:I49"/>
    <mergeCell ref="J46:J49"/>
    <mergeCell ref="K46:K49"/>
    <mergeCell ref="L46:L49"/>
    <mergeCell ref="AW20:AW33"/>
    <mergeCell ref="AX20:AX33"/>
    <mergeCell ref="U20:U24"/>
    <mergeCell ref="M29:M31"/>
    <mergeCell ref="N29:N31"/>
    <mergeCell ref="O29:O31"/>
    <mergeCell ref="S29:S31"/>
    <mergeCell ref="T29:T31"/>
    <mergeCell ref="U29:U31"/>
    <mergeCell ref="S32:S33"/>
    <mergeCell ref="T32:T33"/>
    <mergeCell ref="U32:U33"/>
    <mergeCell ref="AV20:AV28"/>
    <mergeCell ref="AV29:AV33"/>
    <mergeCell ref="AP20:AP28"/>
    <mergeCell ref="AQ20:AQ28"/>
    <mergeCell ref="AS20:AS28"/>
    <mergeCell ref="AT20:AT28"/>
    <mergeCell ref="M32:M33"/>
    <mergeCell ref="N32:N33"/>
    <mergeCell ref="R20:R24"/>
    <mergeCell ref="R25:R28"/>
    <mergeCell ref="R29:R31"/>
    <mergeCell ref="R32:R33"/>
    <mergeCell ref="V20:V34"/>
    <mergeCell ref="W20:W33"/>
    <mergeCell ref="X20:X33"/>
    <mergeCell ref="AG20:AG31"/>
    <mergeCell ref="AN20:AN33"/>
    <mergeCell ref="M20:M24"/>
    <mergeCell ref="N20:N24"/>
    <mergeCell ref="O20:O24"/>
    <mergeCell ref="S20:S24"/>
    <mergeCell ref="T20:T24"/>
    <mergeCell ref="M25:M28"/>
    <mergeCell ref="N25:N28"/>
    <mergeCell ref="O25:O28"/>
    <mergeCell ref="S25:S28"/>
    <mergeCell ref="T25:T28"/>
    <mergeCell ref="U25:U28"/>
    <mergeCell ref="O32:O33"/>
    <mergeCell ref="P20:P24"/>
    <mergeCell ref="P25:P28"/>
    <mergeCell ref="P29:P31"/>
    <mergeCell ref="P32:P33"/>
    <mergeCell ref="Q20:Q24"/>
    <mergeCell ref="Q25:Q28"/>
    <mergeCell ref="Q29:Q31"/>
    <mergeCell ref="AV13:AV18"/>
    <mergeCell ref="AW13:AW18"/>
    <mergeCell ref="AX13:AX18"/>
    <mergeCell ref="AY13:AY18"/>
    <mergeCell ref="G20:G24"/>
    <mergeCell ref="H20:H24"/>
    <mergeCell ref="I20:I24"/>
    <mergeCell ref="J20:J24"/>
    <mergeCell ref="K20:K24"/>
    <mergeCell ref="L20:L24"/>
    <mergeCell ref="AP13:AP18"/>
    <mergeCell ref="AQ13:AQ18"/>
    <mergeCell ref="AS13:AS18"/>
    <mergeCell ref="AT13:AT18"/>
    <mergeCell ref="AU13:AU18"/>
    <mergeCell ref="W13:W18"/>
    <mergeCell ref="X13:X18"/>
    <mergeCell ref="AG13:AG18"/>
    <mergeCell ref="AN13:AN18"/>
    <mergeCell ref="AO13:AO18"/>
    <mergeCell ref="M13:M18"/>
    <mergeCell ref="N13:N18"/>
    <mergeCell ref="AY20:AY33"/>
    <mergeCell ref="AU20:AU33"/>
    <mergeCell ref="AG2:AG11"/>
    <mergeCell ref="AN2:AN11"/>
    <mergeCell ref="AO2:AO11"/>
    <mergeCell ref="M2:M11"/>
    <mergeCell ref="N2:N11"/>
    <mergeCell ref="O2:O11"/>
    <mergeCell ref="S2:S11"/>
    <mergeCell ref="Q2:Q11"/>
    <mergeCell ref="R2:R11"/>
    <mergeCell ref="T2:T11"/>
    <mergeCell ref="U2:U11"/>
    <mergeCell ref="L13:L18"/>
    <mergeCell ref="H25:H28"/>
    <mergeCell ref="AV2:AV5"/>
    <mergeCell ref="AW2:AW5"/>
    <mergeCell ref="AX2:AX5"/>
    <mergeCell ref="AY2:AY5"/>
    <mergeCell ref="AP6:AP11"/>
    <mergeCell ref="AQ6:AQ11"/>
    <mergeCell ref="AR6:AR11"/>
    <mergeCell ref="AS6:AS11"/>
    <mergeCell ref="AT6:AT11"/>
    <mergeCell ref="AU6:AU11"/>
    <mergeCell ref="AP2:AP5"/>
    <mergeCell ref="AQ2:AQ5"/>
    <mergeCell ref="AR2:AR5"/>
    <mergeCell ref="AS2:AS5"/>
    <mergeCell ref="AT2:AT5"/>
    <mergeCell ref="AU2:AU5"/>
    <mergeCell ref="AV6:AV11"/>
    <mergeCell ref="AW6:AW11"/>
    <mergeCell ref="AX6:AX11"/>
    <mergeCell ref="AY6:AY11"/>
    <mergeCell ref="W2:W11"/>
    <mergeCell ref="X2:X11"/>
    <mergeCell ref="L29:L31"/>
    <mergeCell ref="G25:G28"/>
    <mergeCell ref="B2:B183"/>
    <mergeCell ref="C2:C183"/>
    <mergeCell ref="D2:D183"/>
    <mergeCell ref="E2:E183"/>
    <mergeCell ref="F2:F34"/>
    <mergeCell ref="F92:F129"/>
    <mergeCell ref="P94:P95"/>
    <mergeCell ref="P96:P98"/>
    <mergeCell ref="P99:P101"/>
    <mergeCell ref="P102:P104"/>
    <mergeCell ref="P106:P107"/>
    <mergeCell ref="P109:P110"/>
    <mergeCell ref="P111:P116"/>
    <mergeCell ref="P117:P122"/>
    <mergeCell ref="P123:P127"/>
    <mergeCell ref="P130:P134"/>
    <mergeCell ref="O13:O18"/>
    <mergeCell ref="G13:G18"/>
    <mergeCell ref="H13:H18"/>
    <mergeCell ref="I13:I18"/>
    <mergeCell ref="J13:J18"/>
    <mergeCell ref="K13:K18"/>
    <mergeCell ref="AU88:AU90"/>
    <mergeCell ref="AR97:AR100"/>
    <mergeCell ref="AR101:AR104"/>
    <mergeCell ref="AR105:AR107"/>
    <mergeCell ref="G2:G11"/>
    <mergeCell ref="H2:H11"/>
    <mergeCell ref="I2:I11"/>
    <mergeCell ref="J2:J11"/>
    <mergeCell ref="K2:K11"/>
    <mergeCell ref="L2:L11"/>
    <mergeCell ref="S13:S18"/>
    <mergeCell ref="T13:T18"/>
    <mergeCell ref="U13:U18"/>
    <mergeCell ref="R13:R18"/>
    <mergeCell ref="Q13:Q18"/>
    <mergeCell ref="I25:I28"/>
    <mergeCell ref="J25:J28"/>
    <mergeCell ref="K25:K28"/>
    <mergeCell ref="L25:L28"/>
    <mergeCell ref="G29:G31"/>
    <mergeCell ref="H29:H31"/>
    <mergeCell ref="I29:I31"/>
    <mergeCell ref="J29:J31"/>
    <mergeCell ref="K29:K31"/>
    <mergeCell ref="W56:AE56"/>
    <mergeCell ref="V35:V56"/>
    <mergeCell ref="V57:V71"/>
    <mergeCell ref="W71:AE71"/>
    <mergeCell ref="W72:AE72"/>
    <mergeCell ref="AO56:AQ56"/>
    <mergeCell ref="AO71:AQ71"/>
    <mergeCell ref="P92:P93"/>
    <mergeCell ref="S60:S65"/>
    <mergeCell ref="AN73:AN90"/>
    <mergeCell ref="AO73:AO90"/>
    <mergeCell ref="AN92:AN107"/>
    <mergeCell ref="AO92:AO107"/>
    <mergeCell ref="V91:AF91"/>
    <mergeCell ref="AP105:AP107"/>
    <mergeCell ref="AQ105:AQ107"/>
    <mergeCell ref="T35:T38"/>
    <mergeCell ref="U35:U38"/>
    <mergeCell ref="S50:S52"/>
    <mergeCell ref="T50:T52"/>
    <mergeCell ref="U53:U55"/>
    <mergeCell ref="P53:P55"/>
    <mergeCell ref="U43:U45"/>
    <mergeCell ref="U46:U49"/>
    <mergeCell ref="AU109:AU115"/>
    <mergeCell ref="AU116:AU118"/>
    <mergeCell ref="AS105:AS107"/>
    <mergeCell ref="AP92:AP96"/>
    <mergeCell ref="AQ92:AQ96"/>
    <mergeCell ref="AR144:AR160"/>
    <mergeCell ref="AR162:AR168"/>
    <mergeCell ref="AR169:AR175"/>
    <mergeCell ref="AR176:AR183"/>
    <mergeCell ref="AP109:AP115"/>
    <mergeCell ref="AP116:AP118"/>
    <mergeCell ref="AQ109:AQ115"/>
    <mergeCell ref="AR109:AR115"/>
    <mergeCell ref="AS109:AS115"/>
    <mergeCell ref="AQ116:AQ118"/>
    <mergeCell ref="AR116:AR118"/>
    <mergeCell ref="AS116:AS118"/>
    <mergeCell ref="AT116:AT118"/>
    <mergeCell ref="AT109:AT115"/>
    <mergeCell ref="AT105:AT107"/>
    <mergeCell ref="AT92:AT96"/>
    <mergeCell ref="AT97:AT100"/>
    <mergeCell ref="AR185:AR195"/>
    <mergeCell ref="A2:A183"/>
    <mergeCell ref="AS92:AS96"/>
    <mergeCell ref="AP97:AP100"/>
    <mergeCell ref="AQ97:AQ100"/>
    <mergeCell ref="AS97:AS100"/>
    <mergeCell ref="AR13:AR18"/>
    <mergeCell ref="AR20:AR28"/>
    <mergeCell ref="AR35:AR55"/>
    <mergeCell ref="AR57:AR70"/>
    <mergeCell ref="AR73:AR81"/>
    <mergeCell ref="AR82:AR87"/>
    <mergeCell ref="AR88:AR90"/>
    <mergeCell ref="AR92:AR96"/>
    <mergeCell ref="B185:B195"/>
    <mergeCell ref="C185:C195"/>
    <mergeCell ref="D185:D195"/>
    <mergeCell ref="P2:P11"/>
    <mergeCell ref="P13:P18"/>
    <mergeCell ref="V2:V12"/>
    <mergeCell ref="W12:AE12"/>
    <mergeCell ref="V13:V19"/>
    <mergeCell ref="P43:P45"/>
    <mergeCell ref="P46:P49"/>
    <mergeCell ref="W19:AE19"/>
    <mergeCell ref="AO12:AQ12"/>
    <mergeCell ref="Y33:AE33"/>
    <mergeCell ref="W34:AE34"/>
    <mergeCell ref="AP29:AP31"/>
    <mergeCell ref="AR29:AR32"/>
    <mergeCell ref="AS29:AS32"/>
    <mergeCell ref="AT29:AT32"/>
    <mergeCell ref="AO20:AO31"/>
    <mergeCell ref="AO33:AQ33"/>
    <mergeCell ref="AO19:AQ19"/>
    <mergeCell ref="AO34:AQ34"/>
    <mergeCell ref="AP196:AQ196"/>
    <mergeCell ref="AP197:AQ197"/>
    <mergeCell ref="AO72:AQ72"/>
    <mergeCell ref="AO57:AO70"/>
    <mergeCell ref="AP91:AQ91"/>
    <mergeCell ref="AP108:AQ108"/>
    <mergeCell ref="AP128:AQ128"/>
    <mergeCell ref="AP129:AQ129"/>
    <mergeCell ref="AP143:AQ143"/>
    <mergeCell ref="AP161:AQ161"/>
    <mergeCell ref="AP184:AQ184"/>
  </mergeCells>
  <pageMargins left="0.7" right="0.7" top="0.75" bottom="0.75" header="0.3" footer="0.3"/>
  <pageSetup orientation="portrait" horizontalDpi="360" verticalDpi="36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SEG PA JUN</vt:lpstr>
      <vt:lpstr>SEG PA DIC 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ester  garcia turizo</dc:creator>
  <cp:lastModifiedBy>Maria Mernarda Perez Carmona</cp:lastModifiedBy>
  <dcterms:created xsi:type="dcterms:W3CDTF">2022-07-12T17:00:55Z</dcterms:created>
  <dcterms:modified xsi:type="dcterms:W3CDTF">2023-01-31T16:15:18Z</dcterms:modified>
</cp:coreProperties>
</file>