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perez\Desktop\SEGUIMIENTOS PLANES DE ACCION A DIC.31 DE 2022\"/>
    </mc:Choice>
  </mc:AlternateContent>
  <bookViews>
    <workbookView xWindow="0" yWindow="0" windowWidth="20490" windowHeight="7155" activeTab="1"/>
  </bookViews>
  <sheets>
    <sheet name="DISTRISEGURIDAD" sheetId="1" r:id="rId1"/>
    <sheet name="MATRIZ EVALUACIÓN" sheetId="3" r:id="rId2"/>
    <sheet name="Hoja2" sheetId="2"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58" i="3" l="1"/>
  <c r="AT58" i="3"/>
  <c r="AU58" i="3" s="1"/>
  <c r="AS58" i="3"/>
  <c r="AO58" i="3"/>
  <c r="AN58" i="3"/>
  <c r="O58" i="3"/>
  <c r="AT57" i="3"/>
  <c r="AU57" i="3" s="1"/>
  <c r="AS57" i="3"/>
  <c r="AL57" i="3"/>
  <c r="BI57" i="3" s="1"/>
  <c r="O57" i="3"/>
  <c r="BB56" i="3"/>
  <c r="BE56" i="3" s="1"/>
  <c r="BF56" i="3" s="1"/>
  <c r="BG56" i="3" s="1"/>
  <c r="BI56" i="3" s="1"/>
  <c r="AY56" i="3"/>
  <c r="AZ56" i="3" s="1"/>
  <c r="BA56" i="3" s="1"/>
  <c r="AV56" i="3"/>
  <c r="AW56" i="3" s="1"/>
  <c r="AX56" i="3" s="1"/>
  <c r="AT56" i="3"/>
  <c r="AU56" i="3" s="1"/>
  <c r="AS56" i="3"/>
  <c r="AN56" i="3"/>
  <c r="O56" i="3"/>
  <c r="BE55" i="3"/>
  <c r="BI55" i="3" s="1"/>
  <c r="BB55" i="3"/>
  <c r="AU55" i="3"/>
  <c r="AT55" i="3"/>
  <c r="AS55" i="3"/>
  <c r="BI54" i="3"/>
  <c r="AU54" i="3"/>
  <c r="AT54" i="3"/>
  <c r="AS54" i="3"/>
  <c r="AW53" i="3"/>
  <c r="AX53" i="3" s="1"/>
  <c r="AV53" i="3"/>
  <c r="AY53" i="3" s="1"/>
  <c r="AT53" i="3"/>
  <c r="AU53" i="3" s="1"/>
  <c r="AS53" i="3"/>
  <c r="AN53" i="3"/>
  <c r="O53" i="3"/>
  <c r="BI52" i="3"/>
  <c r="BE52" i="3"/>
  <c r="BB52" i="3"/>
  <c r="AU52" i="3"/>
  <c r="AT52" i="3"/>
  <c r="AS52" i="3"/>
  <c r="BI51" i="3"/>
  <c r="BB51" i="3"/>
  <c r="AU51" i="3"/>
  <c r="AT51" i="3"/>
  <c r="AS51" i="3"/>
  <c r="BA50" i="3"/>
  <c r="AZ50" i="3"/>
  <c r="AY50" i="3"/>
  <c r="BB50" i="3" s="1"/>
  <c r="AX50" i="3"/>
  <c r="AW50" i="3"/>
  <c r="AV50" i="3"/>
  <c r="AT50" i="3"/>
  <c r="AS50" i="3"/>
  <c r="AU50" i="3" s="1"/>
  <c r="AN50" i="3"/>
  <c r="O50" i="3"/>
  <c r="BB49" i="3"/>
  <c r="BE49" i="3" s="1"/>
  <c r="BI49" i="3" s="1"/>
  <c r="AY49" i="3"/>
  <c r="AZ49" i="3" s="1"/>
  <c r="BA49" i="3" s="1"/>
  <c r="AV49" i="3"/>
  <c r="AW49" i="3" s="1"/>
  <c r="AX49" i="3" s="1"/>
  <c r="AT49" i="3"/>
  <c r="AU49" i="3" s="1"/>
  <c r="AS49" i="3"/>
  <c r="AO49" i="3"/>
  <c r="AO50" i="3" s="1"/>
  <c r="AO53" i="3" s="1"/>
  <c r="AO56" i="3" s="1"/>
  <c r="O49" i="3"/>
  <c r="BB48" i="3"/>
  <c r="BE48" i="3" s="1"/>
  <c r="BI48" i="3" s="1"/>
  <c r="AT48" i="3"/>
  <c r="AU48" i="3" s="1"/>
  <c r="AS48" i="3"/>
  <c r="BI47" i="3"/>
  <c r="BB47" i="3"/>
  <c r="AU47" i="3"/>
  <c r="AT47" i="3"/>
  <c r="AS47" i="3"/>
  <c r="AW46" i="3"/>
  <c r="AX46" i="3" s="1"/>
  <c r="AV46" i="3"/>
  <c r="AY46" i="3" s="1"/>
  <c r="AT46" i="3"/>
  <c r="AU46" i="3" s="1"/>
  <c r="AS46" i="3"/>
  <c r="AN46" i="3"/>
  <c r="AL46" i="3"/>
  <c r="O46" i="3"/>
  <c r="BI45" i="3"/>
  <c r="BE45" i="3"/>
  <c r="BC45" i="3"/>
  <c r="BD45" i="3" s="1"/>
  <c r="AY45" i="3"/>
  <c r="AT45" i="3"/>
  <c r="AU45" i="3" s="1"/>
  <c r="AS45" i="3"/>
  <c r="AZ45" i="3" s="1"/>
  <c r="BA45" i="3" s="1"/>
  <c r="BG44" i="3"/>
  <c r="BI44" i="3" s="1"/>
  <c r="BA44" i="3"/>
  <c r="AV44" i="3"/>
  <c r="AT44" i="3"/>
  <c r="AS44" i="3"/>
  <c r="AU44" i="3" s="1"/>
  <c r="AN44" i="3"/>
  <c r="O44" i="3"/>
  <c r="BI43" i="3"/>
  <c r="BG43" i="3"/>
  <c r="BF43" i="3"/>
  <c r="BE43" i="3"/>
  <c r="BD43" i="3"/>
  <c r="BC43" i="3" s="1"/>
  <c r="AT43" i="3"/>
  <c r="AU43" i="3" s="1"/>
  <c r="AS43" i="3"/>
  <c r="BG42" i="3"/>
  <c r="BI42" i="3" s="1"/>
  <c r="BA42" i="3"/>
  <c r="AV42" i="3"/>
  <c r="AT42" i="3"/>
  <c r="AU42" i="3" s="1"/>
  <c r="AS42" i="3"/>
  <c r="BI41" i="3"/>
  <c r="BG41" i="3"/>
  <c r="BF41" i="3"/>
  <c r="BE41" i="3"/>
  <c r="BD41" i="3"/>
  <c r="BC41" i="3"/>
  <c r="BA41" i="3"/>
  <c r="AZ41" i="3"/>
  <c r="AW41" i="3"/>
  <c r="AV41" i="3"/>
  <c r="AY41" i="3" s="1"/>
  <c r="AT41" i="3"/>
  <c r="AU41" i="3" s="1"/>
  <c r="AS41" i="3"/>
  <c r="AN41" i="3"/>
  <c r="O41" i="3"/>
  <c r="BG40" i="3"/>
  <c r="BI40" i="3" s="1"/>
  <c r="BE40" i="3"/>
  <c r="BD40" i="3"/>
  <c r="BC40" i="3"/>
  <c r="AU40" i="3"/>
  <c r="AT40" i="3"/>
  <c r="AS40" i="3"/>
  <c r="AN40" i="3"/>
  <c r="O40" i="3"/>
  <c r="BG39" i="3"/>
  <c r="BI39" i="3" s="1"/>
  <c r="BA39" i="3"/>
  <c r="AV39" i="3"/>
  <c r="AT39" i="3"/>
  <c r="AU39" i="3" s="1"/>
  <c r="AS39" i="3"/>
  <c r="AN39" i="3"/>
  <c r="O39" i="3"/>
  <c r="BG38" i="3"/>
  <c r="BF38" i="3" s="1"/>
  <c r="BE38" i="3"/>
  <c r="BI38" i="3" s="1"/>
  <c r="BD38" i="3"/>
  <c r="BC38" i="3"/>
  <c r="AT38" i="3"/>
  <c r="AU38" i="3" s="1"/>
  <c r="AS38" i="3"/>
  <c r="BI37" i="3"/>
  <c r="BG37" i="3"/>
  <c r="BF37" i="3"/>
  <c r="BE37" i="3"/>
  <c r="BD37" i="3"/>
  <c r="BC37" i="3"/>
  <c r="BA37" i="3"/>
  <c r="AZ37" i="3"/>
  <c r="AY37" i="3"/>
  <c r="AW37" i="3"/>
  <c r="AV37" i="3"/>
  <c r="AT37" i="3"/>
  <c r="AU37" i="3" s="1"/>
  <c r="AS37" i="3"/>
  <c r="BE36" i="3"/>
  <c r="BI36" i="3" s="1"/>
  <c r="AY36" i="3"/>
  <c r="AT36" i="3"/>
  <c r="AU36" i="3" s="1"/>
  <c r="AS36" i="3"/>
  <c r="BC36" i="3" s="1"/>
  <c r="BD36" i="3" s="1"/>
  <c r="AN36" i="3"/>
  <c r="O36" i="3"/>
  <c r="BI35" i="3"/>
  <c r="AU35" i="3"/>
  <c r="AT35" i="3"/>
  <c r="AS35" i="3"/>
  <c r="BI34" i="3"/>
  <c r="AT34" i="3"/>
  <c r="AS34" i="3"/>
  <c r="AU34" i="3" s="1"/>
  <c r="BI33" i="3"/>
  <c r="AU33" i="3"/>
  <c r="AT33" i="3"/>
  <c r="AS33" i="3"/>
  <c r="O33" i="3"/>
  <c r="BG32" i="3"/>
  <c r="BI32" i="3" s="1"/>
  <c r="BF32" i="3"/>
  <c r="BE32" i="3"/>
  <c r="BD32" i="3"/>
  <c r="BC32" i="3"/>
  <c r="BA32" i="3"/>
  <c r="AZ32" i="3"/>
  <c r="AY32" i="3"/>
  <c r="AW32" i="3"/>
  <c r="AT32" i="3"/>
  <c r="AU32" i="3" s="1"/>
  <c r="AS32" i="3"/>
  <c r="BE31" i="3"/>
  <c r="BI31" i="3" s="1"/>
  <c r="AY31" i="3"/>
  <c r="AT31" i="3"/>
  <c r="AU31" i="3" s="1"/>
  <c r="AS31" i="3"/>
  <c r="BC31" i="3" s="1"/>
  <c r="BD31" i="3" s="1"/>
  <c r="BI30" i="3"/>
  <c r="BG30" i="3"/>
  <c r="BA30" i="3"/>
  <c r="AV30" i="3"/>
  <c r="AU30" i="3"/>
  <c r="AT30" i="3"/>
  <c r="AS30" i="3"/>
  <c r="AN30" i="3"/>
  <c r="O30" i="3"/>
  <c r="BI29" i="3"/>
  <c r="BE29" i="3"/>
  <c r="BD29" i="3"/>
  <c r="BC29" i="3"/>
  <c r="AZ29" i="3"/>
  <c r="BA29" i="3" s="1"/>
  <c r="AY29" i="3"/>
  <c r="AT29" i="3"/>
  <c r="AU29" i="3" s="1"/>
  <c r="AS29" i="3"/>
  <c r="BI28" i="3"/>
  <c r="BE28" i="3"/>
  <c r="BD28" i="3"/>
  <c r="BC28" i="3"/>
  <c r="AT28" i="3"/>
  <c r="AS28" i="3"/>
  <c r="AU28" i="3" s="1"/>
  <c r="O28" i="3"/>
  <c r="BE27" i="3"/>
  <c r="BI27" i="3" s="1"/>
  <c r="BD27" i="3"/>
  <c r="BC27" i="3" s="1"/>
  <c r="AT27" i="3"/>
  <c r="AU27" i="3" s="1"/>
  <c r="AS27" i="3"/>
  <c r="BI26" i="3"/>
  <c r="BG26" i="3"/>
  <c r="BF26" i="3"/>
  <c r="BE26" i="3"/>
  <c r="BD26" i="3"/>
  <c r="BC26" i="3"/>
  <c r="BA26" i="3"/>
  <c r="AZ26" i="3"/>
  <c r="AY26" i="3"/>
  <c r="AW26" i="3"/>
  <c r="AT26" i="3"/>
  <c r="AU26" i="3" s="1"/>
  <c r="AS26" i="3"/>
  <c r="BG25" i="3"/>
  <c r="BI25" i="3" s="1"/>
  <c r="BA25" i="3"/>
  <c r="AV25" i="3"/>
  <c r="AT25" i="3"/>
  <c r="AU25" i="3" s="1"/>
  <c r="AS25" i="3"/>
  <c r="AO25" i="3"/>
  <c r="AO28" i="3" s="1"/>
  <c r="AO30" i="3" s="1"/>
  <c r="AO33" i="3" s="1"/>
  <c r="AO36" i="3" s="1"/>
  <c r="AO39" i="3" s="1"/>
  <c r="AO40" i="3" s="1"/>
  <c r="AO41" i="3" s="1"/>
  <c r="AO44" i="3" s="1"/>
  <c r="AN25" i="3"/>
  <c r="O25" i="3"/>
  <c r="BG24" i="3"/>
  <c r="BA24" i="3"/>
  <c r="AV24" i="3"/>
  <c r="AU24" i="3"/>
  <c r="AT24" i="3"/>
  <c r="AS24" i="3"/>
  <c r="AN24" i="3"/>
  <c r="AL24" i="3"/>
  <c r="BI24" i="3" s="1"/>
  <c r="O24" i="3"/>
  <c r="H24" i="3"/>
  <c r="BG23" i="3"/>
  <c r="BI23" i="3" s="1"/>
  <c r="BD23" i="3"/>
  <c r="BC23" i="3" s="1"/>
  <c r="BA23" i="3"/>
  <c r="AT23" i="3"/>
  <c r="AU23" i="3" s="1"/>
  <c r="AS23" i="3"/>
  <c r="BI22" i="3"/>
  <c r="AT22" i="3"/>
  <c r="AS22" i="3"/>
  <c r="AU22" i="3" s="1"/>
  <c r="AN22" i="3"/>
  <c r="AM22" i="3"/>
  <c r="O22" i="3"/>
  <c r="BI21" i="3"/>
  <c r="AT21" i="3"/>
  <c r="AU21" i="3" s="1"/>
  <c r="AS21" i="3"/>
  <c r="BB21" i="3" s="1"/>
  <c r="O21" i="3"/>
  <c r="AV20" i="3"/>
  <c r="BD20" i="3" s="1"/>
  <c r="BC20" i="3" s="1"/>
  <c r="AT20" i="3"/>
  <c r="AU20" i="3" s="1"/>
  <c r="AS20" i="3"/>
  <c r="BI19" i="3"/>
  <c r="BG19" i="3"/>
  <c r="BD19" i="3"/>
  <c r="BC19" i="3"/>
  <c r="BA19" i="3"/>
  <c r="AT19" i="3"/>
  <c r="AU19" i="3" s="1"/>
  <c r="AS19" i="3"/>
  <c r="AT18" i="3"/>
  <c r="AV18" i="3" s="1"/>
  <c r="AS18" i="3"/>
  <c r="O18" i="3"/>
  <c r="BI17" i="3"/>
  <c r="AU17" i="3"/>
  <c r="AT17" i="3"/>
  <c r="E17" i="3"/>
  <c r="BI16" i="3"/>
  <c r="AT16" i="3"/>
  <c r="AS16" i="3"/>
  <c r="AU16" i="3" s="1"/>
  <c r="BG15" i="3"/>
  <c r="BF15" i="3" s="1"/>
  <c r="BA15" i="3"/>
  <c r="BD15" i="3" s="1"/>
  <c r="AT15" i="3"/>
  <c r="AS15" i="3"/>
  <c r="AU15" i="3" s="1"/>
  <c r="AO15" i="3"/>
  <c r="AO18" i="3" s="1"/>
  <c r="AO21" i="3" s="1"/>
  <c r="AO22" i="3" s="1"/>
  <c r="AN15" i="3"/>
  <c r="N15" i="3"/>
  <c r="O15" i="3" s="1"/>
  <c r="M15" i="3"/>
  <c r="BI14" i="3"/>
  <c r="BG14" i="3"/>
  <c r="BD14" i="3"/>
  <c r="BC14" i="3"/>
  <c r="BA14" i="3"/>
  <c r="AT14" i="3"/>
  <c r="AU14" i="3" s="1"/>
  <c r="AS14" i="3"/>
  <c r="BI13" i="3"/>
  <c r="BG13" i="3"/>
  <c r="BF13" i="3"/>
  <c r="BA13" i="3"/>
  <c r="BD13" i="3" s="1"/>
  <c r="AT13" i="3"/>
  <c r="AU13" i="3" s="1"/>
  <c r="AS13" i="3"/>
  <c r="AO13" i="3"/>
  <c r="AN13" i="3"/>
  <c r="O13" i="3"/>
  <c r="BI12" i="3"/>
  <c r="BB12" i="3"/>
  <c r="AT12" i="3"/>
  <c r="AU12" i="3" s="1"/>
  <c r="AS12" i="3"/>
  <c r="BI11" i="3"/>
  <c r="BG11" i="3"/>
  <c r="BF11" i="3"/>
  <c r="BA11" i="3"/>
  <c r="BD11" i="3" s="1"/>
  <c r="AT11" i="3"/>
  <c r="AU11" i="3" s="1"/>
  <c r="AS11" i="3"/>
  <c r="BI10" i="3"/>
  <c r="BG10" i="3"/>
  <c r="BD10" i="3"/>
  <c r="BC10" i="3"/>
  <c r="BA10" i="3"/>
  <c r="AT10" i="3"/>
  <c r="AU10" i="3" s="1"/>
  <c r="AS10" i="3"/>
  <c r="BG9" i="3"/>
  <c r="BD9" i="3"/>
  <c r="BA9" i="3"/>
  <c r="AU9" i="3"/>
  <c r="AT9" i="3"/>
  <c r="AS9" i="3"/>
  <c r="AN9" i="3"/>
  <c r="AL9" i="3"/>
  <c r="BI9" i="3" s="1"/>
  <c r="O9" i="3"/>
  <c r="E9" i="3"/>
  <c r="AV60" i="3" l="1"/>
  <c r="BG18" i="3"/>
  <c r="BA18" i="3"/>
  <c r="BD18" i="3" s="1"/>
  <c r="AZ46" i="3"/>
  <c r="BA46" i="3" s="1"/>
  <c r="BB46" i="3"/>
  <c r="BE50" i="3"/>
  <c r="BI50" i="3" s="1"/>
  <c r="BC50" i="3"/>
  <c r="BD50" i="3" s="1"/>
  <c r="AZ53" i="3"/>
  <c r="BA53" i="3" s="1"/>
  <c r="BB53" i="3"/>
  <c r="BA20" i="3"/>
  <c r="BB22" i="3"/>
  <c r="BI15" i="3"/>
  <c r="AU18" i="3"/>
  <c r="BG20" i="3"/>
  <c r="AZ31" i="3"/>
  <c r="BA31" i="3" s="1"/>
  <c r="AZ36" i="3"/>
  <c r="BA36" i="3" s="1"/>
  <c r="BF40" i="3"/>
  <c r="BC49" i="3"/>
  <c r="BD49" i="3" s="1"/>
  <c r="BC56" i="3"/>
  <c r="BD56" i="3" s="1"/>
  <c r="BI18" i="3" l="1"/>
  <c r="BF18" i="3"/>
  <c r="BE53" i="3"/>
  <c r="BI53" i="3" s="1"/>
  <c r="BC53" i="3"/>
  <c r="BD53" i="3" s="1"/>
  <c r="BF20" i="3"/>
  <c r="BI20" i="3"/>
  <c r="BC46" i="3"/>
  <c r="BD46" i="3" s="1"/>
  <c r="BE46" i="3"/>
  <c r="BI46" i="3" s="1"/>
  <c r="AR19" i="1" l="1"/>
  <c r="AQ19" i="1"/>
  <c r="AP19" i="1"/>
  <c r="AO19" i="1"/>
  <c r="AQ68" i="1"/>
  <c r="T55" i="1"/>
  <c r="T46" i="1"/>
  <c r="T43" i="1"/>
  <c r="T36" i="1"/>
  <c r="S17" i="1"/>
  <c r="R17" i="1"/>
  <c r="T17" i="1"/>
  <c r="T19" i="1" s="1"/>
  <c r="S49" i="1"/>
  <c r="R49" i="1"/>
  <c r="T49" i="1" s="1"/>
  <c r="T51" i="1" s="1"/>
  <c r="S46" i="1"/>
  <c r="R46" i="1"/>
  <c r="S43" i="1"/>
  <c r="S51" i="1" s="1"/>
  <c r="R43" i="1"/>
  <c r="S36" i="1"/>
  <c r="AP68" i="1"/>
  <c r="AO68" i="1"/>
  <c r="AR68" i="1"/>
  <c r="T7" i="1"/>
  <c r="AE24" i="1"/>
  <c r="AE26" i="1"/>
  <c r="AE32" i="1"/>
  <c r="AE37" i="1"/>
  <c r="AE14" i="1"/>
  <c r="AR52" i="1"/>
  <c r="AR42" i="1"/>
  <c r="AR20" i="1"/>
  <c r="AR4" i="1"/>
  <c r="AE35" i="1"/>
  <c r="AE50" i="1"/>
  <c r="AE49" i="1"/>
  <c r="AE43" i="1"/>
  <c r="AE39" i="1"/>
  <c r="AE34" i="1"/>
  <c r="AE8" i="1"/>
  <c r="AE59" i="1"/>
  <c r="AE60" i="1"/>
  <c r="AE61" i="1"/>
  <c r="AE62" i="1"/>
  <c r="AE63" i="1"/>
  <c r="AE64" i="1"/>
  <c r="AE65" i="1"/>
  <c r="AE66" i="1"/>
  <c r="AD54" i="1"/>
  <c r="AE54" i="1" s="1"/>
  <c r="AD52" i="1"/>
  <c r="AE52" i="1" s="1"/>
  <c r="AD50" i="1"/>
  <c r="AD49" i="1"/>
  <c r="AD46" i="1"/>
  <c r="AE46" i="1" s="1"/>
  <c r="AD45" i="1"/>
  <c r="AE45" i="1" s="1"/>
  <c r="AD43" i="1"/>
  <c r="AD39" i="1"/>
  <c r="AD37" i="1"/>
  <c r="AD35" i="1"/>
  <c r="AD34" i="1"/>
  <c r="AD32" i="1"/>
  <c r="AD29" i="1"/>
  <c r="AE29" i="1" s="1"/>
  <c r="AD26" i="1"/>
  <c r="AD23" i="1"/>
  <c r="AD21" i="1"/>
  <c r="AE21" i="1" s="1"/>
  <c r="AD20" i="1"/>
  <c r="AE20" i="1" s="1"/>
  <c r="AD17" i="1"/>
  <c r="AE17" i="1" s="1"/>
  <c r="AD16" i="1"/>
  <c r="AE16" i="1" s="1"/>
  <c r="AD13" i="1"/>
  <c r="AD10" i="1"/>
  <c r="AE10" i="1" s="1"/>
  <c r="AD8" i="1"/>
  <c r="AD5" i="1"/>
  <c r="AE5" i="1" s="1"/>
  <c r="AF4" i="1" s="1"/>
  <c r="AF19" i="1" s="1"/>
  <c r="T54" i="1"/>
  <c r="T52" i="1"/>
  <c r="T24" i="1"/>
  <c r="T41" i="1" s="1"/>
  <c r="T15" i="1"/>
  <c r="T12" i="1"/>
  <c r="S54" i="1"/>
  <c r="S52" i="1"/>
  <c r="S55" i="1" s="1"/>
  <c r="R24" i="1"/>
  <c r="S24" i="1" s="1"/>
  <c r="S41" i="1" s="1"/>
  <c r="S15" i="1"/>
  <c r="S12" i="1"/>
  <c r="R36" i="1"/>
  <c r="R15" i="1"/>
  <c r="R12" i="1"/>
  <c r="AK50" i="1"/>
  <c r="AK49" i="1"/>
  <c r="AK46" i="1"/>
  <c r="AK45" i="1"/>
  <c r="AK42" i="1"/>
  <c r="AW31" i="1"/>
  <c r="AZ50" i="1"/>
  <c r="AL45" i="1"/>
  <c r="AM4" i="1"/>
  <c r="AL4" i="1"/>
  <c r="BB13" i="1"/>
  <c r="AL16" i="1"/>
  <c r="AI16" i="1"/>
  <c r="AJ16" i="1"/>
  <c r="AZ45" i="1"/>
  <c r="AZ34" i="1"/>
  <c r="L4" i="1"/>
  <c r="S7" i="1" s="1"/>
  <c r="S19" i="1" s="1"/>
  <c r="N54" i="1"/>
  <c r="R54" i="1" s="1"/>
  <c r="N52" i="1"/>
  <c r="R52" i="1" s="1"/>
  <c r="AK54" i="1"/>
  <c r="AK52" i="1"/>
  <c r="L52" i="1"/>
  <c r="AJ20" i="1"/>
  <c r="AJ21" i="1"/>
  <c r="AJ23" i="1" s="1"/>
  <c r="AJ25" i="1" s="1"/>
  <c r="AJ28" i="1" s="1"/>
  <c r="AI20" i="1"/>
  <c r="AI21" i="1" s="1"/>
  <c r="AI23" i="1" s="1"/>
  <c r="AI25" i="1" s="1"/>
  <c r="AI28" i="1" s="1"/>
  <c r="AL20" i="1"/>
  <c r="AL21" i="1"/>
  <c r="AL23" i="1"/>
  <c r="AL25" i="1" s="1"/>
  <c r="AL28" i="1" s="1"/>
  <c r="AL34" i="1" s="1"/>
  <c r="L12" i="1"/>
  <c r="AM10" i="1"/>
  <c r="AM13" i="1"/>
  <c r="AM16" i="1" s="1"/>
  <c r="AM20" i="1"/>
  <c r="AM21" i="1" s="1"/>
  <c r="AM23" i="1" s="1"/>
  <c r="AM25" i="1" s="1"/>
  <c r="AM28" i="1" s="1"/>
  <c r="AM34" i="1" s="1"/>
  <c r="AL39" i="1" l="1"/>
  <c r="AL35" i="1"/>
  <c r="AL36" i="1" s="1"/>
  <c r="AE41" i="1"/>
  <c r="AF20" i="1"/>
  <c r="AF41" i="1" s="1"/>
  <c r="AF42" i="1"/>
  <c r="AF51" i="1" s="1"/>
  <c r="AF68" i="1" s="1"/>
  <c r="T68" i="1"/>
  <c r="AI31" i="1"/>
  <c r="AI34" i="1"/>
  <c r="AM35" i="1"/>
  <c r="AM36" i="1" s="1"/>
  <c r="AM39" i="1"/>
  <c r="AJ34" i="1"/>
  <c r="AJ35" i="1" s="1"/>
  <c r="AJ36" i="1" s="1"/>
  <c r="AJ31" i="1"/>
  <c r="S68" i="1"/>
  <c r="AE55" i="1"/>
  <c r="AF52" i="1"/>
  <c r="AF55" i="1" s="1"/>
  <c r="AI35" i="1" l="1"/>
  <c r="AI36" i="1" s="1"/>
  <c r="AI39" i="1"/>
  <c r="AJ39" i="1" s="1"/>
  <c r="AE51" i="1" l="1"/>
</calcChain>
</file>

<file path=xl/comments1.xml><?xml version="1.0" encoding="utf-8"?>
<comments xmlns="http://schemas.openxmlformats.org/spreadsheetml/2006/main">
  <authors>
    <author>planeacion</author>
    <author>ENRIQUE BRIEVA</author>
  </authors>
  <commentList>
    <comment ref="AA20" authorId="0" shapeId="0">
      <text>
        <r>
          <rPr>
            <b/>
            <sz val="14"/>
            <color indexed="81"/>
            <rFont val="Tahoma"/>
            <family val="2"/>
          </rPr>
          <t>planeacion:</t>
        </r>
        <r>
          <rPr>
            <sz val="14"/>
            <color indexed="81"/>
            <rFont val="Tahoma"/>
            <family val="2"/>
          </rPr>
          <t xml:space="preserve">
SE SIGUE CON EL PAGO DE ARIENDO DE LAS MISMAS 6 INFRAESTRUCTURAS PARA LA SEGURIDAD LAS CUALES ESTÁN CONTRATADAS HASTA FIN DE AÑO</t>
        </r>
      </text>
    </comment>
    <comment ref="AA21" authorId="0" shapeId="0">
      <text>
        <r>
          <rPr>
            <b/>
            <sz val="11"/>
            <color indexed="81"/>
            <rFont val="Tahoma"/>
            <family val="2"/>
          </rPr>
          <t>planeacion:</t>
        </r>
        <r>
          <rPr>
            <sz val="11"/>
            <color indexed="81"/>
            <rFont val="Tahoma"/>
            <family val="2"/>
          </rPr>
          <t xml:space="preserve">
Este valor No es acumulado, es decir a corte 30 de junio van 6 meses de apoyo</t>
        </r>
      </text>
    </comment>
    <comment ref="AU24" authorId="1" shapeId="0">
      <text>
        <r>
          <rPr>
            <b/>
            <sz val="9"/>
            <color indexed="81"/>
            <rFont val="Tahoma"/>
            <family val="2"/>
          </rPr>
          <t>ENRIQUE BRIEVA:</t>
        </r>
        <r>
          <rPr>
            <sz val="9"/>
            <color indexed="81"/>
            <rFont val="Tahoma"/>
            <family val="2"/>
          </rPr>
          <t xml:space="preserve">
Estaba en 40 Con predialpero se le cambió de fuenta a Rendimientos ICLD y se dejaron 24.</t>
        </r>
      </text>
    </comment>
    <comment ref="AA34" authorId="0" shapeId="0">
      <text>
        <r>
          <rPr>
            <b/>
            <sz val="9"/>
            <color indexed="81"/>
            <rFont val="Tahoma"/>
            <family val="2"/>
          </rPr>
          <t>planeacion:</t>
        </r>
        <r>
          <rPr>
            <sz val="9"/>
            <color indexed="81"/>
            <rFont val="Tahoma"/>
            <family val="2"/>
          </rPr>
          <t xml:space="preserve">
FUE CONTRATADO HASTA EL 31 DE DICIEMBRE DE 2022</t>
        </r>
      </text>
    </comment>
    <comment ref="AA46" authorId="0" shapeId="0">
      <text>
        <r>
          <rPr>
            <b/>
            <sz val="9"/>
            <color indexed="81"/>
            <rFont val="Tahoma"/>
            <family val="2"/>
          </rPr>
          <t>planeacion: SIGUEN CONTRATADOS LOS MISMOS</t>
        </r>
      </text>
    </comment>
    <comment ref="AA54" authorId="0" shapeId="0">
      <text>
        <r>
          <rPr>
            <b/>
            <sz val="9"/>
            <color indexed="81"/>
            <rFont val="Tahoma"/>
            <family val="2"/>
          </rPr>
          <t>planeacion:</t>
        </r>
        <r>
          <rPr>
            <sz val="9"/>
            <color indexed="81"/>
            <rFont val="Tahoma"/>
            <family val="2"/>
          </rPr>
          <t xml:space="preserve">
SIGUE EL MISMO </t>
        </r>
      </text>
    </comment>
  </commentList>
</comments>
</file>

<file path=xl/comments2.xml><?xml version="1.0" encoding="utf-8"?>
<comments xmlns="http://schemas.openxmlformats.org/spreadsheetml/2006/main">
  <authors>
    <author>Usuario de Windows</author>
  </authors>
  <commentList>
    <comment ref="F6" authorId="0" shapeId="0">
      <text>
        <r>
          <rPr>
            <b/>
            <sz val="9"/>
            <color indexed="81"/>
            <rFont val="Tahoma"/>
            <family val="2"/>
          </rPr>
          <t>VALOR NÚMERICO</t>
        </r>
      </text>
    </comment>
    <comment ref="G6" authorId="0" shapeId="0">
      <text>
        <r>
          <rPr>
            <b/>
            <sz val="9"/>
            <color indexed="81"/>
            <rFont val="Tahoma"/>
            <family val="2"/>
          </rPr>
          <t xml:space="preserve">VALOR EN PORCENTAJE
</t>
        </r>
      </text>
    </comment>
    <comment ref="H6" authorId="0" shapeId="0">
      <text>
        <r>
          <rPr>
            <b/>
            <sz val="9"/>
            <color indexed="81"/>
            <rFont val="Tahoma"/>
            <family val="2"/>
          </rPr>
          <t xml:space="preserve">VALOR EN PORCENTAJE
</t>
        </r>
      </text>
    </comment>
    <comment ref="L6" authorId="0" shapeId="0">
      <text>
        <r>
          <rPr>
            <b/>
            <sz val="9"/>
            <color indexed="81"/>
            <rFont val="Tahoma"/>
            <family val="2"/>
          </rPr>
          <t>INCLUIR EVIDENCIA ORGANIZADA POR PROGRAMA PROYECTO Y ACTIVIDAD</t>
        </r>
      </text>
    </comment>
    <comment ref="M6" authorId="0" shapeId="0">
      <text>
        <r>
          <rPr>
            <b/>
            <sz val="9"/>
            <color indexed="81"/>
            <rFont val="Tahoma"/>
            <family val="2"/>
          </rPr>
          <t xml:space="preserve">SE DEBE ESPECIFICAR LA FECHA Y PERIODICIDAD DE LA ACTIVIDAD
</t>
        </r>
      </text>
    </comment>
    <comment ref="N6" authorId="0" shapeId="0">
      <text>
        <r>
          <rPr>
            <b/>
            <sz val="9"/>
            <color indexed="81"/>
            <rFont val="Tahoma"/>
            <family val="2"/>
          </rPr>
          <t xml:space="preserve">SE DEBE ESPECIFICAR LA FECHA Y PERIODICIDAD DE LA ACTIVIDAD
</t>
        </r>
      </text>
    </comment>
    <comment ref="P6" authorId="0" shapeId="0">
      <text>
        <r>
          <rPr>
            <b/>
            <sz val="9"/>
            <color indexed="81"/>
            <rFont val="Tahoma"/>
            <family val="2"/>
          </rPr>
          <t>VALOR NÚMERICO</t>
        </r>
      </text>
    </comment>
    <comment ref="Q6" authorId="0" shapeId="0">
      <text>
        <r>
          <rPr>
            <b/>
            <sz val="9"/>
            <color indexed="81"/>
            <rFont val="Tahoma"/>
            <family val="2"/>
          </rPr>
          <t xml:space="preserve">VALOR EN PORCENTAJE
</t>
        </r>
      </text>
    </comment>
    <comment ref="R6" authorId="0" shapeId="0">
      <text>
        <r>
          <rPr>
            <b/>
            <sz val="9"/>
            <color indexed="81"/>
            <rFont val="Tahoma"/>
            <family val="2"/>
          </rPr>
          <t xml:space="preserve">VALOR EN PORCENTAJE
</t>
        </r>
      </text>
    </comment>
    <comment ref="S7" authorId="0" shapeId="0">
      <text>
        <r>
          <rPr>
            <b/>
            <sz val="9"/>
            <color indexed="81"/>
            <rFont val="Tahoma"/>
            <family val="2"/>
          </rPr>
          <t xml:space="preserve">INCLUIR EL OBJETIVO Y LAS ACTIVIDADES DEL PROYECTO
</t>
        </r>
      </text>
    </comment>
    <comment ref="V7" authorId="0" shapeId="0">
      <text>
        <r>
          <rPr>
            <b/>
            <sz val="9"/>
            <color indexed="81"/>
            <rFont val="Tahoma"/>
            <family val="2"/>
          </rPr>
          <t>RELACIONAR LAS ACTIVIDADES ESPECIFICAS DEL PROYECTO</t>
        </r>
      </text>
    </comment>
    <comment ref="AK7" authorId="0" shapeId="0">
      <text>
        <r>
          <rPr>
            <b/>
            <sz val="9"/>
            <color indexed="81"/>
            <rFont val="Tahoma"/>
            <family val="2"/>
          </rPr>
          <t>VERIFICAR AVANCE EN LAS EVIDENCIAS
VALOR EN PORCENTAJE</t>
        </r>
      </text>
    </comment>
    <comment ref="AL7" authorId="0" shapeId="0">
      <text>
        <r>
          <rPr>
            <b/>
            <sz val="9"/>
            <color indexed="81"/>
            <rFont val="Tahoma"/>
            <family val="2"/>
          </rPr>
          <t>TENER EN CUENTA EL PORCENTAJE DE PARTICIPACIÓN DE LA ACTIVIDAD DENTRO DEL AVANCE DEL PROYECTO (NO PROMEDIAR)</t>
        </r>
      </text>
    </comment>
    <comment ref="AM7" authorId="0" shapeId="0">
      <text>
        <r>
          <rPr>
            <b/>
            <sz val="9"/>
            <color indexed="81"/>
            <rFont val="Tahoma"/>
            <family val="2"/>
          </rPr>
          <t>TENER EN CUENTA LA PARTICIPACIÓN DEL PROYECTO DENTRO DE LA META PRODUCTO (NO PROMEDIAR)</t>
        </r>
      </text>
    </comment>
    <comment ref="AP7" authorId="0" shapeId="0">
      <text>
        <r>
          <rPr>
            <b/>
            <sz val="9"/>
            <color indexed="81"/>
            <rFont val="Tahoma"/>
            <family val="2"/>
          </rPr>
          <t>ICLD
SGP
SGR
ENTRE OTROS
(ESPECIFICAR OTROS)</t>
        </r>
      </text>
    </comment>
    <comment ref="AQ7" authorId="0" shapeId="0">
      <text>
        <r>
          <rPr>
            <b/>
            <sz val="9"/>
            <color indexed="81"/>
            <rFont val="Tahoma"/>
            <family val="2"/>
          </rPr>
          <t>VALOR NÚMERICO</t>
        </r>
      </text>
    </comment>
    <comment ref="AR7" authorId="0" shapeId="0">
      <text>
        <r>
          <rPr>
            <b/>
            <sz val="9"/>
            <color indexed="81"/>
            <rFont val="Tahoma"/>
            <family val="2"/>
          </rPr>
          <t>VALOR EN PORCENTAJE</t>
        </r>
      </text>
    </comment>
    <comment ref="AS7" authorId="0" shapeId="0">
      <text>
        <r>
          <rPr>
            <b/>
            <sz val="9"/>
            <color indexed="81"/>
            <rFont val="Tahoma"/>
            <family val="2"/>
          </rPr>
          <t>VALOR ASIGNADO PARA LA VIGENCIA A EVALUAR</t>
        </r>
      </text>
    </comment>
    <comment ref="AT7" authorId="0" shapeId="0">
      <text>
        <r>
          <rPr>
            <b/>
            <sz val="9"/>
            <color indexed="81"/>
            <rFont val="Tahoma"/>
            <family val="2"/>
          </rPr>
          <t>VALOR ASIGNADO PARA LA VIGENCIA A EVALUAR</t>
        </r>
      </text>
    </comment>
    <comment ref="AV7" authorId="0" shapeId="0">
      <text>
        <r>
          <rPr>
            <b/>
            <sz val="9"/>
            <color indexed="81"/>
            <rFont val="Tahoma"/>
            <family val="2"/>
          </rPr>
          <t>INFORMACIÓN DEL INFORME DE EJECUCION DEL PRESUPUESTO DE GASTOS E INVERSIONES (PREDIS)</t>
        </r>
      </text>
    </comment>
    <comment ref="AY7" authorId="0" shapeId="0">
      <text>
        <r>
          <rPr>
            <b/>
            <sz val="9"/>
            <color indexed="81"/>
            <rFont val="Tahoma"/>
            <family val="2"/>
          </rPr>
          <t>INFORMACIÓN DEL INFORME DE EJECUCION DEL PRESUPUESTO DE GASTOS E INVERSIONES (PREDIS)</t>
        </r>
      </text>
    </comment>
    <comment ref="BB7" authorId="0" shapeId="0">
      <text>
        <r>
          <rPr>
            <b/>
            <sz val="9"/>
            <color indexed="81"/>
            <rFont val="Tahoma"/>
            <family val="2"/>
          </rPr>
          <t>INFORMACIÓN DEL INFORME DE EJECUCION DEL PRESUPUESTO DE GASTOS E INVERSIONES (PREDIS)</t>
        </r>
      </text>
    </comment>
    <comment ref="BE7" authorId="0" shapeId="0">
      <text>
        <r>
          <rPr>
            <b/>
            <sz val="9"/>
            <color indexed="81"/>
            <rFont val="Tahoma"/>
            <family val="2"/>
          </rPr>
          <t>INFORMACIÓN DEL INFORME DE EJECUCION DEL PRESUPUESTO DE GASTOS E INVERSIONES (PREDIS)</t>
        </r>
      </text>
    </comment>
    <comment ref="AV8" authorId="0" shapeId="0">
      <text>
        <r>
          <rPr>
            <b/>
            <sz val="9"/>
            <color indexed="81"/>
            <rFont val="Tahoma"/>
            <family val="2"/>
          </rPr>
          <t>HACE REFERENCIA AL PRESUPUESTO ASIGNADO</t>
        </r>
      </text>
    </comment>
    <comment ref="AW8" authorId="0" shapeId="0">
      <text>
        <r>
          <rPr>
            <b/>
            <sz val="9"/>
            <color indexed="81"/>
            <rFont val="Tahoma"/>
            <family val="2"/>
          </rPr>
          <t>HACE REFERENCIA AL REGISTRO PRESUPUESTAL</t>
        </r>
      </text>
    </comment>
    <comment ref="AY8" authorId="0" shapeId="0">
      <text>
        <r>
          <rPr>
            <b/>
            <sz val="9"/>
            <color indexed="81"/>
            <rFont val="Tahoma"/>
            <family val="2"/>
          </rPr>
          <t>HACE REFERENCIA AL PRESUPUESTO ASIGNADO</t>
        </r>
      </text>
    </comment>
    <comment ref="AZ8" authorId="0" shapeId="0">
      <text>
        <r>
          <rPr>
            <b/>
            <sz val="9"/>
            <color indexed="81"/>
            <rFont val="Tahoma"/>
            <family val="2"/>
          </rPr>
          <t>HACE REFERENCIA AL REGISTRO PRESUPUESTAL</t>
        </r>
      </text>
    </comment>
    <comment ref="BB8" authorId="0" shapeId="0">
      <text>
        <r>
          <rPr>
            <b/>
            <sz val="9"/>
            <color indexed="81"/>
            <rFont val="Tahoma"/>
            <family val="2"/>
          </rPr>
          <t>HACE REFERENCIA AL PRESUPUESTO ASIGNADO</t>
        </r>
      </text>
    </comment>
    <comment ref="BC8" authorId="0" shapeId="0">
      <text>
        <r>
          <rPr>
            <b/>
            <sz val="9"/>
            <color indexed="81"/>
            <rFont val="Tahoma"/>
            <family val="2"/>
          </rPr>
          <t>HACE REFERENCIA AL REGISTRO PRESUPUESTAL</t>
        </r>
      </text>
    </comment>
    <comment ref="BE8" authorId="0" shapeId="0">
      <text>
        <r>
          <rPr>
            <b/>
            <sz val="9"/>
            <color indexed="81"/>
            <rFont val="Tahoma"/>
            <family val="2"/>
          </rPr>
          <t>HACE REFERENCIA AL PRESUPUESTO ASIGNADO</t>
        </r>
      </text>
    </comment>
    <comment ref="BF8" authorId="0" shapeId="0">
      <text>
        <r>
          <rPr>
            <b/>
            <sz val="9"/>
            <color indexed="81"/>
            <rFont val="Tahoma"/>
            <family val="2"/>
          </rPr>
          <t>HACE REFERENCIA AL REGISTRO PRESUPUESTAL</t>
        </r>
      </text>
    </comment>
    <comment ref="BH8" authorId="0" shapeId="0">
      <text>
        <r>
          <rPr>
            <b/>
            <sz val="9"/>
            <color indexed="81"/>
            <rFont val="Tahoma"/>
            <family val="2"/>
          </rPr>
          <t>COHERENCIA ENTRE LA EJECUCIÓN PRESUPUESTAL Y EL CUMPLIMIENTO DE LAS METAS</t>
        </r>
      </text>
    </comment>
  </commentList>
</comments>
</file>

<file path=xl/sharedStrings.xml><?xml version="1.0" encoding="utf-8"?>
<sst xmlns="http://schemas.openxmlformats.org/spreadsheetml/2006/main" count="1084" uniqueCount="340">
  <si>
    <t>FORMATO PLAN DE ACCIÓN
DEPENDENCIA: DISTRISEGURIDAD
VIGENCIA 2022</t>
  </si>
  <si>
    <t>PILAR</t>
  </si>
  <si>
    <t>LINEA ESTRATEGICA</t>
  </si>
  <si>
    <t>Indicador de Bienestar</t>
  </si>
  <si>
    <t>Línea Base 2019</t>
  </si>
  <si>
    <t>Meta de Bienestar 2020-2023</t>
  </si>
  <si>
    <t xml:space="preserve">PROGRAMA </t>
  </si>
  <si>
    <t>Indicador de Producto</t>
  </si>
  <si>
    <t>UNIDAD DE MEDIDA DEL INDICADOR DE PRODUCTO</t>
  </si>
  <si>
    <t>Línea Base 2019 
Según PDD</t>
  </si>
  <si>
    <t>Descripción de la Meta Producto 2020-2023</t>
  </si>
  <si>
    <t>Valor Absoluto de la Meta Producto 2020-2023</t>
  </si>
  <si>
    <t>PROGRAMACIÓN META A 2022</t>
  </si>
  <si>
    <t>ACUMULADO DE META PRODUCTO 2020- 2021</t>
  </si>
  <si>
    <t>REPORTE META PRODUCTO
EJECUTADO DE ENERO 1 A MARZO 31 DE2022</t>
  </si>
  <si>
    <t>PROYECTO</t>
  </si>
  <si>
    <t>Código de proyecto BPIM</t>
  </si>
  <si>
    <t>Objetivo del Proyecto</t>
  </si>
  <si>
    <t>Actividades de Proyecto</t>
  </si>
  <si>
    <t>Valor Absoluto de la Actividad del  Proyecto 2022</t>
  </si>
  <si>
    <t>REPORTE ACTIVIDAD DE PROYECTO
EJECUTADO DE ENERO 1 A MARZO 31 DE2022</t>
  </si>
  <si>
    <t xml:space="preserve">Fecha de inicio </t>
  </si>
  <si>
    <t>Tiempo de Ejecución
(número de días)</t>
  </si>
  <si>
    <t>Beneficiarios Programados</t>
  </si>
  <si>
    <t>Beneficiarios Cubiertos</t>
  </si>
  <si>
    <t>Porcentaje de Participación de la Actividad en el Proyecto</t>
  </si>
  <si>
    <t xml:space="preserve">Dependencia Responsable </t>
  </si>
  <si>
    <t>Nombre del Responsable</t>
  </si>
  <si>
    <t>Fuente de Financiación</t>
  </si>
  <si>
    <t>Apropiación Definitiva
(en pesos)</t>
  </si>
  <si>
    <t>Fuente Presupuestal</t>
  </si>
  <si>
    <t>Rubro Presupuestal</t>
  </si>
  <si>
    <t xml:space="preserve">INDICAR SI EL RUBRO ESTÁ MARCADO COMO TRAZADOR DE GÉNERO
(SI ó NO) </t>
  </si>
  <si>
    <t>Código Presupuestal</t>
  </si>
  <si>
    <t xml:space="preserve">REPORTE EJECUCIÓN PRESUPUESTAL </t>
  </si>
  <si>
    <t>¿Requiere contratación?</t>
  </si>
  <si>
    <t xml:space="preserve">Tipo de Contratación </t>
  </si>
  <si>
    <t>Fecha de Inicio Contratación</t>
  </si>
  <si>
    <t>Observación</t>
  </si>
  <si>
    <t>CARTAGENA TRANSPARENTE</t>
  </si>
  <si>
    <t>CONVIVENCIA Y SEGURIDAD PARA LA GOBERNABILIDAD</t>
  </si>
  <si>
    <t>Tasa de Homicidio por cien mil habitantes (por curso de vida)</t>
  </si>
  <si>
    <t>19,02
Fuente Policía Metropolitana</t>
  </si>
  <si>
    <t>Reducir a 17,02 la tasa de Homicidios en el Distrito de Cartagena (porcurso de vida)</t>
  </si>
  <si>
    <t>IMPLEMENTACIÓN Y SOSTENIMIENTO DE LAS HERRAMIENTAS TECNOLÓGICAS PARA LA SEGURIDAD Y SOCORRO</t>
  </si>
  <si>
    <t>Número de cámaras de video vigilancia adicionles dotadas e instaladas</t>
  </si>
  <si>
    <t>UNIDAD</t>
  </si>
  <si>
    <t>Dotar e instalar 107 cámaras de video vigilancia adicionales como componente del SIES Cartagena Instaladas</t>
  </si>
  <si>
    <t>IMPLEMENTACIÓN Y SOSTENIMIENTO DE HERRAMIENTAS TECNOLÓGICAS PARA SEGURIDAD Y SOCORRO EN CARTAGENA DE INDIAS</t>
  </si>
  <si>
    <t>AUMENTAR LA CAPACIDAD DE RESPUESTA DE LOS ORGANISMOS DE SEGURIDAD DEL DISTRITO DE CARTAGENA</t>
  </si>
  <si>
    <t>Agosto</t>
  </si>
  <si>
    <t>DISTRISEGURIDAD</t>
  </si>
  <si>
    <t>INVERSIÓN</t>
  </si>
  <si>
    <t>Impuesto Predial Unificado (1%)</t>
  </si>
  <si>
    <t>IMPLEMENTACIÓN Y SOSTENIMIENTO DE HERRAMIENTAS TECNOLÓGICAS PARA LA SEGURIDAD Y SOCORRO EN CARTAGENA DE INDIAS</t>
  </si>
  <si>
    <t>Si</t>
  </si>
  <si>
    <t>2.3.4501.1000.2021130010180</t>
  </si>
  <si>
    <t>SI</t>
  </si>
  <si>
    <t>Realizar el pago de la Energía de Cámaras de Video Vigilancia</t>
  </si>
  <si>
    <t>Enero</t>
  </si>
  <si>
    <t>Impuesto de Delineación Urbana 10%</t>
  </si>
  <si>
    <t>NO</t>
  </si>
  <si>
    <t>Convenir el Apoyo a la gestión y Gastos Inherentes al Proyecto Tic`s (Formulación, estructuración, contratación, Socialización, aplicación, ejecución, cierre contable, económico,  jurídico de proyectos, subproyectos y actividades inherentes)</t>
  </si>
  <si>
    <t>Contratación Directa - OPS</t>
  </si>
  <si>
    <t>ENERO</t>
  </si>
  <si>
    <t>Otros Ingresos Distriseguridad</t>
  </si>
  <si>
    <t>Rendimientos Financieros ICLD (Acuerdo 066 de 2021 Distriseguridad)</t>
  </si>
  <si>
    <t>Número de equipos de comunicación par los organismos de seguridad, socorro y convivencia entregados</t>
  </si>
  <si>
    <t>Entregar 585 Equipos de comunicación para los organismos de seguridad, socorro y convivencia como componente del SIES Cartagen</t>
  </si>
  <si>
    <t>Junio</t>
  </si>
  <si>
    <t xml:space="preserve">Contratación directa (con ofertas) </t>
  </si>
  <si>
    <t>Número de Alarmas Comunitarias adicionales instaladas</t>
  </si>
  <si>
    <t>Instalar 100 Alarmas comunitarias adicionales como componente del SIES Cartagena</t>
  </si>
  <si>
    <t>Julio</t>
  </si>
  <si>
    <t>Número Línea de atención y emergencia 123 modernizado</t>
  </si>
  <si>
    <t>Línea 123 en 50% de operación</t>
  </si>
  <si>
    <t>Modernizar Una Linea de atención y emergencia 123 como componente de SIES Cartagena</t>
  </si>
  <si>
    <t>OPTIMIZACIÓN DE LA INFRAESTRUCTURA Y MOVILIDAD DE LOS ORGANISMOS DE SEGURIDAD Y SOCORRO</t>
  </si>
  <si>
    <t>Número de infraestructuras para la seguridad en el Distrito de Cartagena entregadas</t>
  </si>
  <si>
    <t>Entregar 4 infraestructuras para la seguridad en el distrito de Cartagena</t>
  </si>
  <si>
    <t>FORTALECIMIENTO LOGÍSTICO PARA LA SEGURIDAD, CONVIVENCIA, JUSTICIA Y SOCORRO EN  CARTAGENA DE INDIAS</t>
  </si>
  <si>
    <t>AUMENTAR LA CAPACIDAD DE RESPUESTA DE LOS ORGANISMOS DE SEGURIDAD DEL DISRITO DE CARTAGENA EN 50%</t>
  </si>
  <si>
    <t>Garantizar la Permanencia con infraestructura en modalidad de arriendo de la policía metropolitana de Cartagena (Zona Corregimental y otros)</t>
  </si>
  <si>
    <t>FORTALECIMIENTO LOGÍSTICO PARA LA SEGURIDAD, CONVIVENCIA, JUSTICIA Y SOCORRO EN  CARTAGENA DE INDIAS  CARTAGENA DE INDIAS</t>
  </si>
  <si>
    <t>2.3.4501.1000.2021130010192</t>
  </si>
  <si>
    <t>Contratación directa - Arriendo</t>
  </si>
  <si>
    <t>Apoyar con el Pago de servicio de energía infraestructura Policía Metropolitana de Cartagena para la permanencia en la zona corregimental</t>
  </si>
  <si>
    <t xml:space="preserve">Realizar Mantenimiento infraestructura asignada a la policía </t>
  </si>
  <si>
    <t>Garantizar logística (Alimentación) para la seguridad del Alcalde Mayor de Cartagena</t>
  </si>
  <si>
    <t>Abril</t>
  </si>
  <si>
    <t>Seléccion abreviada - Menor cuantia</t>
  </si>
  <si>
    <t>Construcción de Infraestructura para seguridad y convivencia Ciudadana</t>
  </si>
  <si>
    <t>Número de vehículos a los organismos de seguridad,socorro y convivencia ciudadana entregadas</t>
  </si>
  <si>
    <t>Entregar 20 vehículos a los organismos de seguridad, socorroy convivenci ciudadana.</t>
  </si>
  <si>
    <t>Garantizar el Combustible de los vehículos de Distriseguridad en labores misionales y coadyuvar a los organismos de seguridad y socorro del Distrito</t>
  </si>
  <si>
    <t>Seléccion abreviada - acuerdo marco</t>
  </si>
  <si>
    <t>Adquisición de Vehículos para garantizar la seguridad y convivencia ciudadana en el Distrito</t>
  </si>
  <si>
    <t>Tienda Virtual</t>
  </si>
  <si>
    <t>Rendimientos Financieros (Acuerdo 066 de 2021 Distriseguridad)</t>
  </si>
  <si>
    <t>Número de casos decomportamientos que ponenen riesgo la vida e integridad reducidos.</t>
  </si>
  <si>
    <t>1593
Fuente Policía Metropolitana</t>
  </si>
  <si>
    <t>Disminuir a 1195 el número de casos de comportamientos que ponenen riesgo la vida e integridad enel Distrito de Cartagena</t>
  </si>
  <si>
    <t>VIGILANCIA DE LAS PLAYAS DEL DISTRITO DE CARTAGENAA</t>
  </si>
  <si>
    <t>Número de Garitas adicionales de Salvavidas Instaladas</t>
  </si>
  <si>
    <t xml:space="preserve">Instalar 5 garitas en las playas Adicionales para salvavidas </t>
  </si>
  <si>
    <t>IMPLEMENTACIÓN DEL PROGRAMA VIGILANCIA DE LAS PLAYAS DEL DISTRITO DE  CARTAGENA DE INDIAS</t>
  </si>
  <si>
    <t>INCREMENTAR LA CAPACIDAD DE RESPUESTA DE LOS ORGANISMOS QUE SE ENCARGAN DE LA VIGILANCIA Y LA SEGURIDAD DE LAS PLAYAS EN EL DISTRITO DE CARTAGENA</t>
  </si>
  <si>
    <t>Realizar la Construcción, sostenimiento y mantenimiento preventivo y correctivo de la infraestructura y señalización en playas del distrito de Cartagena</t>
  </si>
  <si>
    <t>Telefonía Básica Conmutada</t>
  </si>
  <si>
    <t>2.3.4501.1000.2021130010179</t>
  </si>
  <si>
    <t>Número de metros lineales de playas en el Distrito de Cartagena señalizados</t>
  </si>
  <si>
    <t>Señalizar 1000 metros lineales de playas en el Distrito de Cartagena</t>
  </si>
  <si>
    <t>Adquisición de seguros de los activos de Distriseguridad</t>
  </si>
  <si>
    <t>abril</t>
  </si>
  <si>
    <t>Selección Abreviada - Menor Cuantía</t>
  </si>
  <si>
    <t>Convenir el Apoyo a la gestión del Programa seguridad de Playas</t>
  </si>
  <si>
    <t>Número de Avisos de prevención para las playas de Cartagena Instalados</t>
  </si>
  <si>
    <t>Colocar 20 avisos de Información y prevención para las playas de Cartagena</t>
  </si>
  <si>
    <t>Realizar el sostenimiento y reinversión en el Sub - proyecto playa azul la boquilla.</t>
  </si>
  <si>
    <t>Contratación Directa</t>
  </si>
  <si>
    <t>Realizar la Compensación de recaudo del convenio telefonía básica conmutada</t>
  </si>
  <si>
    <t>Convenio Marco en ejecución</t>
  </si>
  <si>
    <t>Vigencias anteriores</t>
  </si>
  <si>
    <t>CONVIVENCIA PARA LA SEGURIDAD</t>
  </si>
  <si>
    <t>Número de Personas formadas en Normas de conducta y Convivencia Ciudadana</t>
  </si>
  <si>
    <t>Divulgar a 20000 personas las normas de conducta y convivencia ciudadana en Cartagena.</t>
  </si>
  <si>
    <t>CONSTRUCCIÓN DE CONVIVENCIA PARA LA SEGURIDAD EN CARTAGENA DE INDIAS</t>
  </si>
  <si>
    <t>AUMENTAR LOS NIVELES DE FORMACIÓN EN TEMAS DE CULTURA CIUDADANA Y LEGALIDAD EN EL DISTRITO DE CARTAGENA.</t>
  </si>
  <si>
    <t>Realizar la adquisición y Suministro de elementos inherentes a la aplicación del proyecto Construcción de convivencia para la seguridad en Cartagena de Indias</t>
  </si>
  <si>
    <t>Ingresos Corrientes de Libre Destinación</t>
  </si>
  <si>
    <t>CONSTRUCCIÓN DE CONVIVENCIA PARA LA SEGURIDAD EN CARTAGENA DE INDIAS CARTAGENA DE INDIAS</t>
  </si>
  <si>
    <t>2.3.4501.1000.2021130010176</t>
  </si>
  <si>
    <t>Número de Habitantes de Cartagena Formados como gestores de convivencia</t>
  </si>
  <si>
    <t>Formar a dos mil (2000) habitantes de Cartagena como gestores de convivencia ciudadana</t>
  </si>
  <si>
    <t>Realizar contratación del Apoyo la gestión del proyecto Construcción de Convivencia para la Seguridad en  Cartagena de Indias</t>
  </si>
  <si>
    <t>Contaración Directa OPS</t>
  </si>
  <si>
    <t>NA</t>
  </si>
  <si>
    <t>ELABORACIÓN, SEGUIMIENTO Y EVALUACIÓN DE LAS ACTIVIDADES PLANTEADAS PARA LA VIGENCIA 2022 EN EL PLAN INSTITUCIONAL DE ARCHIVOS DE LA ENTIDAD ­PINAR</t>
  </si>
  <si>
    <t>ARTICULAR LOS PLANES DEL DECRETO 612 DE 2018</t>
  </si>
  <si>
    <t>Elaborar, ejecutar y hacer seguimiento de las actividades del programa 2022 del Plan Institucional de Archivos de la Entidad ­PINAR</t>
  </si>
  <si>
    <r>
      <rPr>
        <b/>
        <sz val="11"/>
        <rFont val="Calibri"/>
        <family val="2"/>
      </rPr>
      <t>Remberto Viaña González</t>
    </r>
    <r>
      <rPr>
        <sz val="11"/>
        <rFont val="Calibri"/>
        <family val="2"/>
      </rPr>
      <t xml:space="preserve">
DAF
</t>
    </r>
    <r>
      <rPr>
        <b/>
        <sz val="11"/>
        <rFont val="Calibri"/>
        <family val="2"/>
      </rPr>
      <t>Oswaldo Meza Chica</t>
    </r>
    <r>
      <rPr>
        <sz val="11"/>
        <rFont val="Calibri"/>
        <family val="2"/>
      </rPr>
      <t xml:space="preserve">
Auxiliar Administrativo</t>
    </r>
  </si>
  <si>
    <t>GASTOS DE FUNCIONAMIENTO</t>
  </si>
  <si>
    <t>SERVICIOS PARA LA COMUNIDAD SOCIALES Y PERSONALES</t>
  </si>
  <si>
    <t>2.1.2.02.02.009-0042</t>
  </si>
  <si>
    <t>ELABORACIÓN, SEGUIMIENTO Y EVALUACIÓN DE LAS ACTIVIDADES PLANTEADAS PARA LA VIGENCIA 2022 EN EL PLAN ANUAL DE ADQUISICIONES</t>
  </si>
  <si>
    <t>Elaborar, ejecutar y hacer seguimiento de las actividades del programa 2022 del Plan Anual de Adquisiciones</t>
  </si>
  <si>
    <t>ELABORACIÓN, SEGUIMIENTO Y EVALUACIÓN DE LAS ACTIVIDADES PLANTEADAS PARA LA VIGENCIA 2022 EN EL PLAN ANUAL DE VACANTES</t>
  </si>
  <si>
    <t>Elaborar, ejecutar y hacer seguimiento de las actividades del programa 2022 del Plan Anual de Vacantes</t>
  </si>
  <si>
    <r>
      <rPr>
        <b/>
        <sz val="11"/>
        <rFont val="Calibri"/>
        <family val="2"/>
      </rPr>
      <t>Remberto Viaña González</t>
    </r>
    <r>
      <rPr>
        <sz val="11"/>
        <rFont val="Calibri"/>
        <family val="2"/>
      </rPr>
      <t xml:space="preserve">
DAF
</t>
    </r>
    <r>
      <rPr>
        <b/>
        <sz val="11"/>
        <rFont val="Calibri"/>
        <family val="2"/>
      </rPr>
      <t>Edgardo Diaz Montes</t>
    </r>
    <r>
      <rPr>
        <sz val="11"/>
        <rFont val="Calibri"/>
        <family val="2"/>
      </rPr>
      <t xml:space="preserve">
PRHyF</t>
    </r>
  </si>
  <si>
    <t>ELABORACIÓN, SEGUIMIENTO Y EVALUACIÓN DE LAS ACTIVIDADES PLANTEADAS PARA LA VIGENCIA 2022 EN EL PLAN DE PREVISIÓN DE RECURSOS HUMANOS</t>
  </si>
  <si>
    <t>Elaborar, ejecutar y hacer seguimiento de las actividades del programa 2022 del Plan de Previsión de Recursos Humanos</t>
  </si>
  <si>
    <r>
      <rPr>
        <b/>
        <sz val="11"/>
        <rFont val="Calibri"/>
        <family val="2"/>
      </rPr>
      <t>Remberto Viaña González</t>
    </r>
    <r>
      <rPr>
        <sz val="11"/>
        <rFont val="Calibri"/>
        <family val="2"/>
      </rPr>
      <t xml:space="preserve">
DAF
</t>
    </r>
    <r>
      <rPr>
        <b/>
        <sz val="11"/>
        <rFont val="Calibri"/>
        <family val="2"/>
      </rPr>
      <t>Edgardo Diaz Montes</t>
    </r>
    <r>
      <rPr>
        <sz val="11"/>
        <rFont val="Calibri"/>
        <family val="2"/>
      </rPr>
      <t xml:space="preserve">
PRHyF</t>
    </r>
  </si>
  <si>
    <t>ELABORACIÓN, SEGUIMIENTO Y EVALUACIÓN DE LAS ACTIVIDADES PLANTEADAS PARA LA VIGENCIA 2022 EN EL PLAN ESTRATÉGICO DE TALENTO HUMANO</t>
  </si>
  <si>
    <t>Elaborar, ejecutar y hacer seguimiento de las actividades del programa 2022 del Plan Estratégico de Talento Humano</t>
  </si>
  <si>
    <r>
      <rPr>
        <b/>
        <sz val="11"/>
        <rFont val="Calibri"/>
        <family val="2"/>
      </rPr>
      <t>Remberto Viaña González</t>
    </r>
    <r>
      <rPr>
        <sz val="11"/>
        <rFont val="Calibri"/>
        <family val="2"/>
      </rPr>
      <t xml:space="preserve">
DAF
</t>
    </r>
    <r>
      <rPr>
        <b/>
        <sz val="11"/>
        <rFont val="Calibri"/>
        <family val="2"/>
      </rPr>
      <t>Edgardo Diaz Montes</t>
    </r>
    <r>
      <rPr>
        <sz val="11"/>
        <rFont val="Calibri"/>
        <family val="2"/>
      </rPr>
      <t xml:space="preserve">
PRHyF</t>
    </r>
  </si>
  <si>
    <t>ELABORACIÓN, SEGUIMIENTO Y EVALUACIÓN DE LAS ACTIVIDADES PLANTEADAS PARA LA VIGENCIA 2022 EN EL PLAN INSTITUCIONAL DE CAPACITACIÓN</t>
  </si>
  <si>
    <t>Elaborar, ejecutar y hacer seguimiento de las actividades del programa 2022 del Plan Institucional de Capacitación</t>
  </si>
  <si>
    <r>
      <rPr>
        <b/>
        <sz val="11"/>
        <rFont val="Calibri"/>
        <family val="2"/>
      </rPr>
      <t>Remberto Viaña González</t>
    </r>
    <r>
      <rPr>
        <sz val="11"/>
        <rFont val="Calibri"/>
        <family val="2"/>
      </rPr>
      <t xml:space="preserve">
DAF
</t>
    </r>
    <r>
      <rPr>
        <b/>
        <sz val="11"/>
        <rFont val="Calibri"/>
        <family val="2"/>
      </rPr>
      <t>Edgardo Diaz Montes</t>
    </r>
    <r>
      <rPr>
        <sz val="11"/>
        <rFont val="Calibri"/>
        <family val="2"/>
      </rPr>
      <t xml:space="preserve">
PRHyF</t>
    </r>
  </si>
  <si>
    <t>ELABORACIÓN, SEGUIMIENTO Y EVALUACIÓN DE LAS ACTIVIDADES PLANTEADAS PARA LA VIGENCIA 2022 EN EL PLAN DE INCENTIVOS INSTITUCIONALES</t>
  </si>
  <si>
    <t>Elaborar, ejecutar y hacer seguimiento de las actividades del programa 2022 del Plan de Incentivos Institucionales</t>
  </si>
  <si>
    <r>
      <rPr>
        <b/>
        <sz val="11"/>
        <rFont val="Calibri"/>
        <family val="2"/>
      </rPr>
      <t>Remberto Viaña González</t>
    </r>
    <r>
      <rPr>
        <sz val="11"/>
        <rFont val="Calibri"/>
        <family val="2"/>
      </rPr>
      <t xml:space="preserve">
DAF
</t>
    </r>
    <r>
      <rPr>
        <b/>
        <sz val="11"/>
        <rFont val="Calibri"/>
        <family val="2"/>
      </rPr>
      <t>Edgardo Diaz Montes</t>
    </r>
    <r>
      <rPr>
        <sz val="11"/>
        <rFont val="Calibri"/>
        <family val="2"/>
      </rPr>
      <t xml:space="preserve">
PRHyF</t>
    </r>
  </si>
  <si>
    <t>ELABORACIÓN, SEGUIMIENTO Y EVALUACIÓN DE LAS ACTIVIDADES PLANTEADAS PARA LA VIGENCIA 2022 EN EL PLAN DE TRABAJO ANUAL EN SEGURIDAD Y SALUD EN EL TRABAJO</t>
  </si>
  <si>
    <t>Elaborar, ejecutar y hacer seguimiento de las actividades del programa 2022 del Plan de Trabajo Anual en Seguridad y Salud en el Trabajo</t>
  </si>
  <si>
    <r>
      <rPr>
        <b/>
        <sz val="11"/>
        <rFont val="Calibri"/>
        <family val="2"/>
      </rPr>
      <t>Remberto Viaña González</t>
    </r>
    <r>
      <rPr>
        <sz val="11"/>
        <rFont val="Calibri"/>
        <family val="2"/>
      </rPr>
      <t xml:space="preserve">
DAF
</t>
    </r>
    <r>
      <rPr>
        <b/>
        <sz val="11"/>
        <rFont val="Calibri"/>
        <family val="2"/>
      </rPr>
      <t>Edgardo Diaz Montes</t>
    </r>
    <r>
      <rPr>
        <sz val="11"/>
        <rFont val="Calibri"/>
        <family val="2"/>
      </rPr>
      <t xml:space="preserve">
PRHyF</t>
    </r>
  </si>
  <si>
    <t>ELABORACIÓN, SEGUIMIENTO Y EVALUACIÓN DE LAS ACTIVIDADES PLANTEADAS PARA LA VIGENCIA 2022 EN EL PLAN ANTICORRUPCIÓN Y DE ATENCIÓN AL CIUDADANO</t>
  </si>
  <si>
    <t>Elaborar, ejecutar y hacer seguimiento de las actividades del programa 2022 del Plan Anticorrupción y de Atención al Ciudadano</t>
  </si>
  <si>
    <t>ELABORACIÓN, SEGUIMIENTO Y EVALUACIÓN DE LAS ACTIVIDADES PLANTEADAS PARA LA VIGENCIA 2022 EN EL PLAN ESTRATÉGICO DE TECNOLOGÍAS DE LA INFORMACIÓN Y LAS COMUNICACIONES ­ PETI</t>
  </si>
  <si>
    <t>Elaborar, ejecutar y hacer seguimiento de las actividades del programa 2022 del Plan Estratégico de Tecnologías de la Información y las Comunicaciones ­ PETI</t>
  </si>
  <si>
    <t>ELABORACIÓN, SEGUIMIENTO Y EVALUACIÓN DE LAS ACTIVIDADES PLANTEADAS PARA LA VIGENCIA 2022 EN EL PLAN DE TRATAMIENTO DE RIESGOS DE SEGURIDAD Y PRIVACIDAD DE LA INFORMACIÓN</t>
  </si>
  <si>
    <t>Elaborar, ejecutar y hacer seguimiento de las actividades del programa 2022 del Plan de Tratamiento de Riesgos de Seguridad y Privacidad de la Información</t>
  </si>
  <si>
    <t>ELABORACIÓN, SEGUIMIENTO Y EVALUACIÓN DE LAS ACTIVIDADES PLANTEADAS PARA LA VIGENCIA 2022 EN EL PLAN DE SEGURIDAD Y PRIVACIDAD DE LA INFORMACIÓN</t>
  </si>
  <si>
    <t>Elaborar, ejecutar y hacer seguimiento de las actividades del programa 2022 del Plan de Seguridad y Privacidad de la Información</t>
  </si>
  <si>
    <t>REPORTE META PRODUCTO
EJECUTADO DE ABRIL 1 A JUNIO 30 DE2022</t>
  </si>
  <si>
    <t>Contratar los servicios de Optimización, Modernización de la línea 123, y el Mantenimiento de las alarmas comunitarias que incluya el suministro de partes, elementos Piezas y Equipos.</t>
  </si>
  <si>
    <t>Contratar la implementación del Sistema de Alarmas Comunitarias Dentro del proyecto Implementación y Sostenimiento de las Herramientas Tecnológicas para Seguridad y Socorro en Cartagena de Indias con BPIN: 2021130010180</t>
  </si>
  <si>
    <t>Prestación de servicios Profesionales y de apoyo a la Gestión necesario debido a que se pretende Mejorar las condiciones de seguridad física en las playas del Distrito EN EL MARCO DEL PROYECTO IMPLEMENTACIÓN DEL PROGRAMA VIGILANCIA DE LAS PLAYAS DEL DISTRITO DE CARTAGENA DE INDIAS, con código BPIN “2021130010279”</t>
  </si>
  <si>
    <t>REPORTE META PRODUCTO
EJECUTADO DE JULIO 1 A SEPTIEMBRE 30 DE 2022</t>
  </si>
  <si>
    <t>Luis Enrique Roa Merchán
Director General
Enver Díaz Escandón 
Director Operativo</t>
  </si>
  <si>
    <t>Luis Enrique Roa Merchán
Director General
Remberto Viaña González
DAF</t>
  </si>
  <si>
    <t>Luis Enrique Roa Merchán
Director General
Enrique Brieva Jurado
PUEP</t>
  </si>
  <si>
    <t>Dirección general y Dirección Operativa de Distriseguridad</t>
  </si>
  <si>
    <t>REPORTE ACTIVIDAD DE PROYECTO
EJECUTADO DE ABRIL 1 A JUNIO 3O DE2022</t>
  </si>
  <si>
    <t>REPORTE ACTIVIDAD DE PROYECTO
EJECUTADO DE JULIO 1 A SEPTIEMBRE 30 DE 2022</t>
  </si>
  <si>
    <t>Contratar la implementación del Sistema ENTORNOS ESCOLARES SEGUROS Dentro del proyecto Implementación y Sostenimiento de las Herramientas Tecnológicas para Seguridad y Socorro en Cartagena de Indias con BPIN: 2021130010180</t>
  </si>
  <si>
    <t>Octubre</t>
  </si>
  <si>
    <t>Excedentes Distriseguridad Decreto Incorporación 1366</t>
  </si>
  <si>
    <t>OCTUBRE</t>
  </si>
  <si>
    <t>Recursos del Balance Destinación específica por acto administrativo RF ICLD</t>
  </si>
  <si>
    <t>Menor Cuantía</t>
  </si>
  <si>
    <t xml:space="preserve">Se ejecutó prorroga y adición en vigencias futuras de contrato de vigencia 2021 y se Contrató hasta el 31 de Diciembre en el mes de Julio de 2022 </t>
  </si>
  <si>
    <t>RB libre destinación Decreto Incorporación 1366</t>
  </si>
  <si>
    <t>RB IPU (1%) Decreto Incorporación 1366</t>
  </si>
  <si>
    <t>RB Dividendos sociedad portuaria Decreto Incorporación 1366</t>
  </si>
  <si>
    <t>Convenir el Apoyo a la gestión del Programa Optimización de la infraestructura y movilidad de los organismos de seguridad y socorro</t>
  </si>
  <si>
    <t xml:space="preserve">Garantizar el pago de los derechos de tránsito de los vehículos de Distrseguridad en el marco del proyecto Fortalecimiento Logístico Para La Seguridad, Convivencia, Justicia Y Socorro En Cartagena De Indias con BPIN 2021130010192 </t>
  </si>
  <si>
    <t>Septiembre</t>
  </si>
  <si>
    <t>Se fortaleció mediante la compra en la tienda virtual de Vehículos tipo Motocicletas Para la Policía Metropolitana de Cartagena y el INPEC mediante órdenes de Compra: OC 89087; 89086; 93206; 93208 y 94141 un total de 20 Vehículos cumpliendo así la meta del Plan de Desarrollo en un 100%</t>
  </si>
  <si>
    <t>Telefonía Básica C.</t>
  </si>
  <si>
    <t>RB Rendimientos Financieros de Distriseguridad Decreto Incorporación 1366</t>
  </si>
  <si>
    <t>RB Delineación Urbana (10%) Decreto Incorporación 1366</t>
  </si>
  <si>
    <t>Abril - Octubre</t>
  </si>
  <si>
    <t>ICDE DISTRISEGURIDAD 1% IPU</t>
  </si>
  <si>
    <t>ICDE DISTRISEGURIDAD 10% DELINEACIÓN URBANA</t>
  </si>
  <si>
    <t>REPORTE META PRODUCTO
EJECUTADO DE OCTUBRE 1 A DICIEMBRE 31 DE 2022</t>
  </si>
  <si>
    <t>Contratar El Mantenimiento Preventivo Y Correctivo Del Sistema CCTV Ciudadano Como Componente Del Sistema SIES Cartagena, En El Marco Del Proyecto “Implementación Y Sostenimiento De Herramientas Tecnológicas Para Seguridad Y Socorro”, Con Código Bpin 2021130010180”</t>
  </si>
  <si>
    <t>REPORTE ACTIVIDAD DE PROYECTO
EJECUTADO DE OCTUBRE 1 A DICIEMBRE 31 DE 2022</t>
  </si>
  <si>
    <t>Se contratrató en el mes de Octubre de 2022 mediante contrato número DSCIE-004-2022, el cual se encuentra en ejecución en este momento porque quedó aprobado mediante acuerdo 104 de 2022 de Vigencias futuras, con lo que se cumpliría la actividad y la meta del Plan de Desarrollo en el Primer trimestre de 2023, el link de evidencia se encuentra en el consecutivo de contratos a corte 31 de Diciembre que se anexa como evidencia a este reporte.</t>
  </si>
  <si>
    <t>Se contratrató en el mes de Octubre de 2022 mediante contrato número DSCIE-006-2022, el cual se encuentra en ejecución en este momento porque quedó aprobado mediante acuerdo acuerdo 104 de 2022 de Vigencias futuras, con lo que se cumpliría la actividad y la meta del Plan de Desarrollo en el Primer trimestre de 2023, el link de evidencia se encuentra en el consecutivo de contratos a corte 31 de Diciembre que se anexa como evidencia a este reporte.</t>
  </si>
  <si>
    <t>Se contratrató en el mes de Octubre de 2022 mediante contrato número DSCIE-005-2022, el cual se encuentra en ejecución en este momento porque quedó aprobado mediante acuerdo acuerdo 104 de 2022 de Vigencias futuras, con lo que se cumpliría la actividad y la meta del Plan de Desarrollo en el Primer trimestre de 2023, el link de evidencia se encuentra en el consecutivo de contratos a corte 31 de Diciembre que se anexa como evidencia a este reporte.</t>
  </si>
  <si>
    <t>Se contratrató en el mes de Octubre de 2022 mediante contrato número DSCIE-007-2022, el cual se encuentra en ejecución en este momento porque quedó aprobado mediante acuerdo 104 de 2022 de Vigencias futuras, con lo que se cumpliría la actividad y la meta del Plan de Desarrollo en el Primer trimestre de 2023, el link de evidencia se encuentra en el consecutivo de contratos a corte 31 de Diciembre que se anexa como evidencia a este reporte.</t>
  </si>
  <si>
    <t>Ejecurtado física y presupuestalmente en un 100%</t>
  </si>
  <si>
    <t>Ejecutada la actividad en un 100%</t>
  </si>
  <si>
    <t>Ejecutado en un 100%</t>
  </si>
  <si>
    <t>Pago de servicios Públicos</t>
  </si>
  <si>
    <t>No ejecutado, se programó para el 2023</t>
  </si>
  <si>
    <t xml:space="preserve">Construcción de Infraestructura para seguridad y convivencia Ciudadana tipo CAI BLINDADO para los organismos de Seguridad y Convivencia Ciudadana en el marco del proyecto Fortalecimiento Logístico Para La Seguridad, Convivencia, Justicia Y Socorro En Cartagena De Indias con BPIN 2021130010192  </t>
  </si>
  <si>
    <t>Se contratrató CON OBJETO Gerencia Integral y coordinación de las intervenciones necesarias para ejecutar el Proyecto de Inversión FORTALECIMIENTO LOGÍSTICO PARA LA SEGURIDAD, CONVIVENCIA, JUSTICIA Y SOCORRO EN CARTAGENA DE INDIAS BPIN “2021130010192 en las actividades: Construcción de Infraestructura para seguridad y convivencia Ciudadana tipo CAI BLINDADO para los organismos de Seguridad y Convivencia Ciudadana en el mes de Octubre de 2022 mediante contrato número CIGI-002-2022, el cual se encuentra en ejecución en este momento porque quedó aprobado mediante acuerdo acuerdo 104 de 2022 de Vigencias futuras, con lo que se cumpliría la actividad y la meta del Plan de Desarrollo en el Primer trimestre de 2023, el link de evidencia se encuentra en el consecutivo de contratos a corte 31 de Diciembre que se anexa como evidencia a este reporte.</t>
  </si>
  <si>
    <t>Se efectuó contrato CO1.PCCNTR.4034377 de 2022. Gerencia Integral de los Proyectos de Inversión: “Fortalecimiento Logístico Para la Seguridad, Convivencia, Justicia y Socorro en Cartagena de Indias BPIN 2021130010192 e Implementación del programa Vigilancia de las Playas del Distrito de Cartagena de indias BPIN 2021130010279, respecto de las actividades: Construcción,  sostenimiento, mantenimiento preventivo y correctivo e interventoría de las obras de infraestructura y señalización en playas del distrito, en el mes de Septiembre de 2022 mediante contrato número CIGI-002-2022, el cual se encuentra en ejecución en este momento porque quedó aprobado mediante acuerdo acuerdo 104 de 2022 de Vigencias futuras, con lo que se cumpliría la actividad y la meta del Plan de Desarrollo en el Primer trimestre de 2023, el link de evidencia se encuentra en el consecutivo de contratos a corte 31 de Diciembre que se anexa como evidencia a este reporte.</t>
  </si>
  <si>
    <t>Se adquirieron de seguros obligatorios de accidente de tránsito (SOAT) para los vehículos de propiedad de Distriseguridad en labores misionales de la dirección opertiva ACUERDO MARCO DE PRECIOS - TVEC. Quedó pendiente la compra o adquisición de la Póliza o pólizas de los otros activos mes de Octubre</t>
  </si>
  <si>
    <t>Se ejecutó desde enero las subactividades que garantizan la permanencia del galardón Playa Azul La boquilla, Se garantiza al sostenimiento con personal de Mantenimiento Asesoría para la recertificación y pago de otros servicios de operaciones. 100%</t>
  </si>
  <si>
    <t>Ejecurado en un 100%</t>
  </si>
  <si>
    <t>No se alcanzó a ejecutar en esta vigencia, programado para 2023</t>
  </si>
  <si>
    <t xml:space="preserve"> Ejecución Programa 2022 del Plan Institucional de Archivos de la Entidad ­PINAR CUMPLIDO EN UN 100%</t>
  </si>
  <si>
    <t xml:space="preserve"> Ejecución actividades del 2022 del Plan Anual de Adquisiciones CUMPLIDO EN UN 100%</t>
  </si>
  <si>
    <t xml:space="preserve"> Ejecución Programa 2022 del Plan Anual de Vacantes CUMPLIDO EN UN 100%</t>
  </si>
  <si>
    <t xml:space="preserve"> Ejecución Programa 2022 del Plan de Previsión de Recursos Humanos CUMPLIDO EN UN 100%</t>
  </si>
  <si>
    <t xml:space="preserve"> Ejecución Programa 2022 del Plan Estratégico de Talento Humano CUMPLIDO EN UN 100%</t>
  </si>
  <si>
    <t xml:space="preserve"> Ejecución Programa 2022 del Plan Institucional de Capacitación CUMPLIDO EN UN 100% CUMPLIDO EN UN 100%</t>
  </si>
  <si>
    <t xml:space="preserve"> Ejecución Programa 2022 del Plan de Incentivos Institucionales CUMPLIDO EN UN 100% CUMPLIDO EN UN 100%</t>
  </si>
  <si>
    <t xml:space="preserve"> Ejecución Programa 2022 del Plan de Trabajo Anual en Seguridad y Salud en el Trabajo CUMPLIDO EN UN 100%</t>
  </si>
  <si>
    <t xml:space="preserve"> Ejecución Programa 2022 del Plan Anticorrupción y de Atención al Ciudadano CUMPLIDO EN UN 100%</t>
  </si>
  <si>
    <t xml:space="preserve"> Ejecución Programa 2022 del Plan Estratégico de Tecnologías de la Información y las Comunicaciones ­ PETI CUMPLIDO EN UN 100%</t>
  </si>
  <si>
    <t xml:space="preserve"> Ejecución Programa 2022 del Plan de Tratamiento de Riesgos de Seguridad y Privacidad de la Información CUMPLIDO EN UN 100%</t>
  </si>
  <si>
    <t xml:space="preserve"> Ejecución Programa 2022 del Plan de Seguridad y Privacidad de la Información CUMPLIDO EN UN 100%</t>
  </si>
  <si>
    <t>EJECUTADO METAS PRODUCTOS A DICIEMBRE 31 DE 2022</t>
  </si>
  <si>
    <t>AVANCE METAS PRODUCTOS  A DICIEMBRE 31 DE 2022</t>
  </si>
  <si>
    <t>AVANCE METAS PRODUCTOS AL CUATRIENIO</t>
  </si>
  <si>
    <t>REPORTE ACTIVIDAD DE PROYECTO
EJECUTADO DE ENERO 1 A DICIEMBRE 31 DE 2022</t>
  </si>
  <si>
    <t>AVANCES ACTIVIDADES EN LOS PROYECTOS  2022</t>
  </si>
  <si>
    <t>AVANCES DE ACTIVIDADES POR PROYECTOS A DICIEMBRE 31 DE 2022</t>
  </si>
  <si>
    <t>ASIGNACIÓN PRESUPUESTAL DEFINITIVA</t>
  </si>
  <si>
    <t>EJECUCIÓN PRESUPUESTA DICIEMBRE 31 DE 2022</t>
  </si>
  <si>
    <t>GIROS</t>
  </si>
  <si>
    <t>PORCENTAJE DE EJECUCCION SEGÚN GIROS</t>
  </si>
  <si>
    <t>FUENTE</t>
  </si>
  <si>
    <t xml:space="preserve">1.3.1.1.02-01 - EXCEDENTES DISTRISEGURIDAD -  </t>
  </si>
  <si>
    <t>1.2.2.0.00-051 - ICDE DISTRISEGURIDAD 1% IPU</t>
  </si>
  <si>
    <t>1.2.2.0.00-085 - ICDE DISTRISEGURIDAD 10% DELINEACION URBANA</t>
  </si>
  <si>
    <t>1.3.2.3.05-037 - OTROS RENDIMIENTOS FINANCIEROS ICLD</t>
  </si>
  <si>
    <t>1.3.2.3.05-084 - OTROS RENDIMIENTOS FINANCIEROS DISTRISEGURIDAD</t>
  </si>
  <si>
    <t>1.2.2.0.00-076 - ICDE IMPUESTO A LA TELEFONIA BASICA CONMUTADA</t>
  </si>
  <si>
    <t>1.3.3.2.00-93-083 RB  ICDE DISTRISEGURIDAD 10% DELINEACION URBANA</t>
  </si>
  <si>
    <t>1.3.3.2.00-95-051 RB ICDE DISTRISEGURIDAD 1% IPU</t>
  </si>
  <si>
    <t>1.3.3.2.00-95-083 RB  ICDE DISTRISEGURIDAD 10% DELINEACION URBANA</t>
  </si>
  <si>
    <t>1.3.3.4.21-95-084 - RB RENDIMIENTOS FINANCIEROS DISTRISEGURIDAD</t>
  </si>
  <si>
    <t>1.2.1.0.00-001 - ICLD</t>
  </si>
  <si>
    <t>AVANCE IMPLEMENTACIÓN Y SOSTENIMIENTO DE LAS HERRAMIENTAS TECNOLÓGICAS PARA LA SEGURIDAD Y SOCORRO</t>
  </si>
  <si>
    <t>AVANCE PROYECTO</t>
  </si>
  <si>
    <t>AVANCE OPTIMIZACIÓN DE LA INFRAESTRUCTURA Y MOVILIDAD DE LOS ORGANISMOS DE SEGURIDAD Y SOCORRO</t>
  </si>
  <si>
    <t>AVANCE VIGILANCIA DE LAS PLAYAS DEL DISTRITO DE CARTAGENA</t>
  </si>
  <si>
    <t>AVANCE CONVIVENCIA PARA LA SEGURIDAD</t>
  </si>
  <si>
    <t>AVANCE PLAN DE DESARROLLO DISTRISEGURIDAD  A 31 DE DICIEMBRE  DE 2022</t>
  </si>
  <si>
    <t>AVANCE PLAN DE ACCIÓN DISTRISEGURIDAD A  31 DE DICIEMBRE  DE 2022</t>
  </si>
  <si>
    <t>EJECUCIÓN PRESUPUESTAL DISTRISEGURIDAD A DICIEMBRE 31 DE 2022</t>
  </si>
  <si>
    <t>EJECUCCION  PRESUPUESTAL</t>
  </si>
  <si>
    <t>EJECUCCION PRESUPUESTAL</t>
  </si>
  <si>
    <t>ALCALDÍA DISTRITAL DE CARTAGENA DE INDIAS</t>
  </si>
  <si>
    <t xml:space="preserve">Código: </t>
  </si>
  <si>
    <t>MACROPROCESO:EVALUACIÓN Y CONTROL DE LA GESTIÓN PÚBLICA</t>
  </si>
  <si>
    <t xml:space="preserve">Versión: </t>
  </si>
  <si>
    <t>PROCESO: EVALUACIÓN INDEPENDIENTE</t>
  </si>
  <si>
    <t>Fecha:</t>
  </si>
  <si>
    <t>MATRIZ DE EVALUACIÓN PLAN DE ACCIÓN</t>
  </si>
  <si>
    <t xml:space="preserve">Páginas:  </t>
  </si>
  <si>
    <t>Información Plan de Acción</t>
  </si>
  <si>
    <t>Evaluación y seguimiento</t>
  </si>
  <si>
    <t>Pilar</t>
  </si>
  <si>
    <t>Linea estrategica</t>
  </si>
  <si>
    <t>Programa</t>
  </si>
  <si>
    <t>Meta producto</t>
  </si>
  <si>
    <t>Meta programada para 2022</t>
  </si>
  <si>
    <t>Avance meta producto 2022</t>
  </si>
  <si>
    <t>Avance meta producto 2022 (%)</t>
  </si>
  <si>
    <t>Avance meta producto en el cuatrienio (%)</t>
  </si>
  <si>
    <t>Proyecto</t>
  </si>
  <si>
    <t>Codigo BPIN</t>
  </si>
  <si>
    <t>Objetivo</t>
  </si>
  <si>
    <t>Actividades</t>
  </si>
  <si>
    <t>Fecha de inicio de la actividad</t>
  </si>
  <si>
    <t>Fecha final de la actividad</t>
  </si>
  <si>
    <t>Dias de duracion de la actividad</t>
  </si>
  <si>
    <t>Valor Absoluto de la Actividad (Valor Meta Programada)</t>
  </si>
  <si>
    <t>Porcentaje de Participación de la Actividad (%)</t>
  </si>
  <si>
    <t>Avance de las actividades (%)</t>
  </si>
  <si>
    <t>Evaluación Ejecución de Actividades</t>
  </si>
  <si>
    <t>Presupuesto Programa</t>
  </si>
  <si>
    <t>Presupuesto Proyecto</t>
  </si>
  <si>
    <t>Información de PREDIS</t>
  </si>
  <si>
    <t>Evaluación</t>
  </si>
  <si>
    <t>Análisis</t>
  </si>
  <si>
    <t>X</t>
  </si>
  <si>
    <t>Coherencia entre el proyecto y la meta producto del programa</t>
  </si>
  <si>
    <t>Actividades del proyecto</t>
  </si>
  <si>
    <t>Coherencia de Programacion de las Actividades con la Meta Producto</t>
  </si>
  <si>
    <t>Existe Evidencia en la Ejecución de la Actividad</t>
  </si>
  <si>
    <t>Las evidencias son Soportes de las Actividades</t>
  </si>
  <si>
    <t>Cumplió la Actividad con el Plazo</t>
  </si>
  <si>
    <t>Ejecución de la Actividad (%) Según Evidencias</t>
  </si>
  <si>
    <t>Ejecución del proyecto de acuerdo a la ejecución de actividades según Evidencias</t>
  </si>
  <si>
    <t>Ejecución de la meta producto  de acuerdo al avance del proyecto (%)</t>
  </si>
  <si>
    <t>Diferencia metas plan de acción / Evidencias (%)</t>
  </si>
  <si>
    <t>Rubro presupuestal</t>
  </si>
  <si>
    <t>Valor asignado según Predis</t>
  </si>
  <si>
    <t>% ejecutado</t>
  </si>
  <si>
    <t>Valor asignado según SUIFP</t>
  </si>
  <si>
    <t>Valor asignado según PREDIS</t>
  </si>
  <si>
    <t xml:space="preserve">Diferencia presupuestal entre PREDIS Y SUIFP por proyecto </t>
  </si>
  <si>
    <t>PREDIS 1 Trimestre 2022</t>
  </si>
  <si>
    <t>PREDIS 2 Trimestre 2022</t>
  </si>
  <si>
    <t>PREDIS 3 Trimestre 2022</t>
  </si>
  <si>
    <t>PREDIS 4 Trimestre 2022</t>
  </si>
  <si>
    <t>No</t>
  </si>
  <si>
    <t>Sustentar en caso negativo</t>
  </si>
  <si>
    <t>Proyecto según SUIFP</t>
  </si>
  <si>
    <t>Proyecto plan de acción</t>
  </si>
  <si>
    <t>Diferencia en la programacion de las actividades</t>
  </si>
  <si>
    <t>Definitivo ($)</t>
  </si>
  <si>
    <t>Comprometido ($)</t>
  </si>
  <si>
    <t>Girado ($)</t>
  </si>
  <si>
    <t>Eficiencia recursos de inversión (SI/NO)</t>
  </si>
  <si>
    <t>Diferencia entre la ejecución del proyecto (lo girado en %) y el presupuesto ejecutado del proyecto (el avnnce del proyecto)</t>
  </si>
  <si>
    <t>Otros rendimientos financieros Distriseguridad</t>
  </si>
  <si>
    <t>Como tal si fue contratado como lo muestarn los anexos, pero fue con recursos de incorporación y es sabido que las incoeporaciones se realizaron a pocos meses de acabarse el año, es por ello que se solicitó incluir la contratación en vigencvias futuras la cual quedó plastamada en el acuerdo 104 de vigencias futuras. Dicha actividad se encuentra aen ejecución y se espera culminación y entrega en el primer trimestre de 2023. Se entregarán 35 sistemas de alarmas al mismo número de frentes de seguridad en e Distrito y cada sistema contará con 4 cámaras de video vigilancia conectadas a la policía para un total de 140 cámaras adicionales.</t>
  </si>
  <si>
    <t>Como tal si fue contratado como lo muestarn los anexos, pero fue con recursos de incorporación y es sabido que las incoeporaciones se realizaron a pocos meses de acabarse el año, es por ello que se solicitó incluir la contratación en vigencvias futuras la cual quedó plastamada en el acuerdo 104 de vigencias futuras. Dicha actividad se encuentra aen ejecución y se espera culminación y entrega en el primer trimestre de 2023 Se entregarán 70 sistemas de alarmas para igualnúmero de colegios cada una de ellas viene compañada de 4 cámaras interconectadas con la policía para un total de 280 cámaras adicionales</t>
  </si>
  <si>
    <t>Se encuentra en ejecución y tiene un avance del 69%</t>
  </si>
  <si>
    <t>No se realizó debido a que en el transcurso de la vigencia 2022 se sumaron otas mejoras tyambién de prioridad las cuales excedian el monto inicial, Falta de Planeación desde el área operativa en cuanto a la proyección de la necesidad física y en recursos para la programación final en los planes institucionales y en su contratación y ejecución.</t>
  </si>
  <si>
    <t>Como tal si fue contratado como lo muestarn los anexos, pero fue con recursos de incorporación y es sabido que las incoeporaciones se realizaron a pocos meses de acabarse el año, es por ello que se solicitó incluir la contratación en vigencvias futuras la cual quedó plastamada en el acuerdo 104 de vigencias futuras. Dicha actividad se encuentra aen ejecución y se espera culminación y entrega en el primer trimestre de 2023, LOS CAI entregados serían CEBALLOS, San Francisco y Daniel Lemaitre</t>
  </si>
  <si>
    <t>Se declaró desierto el proceso</t>
  </si>
  <si>
    <t>Se está a la espera de una actualización de los manuales de conducta y convivencia ciudadana para la contratación de la actividad</t>
  </si>
  <si>
    <t>ICLD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</si>
</sst>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164" formatCode="_-&quot;$&quot;\ * #,##0.00_-;\-&quot;$&quot;\ * #,##0.00_-;_-&quot;$&quot;\ * &quot;-&quot;??_-;_-@_-"/>
    <numFmt numFmtId="165" formatCode="0;[Red]0"/>
    <numFmt numFmtId="166" formatCode="_-&quot;$&quot;\ * #,##0_-;\-&quot;$&quot;\ * #,##0_-;_-&quot;$&quot;\ * &quot;-&quot;_-;_-@"/>
    <numFmt numFmtId="167" formatCode="&quot;$&quot;\ #,##0.00"/>
    <numFmt numFmtId="168" formatCode="0.0%"/>
    <numFmt numFmtId="169" formatCode="&quot;$&quot;#,##0.00"/>
    <numFmt numFmtId="170" formatCode="_-&quot;$&quot;\ * #,##0_-;\-&quot;$&quot;\ * #,##0_-;_-&quot;$&quot;\ * &quot;-&quot;??_-;_-@_-"/>
  </numFmts>
  <fonts count="55" x14ac:knownFonts="1">
    <font>
      <sz val="11"/>
      <name val="Calibri"/>
    </font>
    <font>
      <sz val="11"/>
      <color theme="1"/>
      <name val="Calibri"/>
      <family val="2"/>
      <scheme val="minor"/>
    </font>
    <font>
      <sz val="10"/>
      <name val="Arial"/>
      <family val="2"/>
    </font>
    <font>
      <b/>
      <sz val="10"/>
      <name val="Arial"/>
      <family val="2"/>
    </font>
    <font>
      <sz val="11"/>
      <name val="Calibri"/>
      <family val="2"/>
    </font>
    <font>
      <b/>
      <sz val="10"/>
      <color rgb="FF0C0C0C"/>
      <name val="Arial"/>
      <family val="2"/>
    </font>
    <font>
      <b/>
      <sz val="10"/>
      <name val="Arial"/>
      <family val="2"/>
    </font>
    <font>
      <b/>
      <sz val="11"/>
      <name val="Calibri"/>
      <family val="2"/>
    </font>
    <font>
      <b/>
      <sz val="11"/>
      <color rgb="FF000000"/>
      <name val="Calibri"/>
      <family val="2"/>
    </font>
    <font>
      <b/>
      <sz val="18"/>
      <name val="Calibri"/>
      <family val="2"/>
    </font>
    <font>
      <b/>
      <sz val="12"/>
      <name val="Calibri"/>
      <family val="2"/>
    </font>
    <font>
      <sz val="14"/>
      <name val="Calibri"/>
      <family val="2"/>
    </font>
    <font>
      <sz val="16"/>
      <name val="Calibri"/>
      <family val="2"/>
    </font>
    <font>
      <sz val="12"/>
      <name val="Calibri"/>
      <family val="2"/>
    </font>
    <font>
      <b/>
      <sz val="14"/>
      <name val="Calibri"/>
      <family val="2"/>
    </font>
    <font>
      <sz val="11"/>
      <name val="Calibri"/>
      <family val="2"/>
    </font>
    <font>
      <sz val="18"/>
      <name val="Calibri"/>
      <family val="2"/>
    </font>
    <font>
      <sz val="12"/>
      <color rgb="FF000000"/>
      <name val="Calibri"/>
      <family val="2"/>
    </font>
    <font>
      <sz val="18"/>
      <name val="Arial"/>
      <family val="2"/>
    </font>
    <font>
      <sz val="11"/>
      <name val="Arial"/>
      <family val="2"/>
    </font>
    <font>
      <sz val="14"/>
      <name val="Calibri"/>
      <family val="2"/>
    </font>
    <font>
      <b/>
      <sz val="16"/>
      <name val="Calibri"/>
      <family val="2"/>
    </font>
    <font>
      <b/>
      <sz val="12"/>
      <name val="Arial"/>
      <family val="2"/>
    </font>
    <font>
      <sz val="12"/>
      <name val="Calibri"/>
      <family val="2"/>
    </font>
    <font>
      <sz val="8"/>
      <name val="Calibri"/>
      <family val="2"/>
    </font>
    <font>
      <b/>
      <sz val="11"/>
      <color indexed="81"/>
      <name val="Tahoma"/>
      <family val="2"/>
    </font>
    <font>
      <sz val="11"/>
      <color indexed="81"/>
      <name val="Tahoma"/>
      <family val="2"/>
    </font>
    <font>
      <b/>
      <sz val="14"/>
      <color indexed="81"/>
      <name val="Tahoma"/>
      <family val="2"/>
    </font>
    <font>
      <sz val="14"/>
      <color indexed="81"/>
      <name val="Tahoma"/>
      <family val="2"/>
    </font>
    <font>
      <sz val="9"/>
      <color indexed="81"/>
      <name val="Tahoma"/>
      <family val="2"/>
    </font>
    <font>
      <b/>
      <sz val="9"/>
      <color indexed="81"/>
      <name val="Tahoma"/>
      <family val="2"/>
    </font>
    <font>
      <sz val="11"/>
      <name val="Calibri"/>
      <family val="2"/>
    </font>
    <font>
      <sz val="11"/>
      <name val="Calibri"/>
      <family val="2"/>
    </font>
    <font>
      <sz val="10"/>
      <color rgb="FF0C0C0C"/>
      <name val="Arial"/>
      <family val="2"/>
    </font>
    <font>
      <sz val="12"/>
      <name val="Arial"/>
      <family val="2"/>
    </font>
    <font>
      <b/>
      <sz val="11"/>
      <color theme="1"/>
      <name val="Arial"/>
      <family val="2"/>
    </font>
    <font>
      <sz val="11"/>
      <color rgb="FFFF0000"/>
      <name val="Calibri"/>
      <family val="2"/>
    </font>
    <font>
      <b/>
      <sz val="11"/>
      <color theme="1"/>
      <name val="Calibri"/>
      <family val="2"/>
      <scheme val="minor"/>
    </font>
    <font>
      <sz val="11"/>
      <color theme="1"/>
      <name val="Arial"/>
      <family val="2"/>
    </font>
    <font>
      <b/>
      <sz val="10"/>
      <color theme="1"/>
      <name val="Arial"/>
      <family val="2"/>
    </font>
    <font>
      <sz val="10"/>
      <color theme="1"/>
      <name val="Arial"/>
      <family val="2"/>
    </font>
    <font>
      <b/>
      <sz val="10"/>
      <color rgb="FF000000"/>
      <name val="Arial"/>
      <family val="2"/>
    </font>
    <font>
      <sz val="10"/>
      <color theme="1"/>
      <name val="Calibri"/>
      <family val="2"/>
      <scheme val="minor"/>
    </font>
    <font>
      <b/>
      <sz val="18"/>
      <color theme="1" tint="4.9989318521683403E-2"/>
      <name val="Calibri"/>
      <family val="2"/>
    </font>
    <font>
      <sz val="16"/>
      <color theme="1"/>
      <name val="Calibri"/>
      <family val="2"/>
    </font>
    <font>
      <sz val="16"/>
      <name val="Arial"/>
      <family val="2"/>
    </font>
    <font>
      <b/>
      <sz val="18"/>
      <color theme="1"/>
      <name val="Arial"/>
      <family val="2"/>
    </font>
    <font>
      <sz val="16"/>
      <color theme="1"/>
      <name val="Calibri"/>
      <family val="2"/>
      <scheme val="minor"/>
    </font>
    <font>
      <sz val="10"/>
      <name val="Calibri"/>
      <family val="2"/>
    </font>
    <font>
      <b/>
      <sz val="18"/>
      <color theme="1"/>
      <name val="Calibri"/>
      <family val="2"/>
      <scheme val="minor"/>
    </font>
    <font>
      <b/>
      <sz val="16"/>
      <color rgb="FF000000"/>
      <name val="Calibri"/>
      <family val="2"/>
    </font>
    <font>
      <b/>
      <sz val="18"/>
      <name val="Arial"/>
      <family val="2"/>
    </font>
    <font>
      <b/>
      <sz val="18"/>
      <color rgb="FF0C0C0C"/>
      <name val="Arial"/>
      <family val="2"/>
    </font>
    <font>
      <sz val="11"/>
      <color rgb="FF0C0C0C"/>
      <name val="Calibri"/>
      <family val="2"/>
      <scheme val="minor"/>
    </font>
    <font>
      <sz val="11"/>
      <name val="Calibri"/>
      <family val="2"/>
      <scheme val="minor"/>
    </font>
  </fonts>
  <fills count="18">
    <fill>
      <patternFill patternType="none"/>
    </fill>
    <fill>
      <patternFill patternType="gray125"/>
    </fill>
    <fill>
      <patternFill patternType="solid">
        <fgColor rgb="FF9CC2E5"/>
        <bgColor rgb="FF9CC2E5"/>
      </patternFill>
    </fill>
    <fill>
      <patternFill patternType="solid">
        <fgColor rgb="FFFFFF00"/>
        <bgColor rgb="FFFFFF00"/>
      </patternFill>
    </fill>
    <fill>
      <patternFill patternType="solid">
        <fgColor rgb="FFA8D08D"/>
        <bgColor rgb="FFA8D08D"/>
      </patternFill>
    </fill>
    <fill>
      <patternFill patternType="solid">
        <fgColor rgb="FF92D05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rgb="FFFFFF00"/>
      </patternFill>
    </fill>
    <fill>
      <patternFill patternType="solid">
        <fgColor rgb="FFFF0000"/>
        <bgColor rgb="FFFFFF00"/>
      </patternFill>
    </fill>
    <fill>
      <patternFill patternType="solid">
        <fgColor rgb="FFFFC000"/>
        <bgColor rgb="FFFFFF00"/>
      </patternFill>
    </fill>
    <fill>
      <patternFill patternType="solid">
        <fgColor rgb="FFFFC00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00B0F0"/>
        <bgColor indexed="64"/>
      </patternFill>
    </fill>
  </fills>
  <borders count="4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7">
    <xf numFmtId="0" fontId="0" fillId="0" borderId="0"/>
    <xf numFmtId="164" fontId="32" fillId="0" borderId="0" applyFont="0" applyFill="0" applyBorder="0" applyAlignment="0" applyProtection="0"/>
    <xf numFmtId="9" fontId="32" fillId="0" borderId="0" applyFont="0" applyFill="0" applyBorder="0" applyAlignment="0" applyProtection="0"/>
    <xf numFmtId="0" fontId="1" fillId="0" borderId="1"/>
    <xf numFmtId="9" fontId="1" fillId="0" borderId="1" applyFont="0" applyFill="0" applyBorder="0" applyAlignment="0" applyProtection="0"/>
    <xf numFmtId="41" fontId="1" fillId="0" borderId="1" applyFont="0" applyFill="0" applyBorder="0" applyAlignment="0" applyProtection="0"/>
    <xf numFmtId="164" fontId="1" fillId="0" borderId="1" applyFont="0" applyFill="0" applyBorder="0" applyAlignment="0" applyProtection="0"/>
  </cellStyleXfs>
  <cellXfs count="628">
    <xf numFmtId="0" fontId="0" fillId="0" borderId="0" xfId="0"/>
    <xf numFmtId="0" fontId="0" fillId="0" borderId="0" xfId="0" applyAlignment="1">
      <alignment horizontal="center" vertical="center"/>
    </xf>
    <xf numFmtId="0" fontId="0" fillId="2" borderId="1" xfId="0" applyFill="1" applyBorder="1"/>
    <xf numFmtId="0" fontId="0" fillId="0" borderId="0" xfId="0" applyAlignment="1">
      <alignment wrapText="1"/>
    </xf>
    <xf numFmtId="0" fontId="0" fillId="0" borderId="0" xfId="0" applyAlignment="1">
      <alignment horizontal="center"/>
    </xf>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center"/>
    </xf>
    <xf numFmtId="0" fontId="2" fillId="0" borderId="1" xfId="0" applyFont="1" applyBorder="1" applyAlignment="1">
      <alignment vertical="center"/>
    </xf>
    <xf numFmtId="0" fontId="3"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5" fillId="0" borderId="2" xfId="0" applyFont="1" applyBorder="1" applyAlignment="1">
      <alignment horizontal="center" vertical="center" wrapText="1"/>
    </xf>
    <xf numFmtId="1" fontId="3"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165" fontId="3"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9" fontId="6" fillId="0" borderId="2" xfId="0" applyNumberFormat="1" applyFont="1" applyBorder="1" applyAlignment="1">
      <alignment horizontal="center" vertical="center" wrapText="1"/>
    </xf>
    <xf numFmtId="166" fontId="3" fillId="0" borderId="2" xfId="0" applyNumberFormat="1" applyFont="1" applyBorder="1" applyAlignment="1">
      <alignment horizontal="center" vertical="center" wrapText="1"/>
    </xf>
    <xf numFmtId="0" fontId="3" fillId="4" borderId="2" xfId="0" applyFont="1" applyFill="1" applyBorder="1" applyAlignment="1">
      <alignment horizontal="center" vertical="center" wrapText="1"/>
    </xf>
    <xf numFmtId="0" fontId="11" fillId="0" borderId="2"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wrapText="1"/>
    </xf>
    <xf numFmtId="0" fontId="13" fillId="0" borderId="2" xfId="0" applyFont="1" applyBorder="1" applyAlignment="1">
      <alignment vertical="center" wrapText="1"/>
    </xf>
    <xf numFmtId="9" fontId="0" fillId="0" borderId="2" xfId="0" applyNumberFormat="1" applyBorder="1" applyAlignment="1">
      <alignment horizontal="center" vertical="center"/>
    </xf>
    <xf numFmtId="0" fontId="11" fillId="0" borderId="2" xfId="0" applyFont="1"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xf numFmtId="0" fontId="7" fillId="0" borderId="2" xfId="0" applyFont="1" applyBorder="1" applyAlignment="1">
      <alignment horizontal="center" vertical="center" wrapText="1"/>
    </xf>
    <xf numFmtId="0" fontId="0" fillId="0" borderId="2" xfId="0" applyBorder="1" applyAlignment="1">
      <alignment horizontal="center" vertical="center"/>
    </xf>
    <xf numFmtId="0" fontId="9" fillId="0" borderId="2" xfId="0" applyFont="1" applyBorder="1" applyAlignment="1">
      <alignment horizontal="center" vertical="center"/>
    </xf>
    <xf numFmtId="0" fontId="9" fillId="3" borderId="2" xfId="0" applyFont="1" applyFill="1" applyBorder="1" applyAlignment="1">
      <alignment horizontal="center" vertical="center"/>
    </xf>
    <xf numFmtId="0" fontId="0" fillId="0" borderId="2" xfId="0" applyBorder="1" applyAlignment="1">
      <alignment horizontal="center"/>
    </xf>
    <xf numFmtId="0" fontId="0" fillId="2" borderId="2" xfId="0" applyFill="1" applyBorder="1" applyAlignment="1">
      <alignment vertical="center" wrapText="1"/>
    </xf>
    <xf numFmtId="0" fontId="12" fillId="0" borderId="2" xfId="0" applyFont="1" applyBorder="1" applyAlignment="1">
      <alignment horizontal="center" vertical="center"/>
    </xf>
    <xf numFmtId="9" fontId="11" fillId="0" borderId="2" xfId="0" applyNumberFormat="1" applyFont="1" applyBorder="1" applyAlignment="1">
      <alignment horizontal="center" vertical="center"/>
    </xf>
    <xf numFmtId="1" fontId="0" fillId="0" borderId="2" xfId="0" applyNumberFormat="1" applyBorder="1" applyAlignment="1">
      <alignment horizontal="center" vertical="center" wrapText="1"/>
    </xf>
    <xf numFmtId="167" fontId="11" fillId="0" borderId="2" xfId="0" applyNumberFormat="1" applyFont="1" applyBorder="1" applyAlignment="1">
      <alignment vertical="center"/>
    </xf>
    <xf numFmtId="0" fontId="0" fillId="2" borderId="2" xfId="0" applyFill="1" applyBorder="1" applyAlignment="1">
      <alignment wrapText="1"/>
    </xf>
    <xf numFmtId="0" fontId="7" fillId="0" borderId="2" xfId="0" applyFont="1" applyBorder="1" applyAlignment="1">
      <alignment horizontal="center" vertical="center"/>
    </xf>
    <xf numFmtId="0" fontId="0" fillId="0" borderId="2" xfId="0" applyBorder="1" applyAlignment="1">
      <alignment horizontal="center" wrapText="1"/>
    </xf>
    <xf numFmtId="0" fontId="16" fillId="0" borderId="2" xfId="0" applyFont="1" applyBorder="1" applyAlignment="1">
      <alignment horizontal="center" vertical="center"/>
    </xf>
    <xf numFmtId="0" fontId="16" fillId="3" borderId="2" xfId="0" applyFont="1" applyFill="1" applyBorder="1" applyAlignment="1">
      <alignment horizontal="center" vertical="center"/>
    </xf>
    <xf numFmtId="0" fontId="17" fillId="0" borderId="2" xfId="0" applyFont="1" applyBorder="1" applyAlignment="1">
      <alignment vertical="center" wrapText="1"/>
    </xf>
    <xf numFmtId="1" fontId="18" fillId="0" borderId="2" xfId="0" applyNumberFormat="1" applyFont="1" applyBorder="1" applyAlignment="1">
      <alignment horizontal="center" vertical="center" wrapText="1"/>
    </xf>
    <xf numFmtId="165" fontId="19" fillId="0" borderId="2" xfId="0" applyNumberFormat="1" applyFont="1" applyBorder="1" applyAlignment="1">
      <alignment horizontal="center" vertical="center" wrapText="1"/>
    </xf>
    <xf numFmtId="0" fontId="20" fillId="2" borderId="2" xfId="0" applyFont="1" applyFill="1" applyBorder="1" applyAlignment="1">
      <alignment horizontal="left" vertical="center" wrapText="1"/>
    </xf>
    <xf numFmtId="168" fontId="12" fillId="0" borderId="2" xfId="0" applyNumberFormat="1" applyFont="1" applyBorder="1" applyAlignment="1">
      <alignment horizontal="center" vertical="center"/>
    </xf>
    <xf numFmtId="167" fontId="13" fillId="5" borderId="2" xfId="0" applyNumberFormat="1" applyFont="1" applyFill="1" applyBorder="1" applyAlignment="1">
      <alignment vertical="center"/>
    </xf>
    <xf numFmtId="1" fontId="10" fillId="3" borderId="2" xfId="0" applyNumberFormat="1" applyFont="1" applyFill="1" applyBorder="1" applyAlignment="1">
      <alignment horizontal="center" vertical="center"/>
    </xf>
    <xf numFmtId="1" fontId="11" fillId="3" borderId="2" xfId="0" applyNumberFormat="1" applyFont="1" applyFill="1" applyBorder="1" applyAlignment="1">
      <alignment horizontal="center" vertical="center"/>
    </xf>
    <xf numFmtId="1" fontId="0" fillId="3" borderId="2" xfId="0" applyNumberFormat="1" applyFill="1" applyBorder="1" applyAlignment="1">
      <alignment horizontal="center" vertical="center"/>
    </xf>
    <xf numFmtId="1" fontId="21" fillId="3" borderId="2" xfId="0" applyNumberFormat="1" applyFont="1" applyFill="1" applyBorder="1" applyAlignment="1">
      <alignment horizontal="center" vertical="center"/>
    </xf>
    <xf numFmtId="9" fontId="0" fillId="5" borderId="2" xfId="0" applyNumberFormat="1" applyFill="1" applyBorder="1" applyAlignment="1">
      <alignment horizontal="center" vertical="center"/>
    </xf>
    <xf numFmtId="167" fontId="13" fillId="5" borderId="2" xfId="0" applyNumberFormat="1" applyFont="1" applyFill="1" applyBorder="1" applyAlignment="1">
      <alignment vertical="center" wrapText="1"/>
    </xf>
    <xf numFmtId="167" fontId="13" fillId="5" borderId="2" xfId="0" applyNumberFormat="1" applyFont="1" applyFill="1" applyBorder="1" applyAlignment="1">
      <alignment horizontal="right" vertical="center"/>
    </xf>
    <xf numFmtId="167" fontId="0" fillId="5" borderId="2" xfId="0" applyNumberFormat="1" applyFill="1" applyBorder="1" applyAlignment="1">
      <alignment vertical="center"/>
    </xf>
    <xf numFmtId="0" fontId="0" fillId="5" borderId="2" xfId="0" applyFill="1" applyBorder="1" applyAlignment="1">
      <alignment vertical="center" wrapText="1"/>
    </xf>
    <xf numFmtId="167" fontId="11" fillId="5" borderId="2" xfId="0" applyNumberFormat="1" applyFont="1" applyFill="1" applyBorder="1" applyAlignment="1">
      <alignment vertical="center"/>
    </xf>
    <xf numFmtId="0" fontId="31" fillId="0" borderId="2" xfId="0" applyFont="1" applyBorder="1" applyAlignment="1">
      <alignment horizontal="center" vertical="center"/>
    </xf>
    <xf numFmtId="0" fontId="0" fillId="5" borderId="2" xfId="0" applyFill="1" applyBorder="1" applyAlignment="1">
      <alignment horizontal="center" vertical="center" wrapText="1"/>
    </xf>
    <xf numFmtId="12" fontId="0" fillId="0" borderId="0" xfId="0" applyNumberFormat="1"/>
    <xf numFmtId="0" fontId="0" fillId="0" borderId="3" xfId="0" applyBorder="1" applyAlignment="1">
      <alignment horizontal="center" vertical="center" wrapText="1"/>
    </xf>
    <xf numFmtId="1" fontId="10" fillId="3" borderId="3" xfId="0" applyNumberFormat="1" applyFont="1" applyFill="1" applyBorder="1" applyAlignment="1">
      <alignment horizontal="center" vertical="center"/>
    </xf>
    <xf numFmtId="1" fontId="10" fillId="3" borderId="4" xfId="0" applyNumberFormat="1" applyFont="1" applyFill="1" applyBorder="1" applyAlignment="1">
      <alignment horizontal="center" vertical="center"/>
    </xf>
    <xf numFmtId="0" fontId="7" fillId="0" borderId="3" xfId="0" applyFont="1" applyBorder="1" applyAlignment="1">
      <alignment horizontal="center" vertical="center" wrapText="1"/>
    </xf>
    <xf numFmtId="0" fontId="9" fillId="3" borderId="3" xfId="0" applyFont="1" applyFill="1" applyBorder="1" applyAlignment="1">
      <alignment horizontal="center" vertical="center"/>
    </xf>
    <xf numFmtId="0" fontId="4" fillId="0" borderId="2" xfId="0" applyFont="1" applyBorder="1"/>
    <xf numFmtId="0" fontId="0" fillId="2" borderId="2" xfId="0" applyFill="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11" fillId="0" borderId="2" xfId="0" applyFont="1" applyBorder="1" applyAlignment="1">
      <alignment vertical="center"/>
    </xf>
    <xf numFmtId="0" fontId="4" fillId="0" borderId="2" xfId="0" applyFont="1" applyBorder="1" applyAlignment="1">
      <alignment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9" fontId="12" fillId="0" borderId="3" xfId="0" applyNumberFormat="1" applyFont="1" applyBorder="1" applyAlignment="1">
      <alignment horizontal="center" vertical="center"/>
    </xf>
    <xf numFmtId="1" fontId="0" fillId="0" borderId="3" xfId="0" applyNumberFormat="1" applyBorder="1" applyAlignment="1">
      <alignment horizontal="center" vertical="center"/>
    </xf>
    <xf numFmtId="0" fontId="4" fillId="2" borderId="3" xfId="0" applyFont="1" applyFill="1" applyBorder="1" applyAlignment="1">
      <alignment horizontal="center" vertical="center" wrapText="1"/>
    </xf>
    <xf numFmtId="167" fontId="0" fillId="0" borderId="0" xfId="0" applyNumberFormat="1"/>
    <xf numFmtId="9" fontId="0" fillId="0" borderId="0" xfId="2" applyFont="1"/>
    <xf numFmtId="0" fontId="4" fillId="6" borderId="2" xfId="0" applyFont="1" applyFill="1" applyBorder="1" applyAlignment="1">
      <alignment wrapText="1"/>
    </xf>
    <xf numFmtId="0" fontId="4" fillId="5" borderId="2" xfId="0" applyFont="1" applyFill="1" applyBorder="1" applyAlignment="1">
      <alignment vertical="center" wrapText="1"/>
    </xf>
    <xf numFmtId="164" fontId="0" fillId="0" borderId="0" xfId="1" applyFont="1"/>
    <xf numFmtId="168" fontId="11" fillId="0" borderId="2" xfId="0" applyNumberFormat="1" applyFont="1" applyBorder="1" applyAlignment="1">
      <alignment horizontal="center" vertical="center"/>
    </xf>
    <xf numFmtId="1" fontId="4" fillId="0" borderId="2" xfId="0" applyNumberFormat="1" applyFont="1" applyBorder="1" applyAlignment="1">
      <alignment horizontal="center" vertical="center" wrapText="1"/>
    </xf>
    <xf numFmtId="0" fontId="4" fillId="2" borderId="2" xfId="0" applyFont="1" applyFill="1" applyBorder="1" applyAlignment="1">
      <alignment horizontal="left" vertical="center" wrapText="1"/>
    </xf>
    <xf numFmtId="0" fontId="9" fillId="3" borderId="5" xfId="0" applyFont="1" applyFill="1" applyBorder="1" applyAlignment="1">
      <alignment horizontal="center" vertical="center"/>
    </xf>
    <xf numFmtId="0" fontId="4" fillId="8" borderId="2" xfId="0" applyFont="1" applyFill="1" applyBorder="1" applyAlignment="1">
      <alignment vertical="center" wrapText="1"/>
    </xf>
    <xf numFmtId="0" fontId="4" fillId="8" borderId="2" xfId="0" applyFont="1" applyFill="1" applyBorder="1" applyAlignment="1">
      <alignment horizontal="center" vertical="center" wrapText="1"/>
    </xf>
    <xf numFmtId="0" fontId="4" fillId="8" borderId="2" xfId="0" applyFont="1" applyFill="1" applyBorder="1" applyAlignment="1">
      <alignment wrapText="1"/>
    </xf>
    <xf numFmtId="0" fontId="4" fillId="10" borderId="2" xfId="0" applyFont="1" applyFill="1" applyBorder="1" applyAlignment="1">
      <alignment horizontal="center" vertical="center" wrapText="1"/>
    </xf>
    <xf numFmtId="0" fontId="4" fillId="9" borderId="2" xfId="0" applyFont="1" applyFill="1" applyBorder="1" applyAlignment="1">
      <alignment vertical="center" wrapText="1"/>
    </xf>
    <xf numFmtId="0" fontId="11" fillId="1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1" fontId="10" fillId="3" borderId="5" xfId="0" applyNumberFormat="1" applyFont="1" applyFill="1" applyBorder="1" applyAlignment="1">
      <alignment horizontal="center" vertical="center"/>
    </xf>
    <xf numFmtId="0" fontId="9" fillId="3" borderId="4"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1" fontId="11" fillId="3" borderId="3" xfId="0" applyNumberFormat="1" applyFont="1" applyFill="1" applyBorder="1" applyAlignment="1">
      <alignment horizontal="center" vertical="center"/>
    </xf>
    <xf numFmtId="1" fontId="11" fillId="3" borderId="5" xfId="0"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3" fillId="0" borderId="1" xfId="0" applyFont="1" applyBorder="1"/>
    <xf numFmtId="0" fontId="11" fillId="0" borderId="3" xfId="0" applyFont="1" applyBorder="1" applyAlignment="1">
      <alignment horizontal="center" wrapText="1"/>
    </xf>
    <xf numFmtId="0" fontId="11" fillId="0" borderId="5" xfId="0" applyFont="1" applyBorder="1" applyAlignment="1">
      <alignment horizontal="center" wrapText="1"/>
    </xf>
    <xf numFmtId="0" fontId="11" fillId="0" borderId="4" xfId="0" applyFont="1" applyBorder="1" applyAlignment="1">
      <alignment horizontal="center" wrapText="1"/>
    </xf>
    <xf numFmtId="0" fontId="3" fillId="10" borderId="2" xfId="0" applyFont="1" applyFill="1" applyBorder="1" applyAlignment="1">
      <alignment horizontal="center" vertical="center" wrapText="1"/>
    </xf>
    <xf numFmtId="0" fontId="35" fillId="11" borderId="2" xfId="0" applyFont="1" applyFill="1" applyBorder="1" applyAlignment="1">
      <alignment horizontal="center" vertical="center" wrapText="1"/>
    </xf>
    <xf numFmtId="9" fontId="9" fillId="3" borderId="5" xfId="2" applyFont="1" applyFill="1" applyBorder="1" applyAlignment="1">
      <alignment horizontal="center" vertical="center"/>
    </xf>
    <xf numFmtId="9" fontId="9" fillId="3" borderId="3" xfId="2" applyFont="1" applyFill="1" applyBorder="1" applyAlignment="1">
      <alignment horizontal="center" vertical="center"/>
    </xf>
    <xf numFmtId="9" fontId="9" fillId="3" borderId="2" xfId="2" applyFont="1" applyFill="1" applyBorder="1" applyAlignment="1">
      <alignment horizontal="center" vertical="center"/>
    </xf>
    <xf numFmtId="9" fontId="2" fillId="3" borderId="5" xfId="2" applyFont="1" applyFill="1" applyBorder="1" applyAlignment="1">
      <alignment horizontal="center" vertical="center" wrapText="1"/>
    </xf>
    <xf numFmtId="0" fontId="11" fillId="0" borderId="4" xfId="0" applyFont="1" applyBorder="1" applyAlignment="1">
      <alignment horizontal="center" vertical="center"/>
    </xf>
    <xf numFmtId="0" fontId="9" fillId="0" borderId="5" xfId="0" applyFont="1" applyBorder="1" applyAlignment="1">
      <alignment horizontal="center" vertical="center"/>
    </xf>
    <xf numFmtId="0" fontId="4" fillId="7" borderId="2" xfId="0" applyFont="1" applyFill="1" applyBorder="1"/>
    <xf numFmtId="9" fontId="12" fillId="0" borderId="4" xfId="0" applyNumberFormat="1" applyFont="1" applyBorder="1" applyAlignment="1">
      <alignment horizontal="center" vertical="center"/>
    </xf>
    <xf numFmtId="0" fontId="9" fillId="9" borderId="4" xfId="0" applyFont="1" applyFill="1" applyBorder="1" applyAlignment="1">
      <alignment horizontal="center" vertical="center"/>
    </xf>
    <xf numFmtId="0" fontId="9" fillId="9" borderId="5" xfId="0" applyFont="1" applyFill="1" applyBorder="1" applyAlignment="1">
      <alignment horizontal="center" vertical="center"/>
    </xf>
    <xf numFmtId="0" fontId="11" fillId="10" borderId="4" xfId="0" applyFont="1" applyFill="1" applyBorder="1" applyAlignment="1">
      <alignment horizontal="center" vertical="center" wrapText="1"/>
    </xf>
    <xf numFmtId="9" fontId="2" fillId="3" borderId="3" xfId="2" applyFont="1" applyFill="1" applyBorder="1" applyAlignment="1">
      <alignment horizontal="center" vertical="center" wrapText="1"/>
    </xf>
    <xf numFmtId="9" fontId="10" fillId="3" borderId="2" xfId="2" applyFont="1" applyFill="1" applyBorder="1" applyAlignment="1">
      <alignment horizontal="center" vertical="center"/>
    </xf>
    <xf numFmtId="9" fontId="11" fillId="3" borderId="3" xfId="2" applyFont="1" applyFill="1" applyBorder="1" applyAlignment="1">
      <alignment horizontal="center" vertical="center"/>
    </xf>
    <xf numFmtId="9" fontId="0" fillId="3" borderId="2" xfId="2" applyFont="1" applyFill="1" applyBorder="1" applyAlignment="1">
      <alignment horizontal="center" vertical="center"/>
    </xf>
    <xf numFmtId="0" fontId="3" fillId="11" borderId="2" xfId="0" applyFont="1" applyFill="1" applyBorder="1" applyAlignment="1">
      <alignment horizontal="center" vertical="center" wrapText="1"/>
    </xf>
    <xf numFmtId="9" fontId="2" fillId="0" borderId="3" xfId="2" applyFont="1" applyBorder="1" applyAlignment="1">
      <alignment horizontal="center" vertical="center" wrapText="1"/>
    </xf>
    <xf numFmtId="9" fontId="11" fillId="0" borderId="2" xfId="2" applyFont="1" applyBorder="1" applyAlignment="1">
      <alignment horizontal="center" vertical="center" wrapText="1"/>
    </xf>
    <xf numFmtId="9" fontId="11" fillId="0" borderId="3" xfId="2" applyFont="1" applyBorder="1" applyAlignment="1">
      <alignment horizontal="center" vertical="center" wrapText="1"/>
    </xf>
    <xf numFmtId="9" fontId="0" fillId="0" borderId="2" xfId="2" applyFont="1" applyBorder="1" applyAlignment="1">
      <alignment vertical="center" wrapText="1"/>
    </xf>
    <xf numFmtId="9" fontId="9" fillId="3" borderId="5" xfId="0" applyNumberFormat="1" applyFont="1" applyFill="1" applyBorder="1" applyAlignment="1">
      <alignment horizontal="center" vertical="center"/>
    </xf>
    <xf numFmtId="9" fontId="10" fillId="3" borderId="4" xfId="2" applyFont="1" applyFill="1" applyBorder="1" applyAlignment="1">
      <alignment horizontal="center" vertical="center"/>
    </xf>
    <xf numFmtId="0" fontId="4" fillId="0" borderId="3" xfId="0" applyFont="1" applyBorder="1"/>
    <xf numFmtId="0" fontId="4" fillId="12" borderId="3" xfId="0" applyFont="1" applyFill="1" applyBorder="1"/>
    <xf numFmtId="168" fontId="4" fillId="0" borderId="3" xfId="0" applyNumberFormat="1" applyFont="1" applyBorder="1"/>
    <xf numFmtId="0" fontId="0" fillId="0" borderId="3" xfId="0" applyBorder="1" applyAlignment="1">
      <alignment wrapText="1"/>
    </xf>
    <xf numFmtId="0" fontId="4" fillId="5" borderId="3" xfId="0" applyFont="1" applyFill="1" applyBorder="1"/>
    <xf numFmtId="9" fontId="10" fillId="3" borderId="5" xfId="2" applyFont="1" applyFill="1" applyBorder="1" applyAlignment="1">
      <alignment horizontal="center" vertical="center"/>
    </xf>
    <xf numFmtId="9" fontId="9" fillId="3" borderId="4" xfId="0" applyNumberFormat="1" applyFont="1" applyFill="1" applyBorder="1" applyAlignment="1">
      <alignment horizontal="center" vertical="center"/>
    </xf>
    <xf numFmtId="9" fontId="11" fillId="3" borderId="2" xfId="2" applyFont="1" applyFill="1" applyBorder="1" applyAlignment="1">
      <alignment horizontal="center" vertical="center"/>
    </xf>
    <xf numFmtId="9" fontId="2" fillId="3" borderId="2" xfId="2" applyFont="1" applyFill="1" applyBorder="1" applyAlignment="1">
      <alignment horizontal="center" vertical="center" wrapText="1"/>
    </xf>
    <xf numFmtId="0" fontId="4" fillId="0" borderId="3" xfId="0" applyFont="1" applyBorder="1" applyAlignment="1">
      <alignment horizontal="center" vertical="center"/>
    </xf>
    <xf numFmtId="9" fontId="0" fillId="0" borderId="4" xfId="2" applyFont="1" applyBorder="1" applyAlignment="1">
      <alignment horizontal="center" vertical="center" wrapText="1"/>
    </xf>
    <xf numFmtId="2" fontId="9" fillId="3" borderId="5" xfId="2" applyNumberFormat="1" applyFont="1" applyFill="1" applyBorder="1" applyAlignment="1">
      <alignment horizontal="center" vertical="center"/>
    </xf>
    <xf numFmtId="0" fontId="0" fillId="0" borderId="8" xfId="0" applyBorder="1" applyAlignment="1">
      <alignment vertical="center" wrapText="1"/>
    </xf>
    <xf numFmtId="0" fontId="0" fillId="0" borderId="7" xfId="0" applyBorder="1" applyAlignment="1">
      <alignment vertical="center" wrapText="1"/>
    </xf>
    <xf numFmtId="9" fontId="4" fillId="0" borderId="3" xfId="2" applyFont="1" applyBorder="1" applyAlignment="1">
      <alignment horizontal="center" vertical="center"/>
    </xf>
    <xf numFmtId="0" fontId="35" fillId="0" borderId="13" xfId="3" applyFont="1" applyBorder="1" applyAlignment="1">
      <alignment vertical="center" wrapText="1"/>
    </xf>
    <xf numFmtId="0" fontId="1" fillId="0" borderId="1" xfId="3"/>
    <xf numFmtId="0" fontId="35" fillId="0" borderId="15" xfId="3" applyFont="1" applyBorder="1" applyAlignment="1">
      <alignment vertical="center" wrapText="1"/>
    </xf>
    <xf numFmtId="0" fontId="35" fillId="0" borderId="20" xfId="3" applyFont="1" applyBorder="1" applyAlignment="1">
      <alignment vertical="center" wrapText="1"/>
    </xf>
    <xf numFmtId="0" fontId="42" fillId="0" borderId="1" xfId="3" applyFont="1" applyAlignment="1">
      <alignment horizontal="center" vertical="center"/>
    </xf>
    <xf numFmtId="0" fontId="42" fillId="0" borderId="1" xfId="3" applyFont="1" applyAlignment="1">
      <alignment vertical="center"/>
    </xf>
    <xf numFmtId="0" fontId="39" fillId="6" borderId="16" xfId="3" applyFont="1" applyFill="1" applyBorder="1" applyAlignment="1">
      <alignment horizontal="center" vertical="center" wrapText="1"/>
    </xf>
    <xf numFmtId="0" fontId="39" fillId="6" borderId="44" xfId="3" applyFont="1" applyFill="1" applyBorder="1" applyAlignment="1">
      <alignment horizontal="center" vertical="center" wrapText="1"/>
    </xf>
    <xf numFmtId="0" fontId="41" fillId="6" borderId="45" xfId="3" applyFont="1" applyFill="1" applyBorder="1" applyAlignment="1">
      <alignment horizontal="center" vertical="center" wrapText="1"/>
    </xf>
    <xf numFmtId="0" fontId="41" fillId="6" borderId="44" xfId="3" applyFont="1" applyFill="1" applyBorder="1" applyAlignment="1">
      <alignment horizontal="center" vertical="center" wrapText="1"/>
    </xf>
    <xf numFmtId="0" fontId="39" fillId="6" borderId="45" xfId="3" applyFont="1" applyFill="1" applyBorder="1" applyAlignment="1">
      <alignment horizontal="center" vertical="center" wrapText="1"/>
    </xf>
    <xf numFmtId="0" fontId="41" fillId="16" borderId="16" xfId="3" applyFont="1" applyFill="1" applyBorder="1" applyAlignment="1">
      <alignment horizontal="center" vertical="center" wrapText="1"/>
    </xf>
    <xf numFmtId="0" fontId="41" fillId="16" borderId="44" xfId="3" applyFont="1" applyFill="1" applyBorder="1" applyAlignment="1">
      <alignment horizontal="center" vertical="center" wrapText="1"/>
    </xf>
    <xf numFmtId="0" fontId="41" fillId="16" borderId="20" xfId="3" applyFont="1" applyFill="1" applyBorder="1" applyAlignment="1">
      <alignment horizontal="center" vertical="center" wrapText="1"/>
    </xf>
    <xf numFmtId="0" fontId="41" fillId="16" borderId="21" xfId="3" applyFont="1" applyFill="1" applyBorder="1" applyAlignment="1">
      <alignment horizontal="center" vertical="center" wrapText="1"/>
    </xf>
    <xf numFmtId="0" fontId="41" fillId="16" borderId="22" xfId="3" applyFont="1" applyFill="1" applyBorder="1" applyAlignment="1">
      <alignment horizontal="center" vertical="center" wrapText="1"/>
    </xf>
    <xf numFmtId="0" fontId="41" fillId="16" borderId="24" xfId="3" applyFont="1" applyFill="1" applyBorder="1" applyAlignment="1">
      <alignment horizontal="center" vertical="center" wrapText="1"/>
    </xf>
    <xf numFmtId="0" fontId="39" fillId="16" borderId="16" xfId="3" applyFont="1" applyFill="1" applyBorder="1" applyAlignment="1">
      <alignment horizontal="center" vertical="center" wrapText="1"/>
    </xf>
    <xf numFmtId="0" fontId="39" fillId="16" borderId="44" xfId="3" applyFont="1" applyFill="1" applyBorder="1" applyAlignment="1">
      <alignment horizontal="center" vertical="center" wrapText="1"/>
    </xf>
    <xf numFmtId="0" fontId="42" fillId="0" borderId="1" xfId="3" applyFont="1"/>
    <xf numFmtId="0" fontId="1" fillId="0" borderId="4" xfId="3" applyBorder="1" applyAlignment="1">
      <alignment horizontal="left" vertical="center" wrapText="1"/>
    </xf>
    <xf numFmtId="167" fontId="0" fillId="0" borderId="4" xfId="6" applyNumberFormat="1" applyFont="1" applyFill="1" applyBorder="1" applyAlignment="1">
      <alignment horizontal="right" vertical="center"/>
    </xf>
    <xf numFmtId="168" fontId="0" fillId="0" borderId="4" xfId="4" applyNumberFormat="1" applyFont="1" applyFill="1" applyBorder="1" applyAlignment="1">
      <alignment horizontal="center" vertical="center"/>
    </xf>
    <xf numFmtId="169" fontId="19" fillId="11" borderId="4" xfId="3" applyNumberFormat="1" applyFont="1" applyFill="1" applyBorder="1" applyAlignment="1">
      <alignment horizontal="right" vertical="center" wrapText="1"/>
    </xf>
    <xf numFmtId="164" fontId="1" fillId="0" borderId="4" xfId="3" applyNumberFormat="1" applyBorder="1" applyAlignment="1">
      <alignment horizontal="center" vertical="center"/>
    </xf>
    <xf numFmtId="170" fontId="1" fillId="0" borderId="36" xfId="3" applyNumberFormat="1" applyBorder="1" applyAlignment="1">
      <alignment horizontal="center" vertical="center"/>
    </xf>
    <xf numFmtId="167" fontId="1" fillId="0" borderId="35" xfId="3" applyNumberFormat="1" applyBorder="1" applyAlignment="1">
      <alignment vertical="center" wrapText="1"/>
    </xf>
    <xf numFmtId="167" fontId="1" fillId="0" borderId="4" xfId="3" applyNumberFormat="1" applyBorder="1" applyAlignment="1">
      <alignment vertical="center" wrapText="1"/>
    </xf>
    <xf numFmtId="167" fontId="1" fillId="0" borderId="48" xfId="3" applyNumberFormat="1" applyBorder="1" applyAlignment="1">
      <alignment vertical="center" wrapText="1"/>
    </xf>
    <xf numFmtId="0" fontId="1" fillId="0" borderId="38" xfId="3" applyBorder="1" applyAlignment="1">
      <alignment horizontal="center" vertical="center" wrapText="1"/>
    </xf>
    <xf numFmtId="168" fontId="0" fillId="0" borderId="4" xfId="4" applyNumberFormat="1" applyFont="1" applyBorder="1" applyAlignment="1">
      <alignment horizontal="center" vertical="center"/>
    </xf>
    <xf numFmtId="168" fontId="0" fillId="0" borderId="2" xfId="4" applyNumberFormat="1" applyFont="1" applyBorder="1" applyAlignment="1">
      <alignment horizontal="center" vertical="center"/>
    </xf>
    <xf numFmtId="0" fontId="1" fillId="0" borderId="2" xfId="3" applyBorder="1" applyAlignment="1">
      <alignment horizontal="left" vertical="center" wrapText="1"/>
    </xf>
    <xf numFmtId="167" fontId="0" fillId="0" borderId="2" xfId="6" applyNumberFormat="1" applyFont="1" applyFill="1" applyBorder="1" applyAlignment="1">
      <alignment horizontal="right" vertical="center"/>
    </xf>
    <xf numFmtId="168" fontId="0" fillId="0" borderId="2" xfId="4" applyNumberFormat="1" applyFont="1" applyFill="1" applyBorder="1" applyAlignment="1">
      <alignment horizontal="center" vertical="center"/>
    </xf>
    <xf numFmtId="169" fontId="19" fillId="11" borderId="2" xfId="3" applyNumberFormat="1" applyFont="1" applyFill="1" applyBorder="1" applyAlignment="1">
      <alignment horizontal="right" vertical="center" wrapText="1"/>
    </xf>
    <xf numFmtId="164" fontId="1" fillId="0" borderId="2" xfId="3" applyNumberFormat="1" applyBorder="1" applyAlignment="1">
      <alignment horizontal="center" vertical="center"/>
    </xf>
    <xf numFmtId="170" fontId="1" fillId="0" borderId="6" xfId="3" applyNumberFormat="1" applyBorder="1" applyAlignment="1">
      <alignment horizontal="center" vertical="center"/>
    </xf>
    <xf numFmtId="167" fontId="1" fillId="0" borderId="14" xfId="3" applyNumberFormat="1" applyBorder="1" applyAlignment="1">
      <alignment vertical="center" wrapText="1"/>
    </xf>
    <xf numFmtId="167" fontId="1" fillId="0" borderId="2" xfId="3" applyNumberFormat="1" applyBorder="1" applyAlignment="1">
      <alignment vertical="center" wrapText="1"/>
    </xf>
    <xf numFmtId="167" fontId="1" fillId="0" borderId="15" xfId="3" applyNumberFormat="1" applyBorder="1" applyAlignment="1">
      <alignment vertical="center" wrapText="1"/>
    </xf>
    <xf numFmtId="0" fontId="1" fillId="0" borderId="8" xfId="3" applyBorder="1" applyAlignment="1">
      <alignment horizontal="center" vertical="center" wrapText="1"/>
    </xf>
    <xf numFmtId="0" fontId="1" fillId="0" borderId="2" xfId="3" applyBorder="1" applyAlignment="1">
      <alignment horizontal="left" wrapText="1"/>
    </xf>
    <xf numFmtId="0" fontId="1" fillId="0" borderId="2" xfId="3" applyBorder="1" applyAlignment="1">
      <alignment wrapText="1"/>
    </xf>
    <xf numFmtId="167" fontId="1" fillId="0" borderId="2" xfId="3" applyNumberFormat="1" applyBorder="1" applyAlignment="1">
      <alignment horizontal="right" vertical="center"/>
    </xf>
    <xf numFmtId="10" fontId="1" fillId="0" borderId="2" xfId="3" applyNumberFormat="1" applyBorder="1" applyAlignment="1">
      <alignment horizontal="center" vertical="center"/>
    </xf>
    <xf numFmtId="0" fontId="8" fillId="0" borderId="2" xfId="3" applyFont="1" applyBorder="1" applyAlignment="1">
      <alignment horizontal="left" vertical="center" wrapText="1"/>
    </xf>
    <xf numFmtId="0" fontId="9" fillId="0" borderId="2" xfId="3" applyFont="1" applyBorder="1" applyAlignment="1">
      <alignment horizontal="center" vertical="center"/>
    </xf>
    <xf numFmtId="9" fontId="49" fillId="0" borderId="2" xfId="4" applyFont="1" applyBorder="1" applyAlignment="1">
      <alignment horizontal="center" vertical="center"/>
    </xf>
    <xf numFmtId="0" fontId="2" fillId="2" borderId="2" xfId="3" applyFont="1" applyFill="1" applyBorder="1" applyAlignment="1">
      <alignment horizontal="justify" vertical="center" wrapText="1"/>
    </xf>
    <xf numFmtId="14" fontId="2" fillId="2" borderId="2" xfId="3" applyNumberFormat="1" applyFont="1" applyFill="1" applyBorder="1" applyAlignment="1">
      <alignment horizontal="justify" vertical="center" wrapText="1"/>
    </xf>
    <xf numFmtId="0" fontId="47" fillId="0" borderId="2" xfId="3" applyFont="1" applyBorder="1" applyAlignment="1">
      <alignment horizontal="center" vertical="center"/>
    </xf>
    <xf numFmtId="1" fontId="47" fillId="0" borderId="3" xfId="3" applyNumberFormat="1" applyFont="1" applyBorder="1" applyAlignment="1">
      <alignment horizontal="center" vertical="center"/>
    </xf>
    <xf numFmtId="9" fontId="12" fillId="0" borderId="3" xfId="3" applyNumberFormat="1" applyFont="1" applyBorder="1" applyAlignment="1">
      <alignment horizontal="center" vertical="center"/>
    </xf>
    <xf numFmtId="0" fontId="2" fillId="0" borderId="2" xfId="3" applyFont="1" applyBorder="1" applyAlignment="1">
      <alignment horizontal="justify" vertical="center" wrapText="1"/>
    </xf>
    <xf numFmtId="9" fontId="45" fillId="0" borderId="3" xfId="3" applyNumberFormat="1" applyFont="1" applyBorder="1" applyAlignment="1">
      <alignment horizontal="center" vertical="center"/>
    </xf>
    <xf numFmtId="9" fontId="2" fillId="0" borderId="3" xfId="3" applyNumberFormat="1" applyFont="1" applyBorder="1" applyAlignment="1">
      <alignment horizontal="justify" vertical="center" wrapText="1"/>
    </xf>
    <xf numFmtId="9" fontId="50" fillId="0" borderId="2" xfId="3" applyNumberFormat="1" applyFont="1" applyBorder="1" applyAlignment="1">
      <alignment horizontal="center" vertical="center" wrapText="1"/>
    </xf>
    <xf numFmtId="9" fontId="48" fillId="0" borderId="3" xfId="3" applyNumberFormat="1" applyFont="1" applyBorder="1" applyAlignment="1">
      <alignment horizontal="center" vertical="center" wrapText="1"/>
    </xf>
    <xf numFmtId="0" fontId="1" fillId="0" borderId="2" xfId="3" applyBorder="1"/>
    <xf numFmtId="167" fontId="1" fillId="0" borderId="2" xfId="3" applyNumberFormat="1" applyBorder="1"/>
    <xf numFmtId="14" fontId="2" fillId="2" borderId="2" xfId="3" applyNumberFormat="1" applyFont="1" applyFill="1" applyBorder="1" applyAlignment="1">
      <alignment vertical="center" wrapText="1"/>
    </xf>
    <xf numFmtId="0" fontId="12" fillId="0" borderId="2" xfId="3" applyFont="1" applyBorder="1" applyAlignment="1">
      <alignment horizontal="center" vertical="center"/>
    </xf>
    <xf numFmtId="9" fontId="12" fillId="0" borderId="2" xfId="3" applyNumberFormat="1" applyFont="1" applyBorder="1" applyAlignment="1">
      <alignment horizontal="center" vertical="center"/>
    </xf>
    <xf numFmtId="9" fontId="45" fillId="0" borderId="2" xfId="3" applyNumberFormat="1" applyFont="1" applyBorder="1" applyAlignment="1">
      <alignment horizontal="center" vertical="center"/>
    </xf>
    <xf numFmtId="9" fontId="2" fillId="0" borderId="2" xfId="3" applyNumberFormat="1" applyFont="1" applyBorder="1" applyAlignment="1">
      <alignment horizontal="justify" vertical="center" wrapText="1"/>
    </xf>
    <xf numFmtId="9" fontId="48" fillId="0" borderId="2" xfId="3" applyNumberFormat="1" applyFont="1" applyBorder="1" applyAlignment="1">
      <alignment horizontal="center" vertical="center" wrapText="1"/>
    </xf>
    <xf numFmtId="0" fontId="40" fillId="2" borderId="2" xfId="3" applyFont="1" applyFill="1" applyBorder="1" applyAlignment="1">
      <alignment horizontal="justify" vertical="center" wrapText="1"/>
    </xf>
    <xf numFmtId="14" fontId="40" fillId="2" borderId="2" xfId="3" applyNumberFormat="1" applyFont="1" applyFill="1" applyBorder="1" applyAlignment="1">
      <alignment vertical="center" wrapText="1"/>
    </xf>
    <xf numFmtId="168" fontId="12" fillId="0" borderId="2" xfId="3" applyNumberFormat="1" applyFont="1" applyBorder="1" applyAlignment="1">
      <alignment horizontal="center" vertical="center"/>
    </xf>
    <xf numFmtId="0" fontId="40" fillId="0" borderId="2" xfId="3" applyFont="1" applyBorder="1" applyAlignment="1">
      <alignment horizontal="justify" vertical="center" wrapText="1"/>
    </xf>
    <xf numFmtId="168" fontId="45" fillId="0" borderId="2" xfId="3" applyNumberFormat="1" applyFont="1" applyBorder="1" applyAlignment="1">
      <alignment horizontal="center" vertical="center"/>
    </xf>
    <xf numFmtId="168" fontId="2" fillId="0" borderId="2" xfId="3" applyNumberFormat="1" applyFont="1" applyBorder="1" applyAlignment="1">
      <alignment horizontal="justify" vertical="center" wrapText="1"/>
    </xf>
    <xf numFmtId="168" fontId="48" fillId="0" borderId="2" xfId="3" applyNumberFormat="1" applyFont="1" applyBorder="1" applyAlignment="1">
      <alignment horizontal="center" vertical="center" wrapText="1"/>
    </xf>
    <xf numFmtId="14" fontId="40" fillId="2" borderId="2" xfId="3" applyNumberFormat="1" applyFont="1" applyFill="1" applyBorder="1" applyAlignment="1">
      <alignment horizontal="right" vertical="center" wrapText="1"/>
    </xf>
    <xf numFmtId="167" fontId="53" fillId="0" borderId="14" xfId="3" applyNumberFormat="1" applyFont="1" applyBorder="1" applyAlignment="1">
      <alignment vertical="center" wrapText="1"/>
    </xf>
    <xf numFmtId="167" fontId="53" fillId="0" borderId="2" xfId="3" applyNumberFormat="1" applyFont="1" applyBorder="1" applyAlignment="1">
      <alignment vertical="center" wrapText="1"/>
    </xf>
    <xf numFmtId="167" fontId="53" fillId="0" borderId="15" xfId="3" applyNumberFormat="1" applyFont="1" applyBorder="1" applyAlignment="1">
      <alignment vertical="center" wrapText="1"/>
    </xf>
    <xf numFmtId="0" fontId="1" fillId="17" borderId="2" xfId="3" applyFill="1" applyBorder="1" applyAlignment="1">
      <alignment horizontal="left" vertical="center" wrapText="1"/>
    </xf>
    <xf numFmtId="0" fontId="40" fillId="0" borderId="2" xfId="3" applyFont="1" applyBorder="1" applyAlignment="1">
      <alignment horizontal="justify" wrapText="1"/>
    </xf>
    <xf numFmtId="0" fontId="7" fillId="0" borderId="2" xfId="3" applyFont="1" applyBorder="1" applyAlignment="1">
      <alignment horizontal="left" vertical="center" wrapText="1"/>
    </xf>
    <xf numFmtId="9" fontId="9" fillId="0" borderId="2" xfId="4" applyFont="1" applyBorder="1" applyAlignment="1">
      <alignment horizontal="center" vertical="center"/>
    </xf>
    <xf numFmtId="9" fontId="21" fillId="0" borderId="2" xfId="3" applyNumberFormat="1" applyFont="1" applyBorder="1" applyAlignment="1">
      <alignment horizontal="center" vertical="center" wrapText="1"/>
    </xf>
    <xf numFmtId="167" fontId="1" fillId="0" borderId="14" xfId="3" applyNumberFormat="1" applyBorder="1" applyAlignment="1">
      <alignment horizontal="right" vertical="center" wrapText="1"/>
    </xf>
    <xf numFmtId="167" fontId="1" fillId="0" borderId="2" xfId="3" applyNumberFormat="1" applyBorder="1" applyAlignment="1">
      <alignment horizontal="right" vertical="center" wrapText="1"/>
    </xf>
    <xf numFmtId="167" fontId="1" fillId="0" borderId="15" xfId="3" applyNumberFormat="1" applyBorder="1" applyAlignment="1">
      <alignment horizontal="right" vertical="center" wrapText="1"/>
    </xf>
    <xf numFmtId="167" fontId="54" fillId="0" borderId="16" xfId="3" applyNumberFormat="1" applyFont="1" applyBorder="1" applyAlignment="1">
      <alignment horizontal="right" vertical="center"/>
    </xf>
    <xf numFmtId="167" fontId="54" fillId="0" borderId="44" xfId="3" applyNumberFormat="1" applyFont="1" applyBorder="1" applyAlignment="1">
      <alignment horizontal="right" vertical="center"/>
    </xf>
    <xf numFmtId="167" fontId="54" fillId="0" borderId="20" xfId="3" applyNumberFormat="1" applyFont="1" applyBorder="1" applyAlignment="1">
      <alignment horizontal="right" vertical="center"/>
    </xf>
    <xf numFmtId="167" fontId="1" fillId="0" borderId="1" xfId="3" applyNumberFormat="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6" fillId="0" borderId="6" xfId="0" applyFont="1" applyBorder="1" applyAlignment="1">
      <alignment horizontal="center" vertical="center"/>
    </xf>
    <xf numFmtId="0" fontId="4" fillId="11" borderId="3" xfId="0" applyFont="1" applyFill="1" applyBorder="1" applyAlignment="1">
      <alignment horizontal="center" wrapText="1"/>
    </xf>
    <xf numFmtId="0" fontId="4" fillId="11" borderId="5" xfId="0" applyFont="1" applyFill="1" applyBorder="1" applyAlignment="1">
      <alignment horizontal="center" wrapText="1"/>
    </xf>
    <xf numFmtId="0" fontId="4" fillId="11" borderId="4" xfId="0" applyFont="1" applyFill="1" applyBorder="1" applyAlignment="1">
      <alignment horizont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168" fontId="4" fillId="0" borderId="3" xfId="0" applyNumberFormat="1" applyFont="1" applyBorder="1" applyAlignment="1">
      <alignment horizontal="center" vertical="center"/>
    </xf>
    <xf numFmtId="168" fontId="4" fillId="0" borderId="5" xfId="0" applyNumberFormat="1" applyFont="1" applyBorder="1" applyAlignment="1">
      <alignment horizontal="center" vertical="center"/>
    </xf>
    <xf numFmtId="168" fontId="4" fillId="0" borderId="4" xfId="0" applyNumberFormat="1" applyFont="1" applyBorder="1" applyAlignment="1">
      <alignment horizontal="center" vertical="center"/>
    </xf>
    <xf numFmtId="1" fontId="10" fillId="3" borderId="3" xfId="0" applyNumberFormat="1" applyFont="1" applyFill="1" applyBorder="1" applyAlignment="1">
      <alignment horizontal="center" vertical="center"/>
    </xf>
    <xf numFmtId="1" fontId="10" fillId="3" borderId="4" xfId="0" applyNumberFormat="1" applyFont="1" applyFill="1" applyBorder="1" applyAlignment="1">
      <alignment horizontal="center" vertical="center"/>
    </xf>
    <xf numFmtId="1" fontId="10" fillId="3" borderId="5" xfId="0" applyNumberFormat="1" applyFont="1" applyFill="1" applyBorder="1" applyAlignment="1">
      <alignment horizontal="center" vertical="center"/>
    </xf>
    <xf numFmtId="0" fontId="11" fillId="0" borderId="3" xfId="0" applyFont="1" applyBorder="1" applyAlignment="1">
      <alignment horizontal="center" wrapText="1"/>
    </xf>
    <xf numFmtId="0" fontId="11" fillId="0" borderId="5" xfId="0" applyFont="1" applyBorder="1" applyAlignment="1">
      <alignment horizontal="center" wrapText="1"/>
    </xf>
    <xf numFmtId="0" fontId="11" fillId="0" borderId="4" xfId="0" applyFont="1" applyBorder="1" applyAlignment="1">
      <alignment horizont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3" xfId="0" applyBorder="1" applyAlignment="1">
      <alignment horizontal="center" wrapText="1"/>
    </xf>
    <xf numFmtId="0" fontId="0" fillId="0" borderId="5" xfId="0" applyBorder="1" applyAlignment="1">
      <alignment horizontal="center" wrapText="1"/>
    </xf>
    <xf numFmtId="0" fontId="0" fillId="0" borderId="4" xfId="0" applyBorder="1" applyAlignment="1">
      <alignment horizont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0" fontId="4" fillId="8" borderId="2" xfId="0" applyFont="1" applyFill="1" applyBorder="1" applyAlignment="1">
      <alignment horizontal="center" vertical="center" wrapText="1"/>
    </xf>
    <xf numFmtId="0" fontId="4" fillId="5" borderId="2" xfId="0" applyFont="1" applyFill="1" applyBorder="1"/>
    <xf numFmtId="168" fontId="11" fillId="0" borderId="3" xfId="0" applyNumberFormat="1" applyFont="1" applyBorder="1" applyAlignment="1">
      <alignment horizontal="center" vertical="center"/>
    </xf>
    <xf numFmtId="168" fontId="11" fillId="0" borderId="5" xfId="0" applyNumberFormat="1" applyFont="1" applyBorder="1" applyAlignment="1">
      <alignment horizontal="center" vertical="center"/>
    </xf>
    <xf numFmtId="168" fontId="11" fillId="0" borderId="4" xfId="0" applyNumberFormat="1"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3" fillId="3" borderId="2" xfId="0" applyFont="1" applyFill="1" applyBorder="1" applyAlignment="1">
      <alignment horizontal="center" vertical="center" wrapText="1"/>
    </xf>
    <xf numFmtId="0" fontId="4" fillId="0" borderId="2" xfId="0" applyFont="1" applyBorder="1"/>
    <xf numFmtId="0" fontId="0" fillId="0" borderId="2" xfId="0" applyBorder="1" applyAlignment="1">
      <alignment horizontal="center" vertical="center" wrapText="1"/>
    </xf>
    <xf numFmtId="1" fontId="0" fillId="0" borderId="2" xfId="0" applyNumberFormat="1" applyBorder="1" applyAlignment="1">
      <alignment horizontal="center" vertical="center" wrapText="1"/>
    </xf>
    <xf numFmtId="0" fontId="13"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2" fillId="7" borderId="2" xfId="0" applyFont="1" applyFill="1" applyBorder="1" applyAlignment="1">
      <alignment horizontal="center" vertical="center"/>
    </xf>
    <xf numFmtId="0" fontId="4" fillId="7" borderId="2" xfId="0" applyFont="1" applyFill="1" applyBorder="1"/>
    <xf numFmtId="0" fontId="4" fillId="0" borderId="2" xfId="0" applyFont="1" applyBorder="1" applyAlignment="1">
      <alignment wrapText="1"/>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1" fontId="11" fillId="3" borderId="3" xfId="0" applyNumberFormat="1" applyFont="1" applyFill="1" applyBorder="1" applyAlignment="1">
      <alignment horizontal="center" vertical="center"/>
    </xf>
    <xf numFmtId="1" fontId="11" fillId="3" borderId="5" xfId="0"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0" fontId="4" fillId="0" borderId="2" xfId="0" applyFont="1" applyBorder="1" applyAlignment="1">
      <alignment horizontal="center" vertical="center" wrapText="1"/>
    </xf>
    <xf numFmtId="1" fontId="10" fillId="3" borderId="2" xfId="0" applyNumberFormat="1" applyFont="1" applyFill="1" applyBorder="1" applyAlignment="1">
      <alignment horizontal="center" vertical="center"/>
    </xf>
    <xf numFmtId="1" fontId="4" fillId="0" borderId="2" xfId="0" applyNumberFormat="1" applyFont="1" applyBorder="1"/>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0" fillId="0" borderId="2" xfId="0" applyBorder="1"/>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9" fillId="3" borderId="3"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4" xfId="0" applyFont="1" applyFill="1" applyBorder="1" applyAlignment="1">
      <alignment horizontal="center" vertical="center"/>
    </xf>
    <xf numFmtId="0" fontId="8" fillId="0" borderId="2" xfId="0" applyFont="1" applyBorder="1" applyAlignment="1">
      <alignment horizontal="left" vertical="center" wrapText="1"/>
    </xf>
    <xf numFmtId="0" fontId="9" fillId="3" borderId="2" xfId="0" applyFont="1" applyFill="1" applyBorder="1" applyAlignment="1">
      <alignment horizontal="center" vertical="center"/>
    </xf>
    <xf numFmtId="0" fontId="3" fillId="0" borderId="2" xfId="0" applyFont="1" applyBorder="1" applyAlignment="1">
      <alignment horizontal="center" vertical="center" wrapText="1"/>
    </xf>
    <xf numFmtId="0" fontId="0" fillId="0" borderId="7" xfId="0"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5" fillId="0" borderId="2" xfId="0" applyFont="1" applyBorder="1" applyAlignment="1">
      <alignment horizontal="center" vertical="center" wrapText="1"/>
    </xf>
    <xf numFmtId="0" fontId="4" fillId="10" borderId="2" xfId="0" applyFont="1" applyFill="1" applyBorder="1" applyAlignment="1">
      <alignment horizontal="center" vertical="center" wrapText="1"/>
    </xf>
    <xf numFmtId="168" fontId="11" fillId="0" borderId="2" xfId="0" applyNumberFormat="1" applyFont="1" applyBorder="1" applyAlignment="1">
      <alignment horizontal="center" vertical="center"/>
    </xf>
    <xf numFmtId="168" fontId="4" fillId="0" borderId="2" xfId="0" applyNumberFormat="1" applyFont="1" applyBorder="1"/>
    <xf numFmtId="9" fontId="12" fillId="0" borderId="2" xfId="0" applyNumberFormat="1" applyFont="1" applyBorder="1" applyAlignment="1">
      <alignment horizontal="center" vertical="center"/>
    </xf>
    <xf numFmtId="0" fontId="11" fillId="8" borderId="2" xfId="0" applyFont="1" applyFill="1" applyBorder="1" applyAlignment="1">
      <alignment horizontal="center" vertical="center" wrapText="1"/>
    </xf>
    <xf numFmtId="0" fontId="12" fillId="3" borderId="2" xfId="0" applyFont="1" applyFill="1" applyBorder="1" applyAlignment="1">
      <alignment horizontal="center" vertical="center"/>
    </xf>
    <xf numFmtId="1" fontId="0" fillId="0" borderId="2" xfId="0" applyNumberFormat="1" applyBorder="1" applyAlignment="1">
      <alignment horizontal="center" vertical="center"/>
    </xf>
    <xf numFmtId="0" fontId="0" fillId="2" borderId="2" xfId="0" applyFill="1" applyBorder="1" applyAlignment="1">
      <alignment horizontal="center" vertical="center" wrapText="1"/>
    </xf>
    <xf numFmtId="1" fontId="13"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12" fillId="0" borderId="2" xfId="0" applyFont="1" applyBorder="1" applyAlignment="1">
      <alignment horizontal="center" vertical="center"/>
    </xf>
    <xf numFmtId="0" fontId="4" fillId="2" borderId="2"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36"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4" fillId="0" borderId="4" xfId="0" applyFont="1" applyBorder="1" applyAlignment="1">
      <alignment horizontal="center" wrapText="1"/>
    </xf>
    <xf numFmtId="1" fontId="4" fillId="7" borderId="3" xfId="0" applyNumberFormat="1" applyFont="1" applyFill="1" applyBorder="1" applyAlignment="1">
      <alignment horizontal="center" vertical="center"/>
    </xf>
    <xf numFmtId="1" fontId="4" fillId="7" borderId="5" xfId="0" applyNumberFormat="1" applyFont="1" applyFill="1" applyBorder="1" applyAlignment="1">
      <alignment horizontal="center" vertical="center"/>
    </xf>
    <xf numFmtId="1" fontId="4" fillId="7" borderId="4" xfId="0" applyNumberFormat="1" applyFont="1" applyFill="1" applyBorder="1" applyAlignment="1">
      <alignment horizontal="center" vertical="center"/>
    </xf>
    <xf numFmtId="0" fontId="9" fillId="9" borderId="2" xfId="0" applyFont="1" applyFill="1" applyBorder="1" applyAlignment="1">
      <alignment horizontal="center" vertical="center"/>
    </xf>
    <xf numFmtId="0" fontId="4" fillId="12" borderId="2" xfId="0" applyFont="1" applyFill="1" applyBorder="1"/>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wrapText="1"/>
    </xf>
    <xf numFmtId="0" fontId="9" fillId="9" borderId="3" xfId="0" applyFont="1" applyFill="1" applyBorder="1" applyAlignment="1">
      <alignment horizontal="center" vertical="center"/>
    </xf>
    <xf numFmtId="0" fontId="9" fillId="9" borderId="4" xfId="0" applyFont="1" applyFill="1" applyBorder="1" applyAlignment="1">
      <alignment horizontal="center" vertical="center"/>
    </xf>
    <xf numFmtId="0" fontId="4" fillId="2" borderId="3" xfId="0"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12" fillId="0" borderId="5" xfId="0" applyFont="1" applyBorder="1" applyAlignment="1">
      <alignment horizontal="center" vertical="center"/>
    </xf>
    <xf numFmtId="0" fontId="9" fillId="9" borderId="5" xfId="0" applyFont="1" applyFill="1" applyBorder="1" applyAlignment="1">
      <alignment horizontal="center" vertical="center"/>
    </xf>
    <xf numFmtId="0" fontId="0" fillId="2" borderId="5" xfId="0" applyFill="1" applyBorder="1" applyAlignment="1">
      <alignment horizontal="center" vertical="center" wrapText="1"/>
    </xf>
    <xf numFmtId="0" fontId="0" fillId="2" borderId="3" xfId="0" applyFill="1" applyBorder="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9" fontId="34" fillId="0" borderId="3" xfId="0" applyNumberFormat="1" applyFont="1" applyBorder="1" applyAlignment="1">
      <alignment horizontal="center" vertical="center" wrapText="1"/>
    </xf>
    <xf numFmtId="9" fontId="34" fillId="0" borderId="5" xfId="0" applyNumberFormat="1" applyFont="1" applyBorder="1" applyAlignment="1">
      <alignment horizontal="center" vertical="center" wrapText="1"/>
    </xf>
    <xf numFmtId="9" fontId="34" fillId="0" borderId="4" xfId="0" applyNumberFormat="1" applyFont="1" applyBorder="1" applyAlignment="1">
      <alignment horizontal="center" vertical="center" wrapText="1"/>
    </xf>
    <xf numFmtId="0" fontId="33" fillId="2" borderId="3"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4" xfId="0" applyFont="1" applyFill="1" applyBorder="1" applyAlignment="1">
      <alignment horizontal="center" vertical="center" wrapText="1"/>
    </xf>
    <xf numFmtId="165" fontId="2" fillId="0" borderId="3"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4" fillId="11" borderId="2" xfId="0" applyFont="1" applyFill="1" applyBorder="1"/>
    <xf numFmtId="9" fontId="0" fillId="5" borderId="3" xfId="0" applyNumberFormat="1" applyFill="1" applyBorder="1" applyAlignment="1">
      <alignment horizontal="center" vertical="center"/>
    </xf>
    <xf numFmtId="9" fontId="0" fillId="5" borderId="4" xfId="0" applyNumberForma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0" fillId="0" borderId="2" xfId="0" applyBorder="1" applyAlignment="1">
      <alignment horizontal="center" vertical="center"/>
    </xf>
    <xf numFmtId="9" fontId="12" fillId="0" borderId="3" xfId="0" applyNumberFormat="1" applyFont="1" applyBorder="1" applyAlignment="1">
      <alignment horizontal="center" vertical="center"/>
    </xf>
    <xf numFmtId="9" fontId="12" fillId="0" borderId="4" xfId="0" applyNumberFormat="1" applyFont="1" applyBorder="1" applyAlignment="1">
      <alignment horizontal="center" vertical="center"/>
    </xf>
    <xf numFmtId="0" fontId="13" fillId="0" borderId="2" xfId="0" applyFont="1" applyBorder="1" applyAlignment="1">
      <alignment horizontal="center" vertical="center"/>
    </xf>
    <xf numFmtId="0" fontId="4" fillId="10" borderId="3"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9" fontId="14" fillId="0" borderId="9" xfId="2" applyFont="1" applyBorder="1" applyAlignment="1">
      <alignment horizontal="center" vertical="center"/>
    </xf>
    <xf numFmtId="9" fontId="14" fillId="0" borderId="1" xfId="2" applyFont="1" applyBorder="1" applyAlignment="1">
      <alignment horizontal="center" vertical="center"/>
    </xf>
    <xf numFmtId="0" fontId="4" fillId="0" borderId="9"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9" fontId="21" fillId="0" borderId="9" xfId="2" applyFont="1" applyBorder="1" applyAlignment="1">
      <alignment horizontal="center" vertical="center"/>
    </xf>
    <xf numFmtId="9" fontId="21" fillId="0" borderId="1" xfId="2"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 fillId="0" borderId="2" xfId="3" applyBorder="1" applyAlignment="1">
      <alignment horizontal="center" vertical="center" wrapText="1"/>
    </xf>
    <xf numFmtId="0" fontId="4" fillId="0" borderId="2" xfId="3" applyFont="1" applyBorder="1"/>
    <xf numFmtId="1" fontId="1" fillId="0" borderId="2" xfId="3" applyNumberFormat="1" applyBorder="1" applyAlignment="1">
      <alignment horizontal="center" vertical="center" wrapText="1"/>
    </xf>
    <xf numFmtId="1" fontId="4" fillId="0" borderId="2" xfId="3" applyNumberFormat="1" applyFont="1" applyBorder="1"/>
    <xf numFmtId="168" fontId="46" fillId="0" borderId="2" xfId="3" applyNumberFormat="1" applyFont="1" applyBorder="1" applyAlignment="1">
      <alignment horizontal="center" vertical="center" wrapText="1"/>
    </xf>
    <xf numFmtId="0" fontId="51" fillId="0" borderId="2" xfId="3" applyFont="1" applyBorder="1"/>
    <xf numFmtId="168" fontId="45" fillId="0" borderId="3" xfId="3" applyNumberFormat="1" applyFont="1" applyBorder="1" applyAlignment="1">
      <alignment horizontal="center" vertical="center"/>
    </xf>
    <xf numFmtId="168" fontId="45" fillId="0" borderId="5" xfId="3" applyNumberFormat="1" applyFont="1" applyBorder="1" applyAlignment="1">
      <alignment horizontal="center" vertical="center"/>
    </xf>
    <xf numFmtId="168" fontId="45" fillId="0" borderId="4" xfId="3" applyNumberFormat="1" applyFont="1" applyBorder="1" applyAlignment="1">
      <alignment horizontal="center" vertical="center"/>
    </xf>
    <xf numFmtId="168" fontId="12" fillId="0" borderId="3" xfId="3" applyNumberFormat="1" applyFont="1" applyBorder="1" applyAlignment="1">
      <alignment horizontal="center" vertical="center"/>
    </xf>
    <xf numFmtId="168" fontId="12" fillId="0" borderId="5" xfId="3" applyNumberFormat="1" applyFont="1" applyBorder="1" applyAlignment="1">
      <alignment horizontal="center" vertical="center"/>
    </xf>
    <xf numFmtId="168" fontId="12" fillId="0" borderId="4" xfId="3" applyNumberFormat="1" applyFont="1" applyBorder="1" applyAlignment="1">
      <alignment horizontal="center" vertical="center"/>
    </xf>
    <xf numFmtId="0" fontId="40" fillId="0" borderId="3" xfId="3" applyFont="1" applyBorder="1" applyAlignment="1">
      <alignment horizontal="left" vertical="center" wrapText="1"/>
    </xf>
    <xf numFmtId="0" fontId="40" fillId="0" borderId="5" xfId="3" applyFont="1" applyBorder="1" applyAlignment="1">
      <alignment horizontal="left" vertical="center" wrapText="1"/>
    </xf>
    <xf numFmtId="0" fontId="40" fillId="0" borderId="4" xfId="3" applyFont="1" applyBorder="1" applyAlignment="1">
      <alignment horizontal="left" vertical="center" wrapText="1"/>
    </xf>
    <xf numFmtId="0" fontId="40" fillId="0" borderId="3" xfId="3" applyFont="1" applyBorder="1" applyAlignment="1">
      <alignment horizontal="center" vertical="center" wrapText="1"/>
    </xf>
    <xf numFmtId="0" fontId="40" fillId="0" borderId="5" xfId="3" applyFont="1" applyBorder="1" applyAlignment="1">
      <alignment horizontal="center" vertical="center" wrapText="1"/>
    </xf>
    <xf numFmtId="0" fontId="40" fillId="0" borderId="4" xfId="3" applyFont="1" applyBorder="1" applyAlignment="1">
      <alignment horizontal="center" vertical="center" wrapText="1"/>
    </xf>
    <xf numFmtId="14" fontId="40" fillId="2" borderId="3" xfId="3" applyNumberFormat="1" applyFont="1" applyFill="1" applyBorder="1" applyAlignment="1">
      <alignment horizontal="center" vertical="center" wrapText="1"/>
    </xf>
    <xf numFmtId="14" fontId="40" fillId="2" borderId="5" xfId="3" applyNumberFormat="1" applyFont="1" applyFill="1" applyBorder="1" applyAlignment="1">
      <alignment horizontal="center" vertical="center" wrapText="1"/>
    </xf>
    <xf numFmtId="14" fontId="40" fillId="2" borderId="4" xfId="3" applyNumberFormat="1" applyFont="1" applyFill="1" applyBorder="1" applyAlignment="1">
      <alignment horizontal="center" vertical="center" wrapText="1"/>
    </xf>
    <xf numFmtId="0" fontId="47" fillId="0" borderId="3" xfId="3" applyFont="1" applyBorder="1" applyAlignment="1">
      <alignment horizontal="center" vertical="center"/>
    </xf>
    <xf numFmtId="0" fontId="47" fillId="0" borderId="5" xfId="3" applyFont="1" applyBorder="1" applyAlignment="1">
      <alignment horizontal="center" vertical="center"/>
    </xf>
    <xf numFmtId="0" fontId="47" fillId="0" borderId="4" xfId="3" applyFont="1" applyBorder="1" applyAlignment="1">
      <alignment horizontal="center" vertical="center"/>
    </xf>
    <xf numFmtId="0" fontId="7" fillId="0" borderId="2" xfId="3" applyFont="1" applyBorder="1" applyAlignment="1">
      <alignment horizontal="left" vertical="center" wrapText="1"/>
    </xf>
    <xf numFmtId="0" fontId="4" fillId="0" borderId="2" xfId="3" applyFont="1" applyBorder="1" applyAlignment="1">
      <alignment horizontal="left"/>
    </xf>
    <xf numFmtId="0" fontId="9" fillId="0" borderId="2" xfId="3" applyFont="1" applyBorder="1" applyAlignment="1">
      <alignment horizontal="center" vertical="center"/>
    </xf>
    <xf numFmtId="9" fontId="9" fillId="0" borderId="2" xfId="4" applyFont="1" applyBorder="1" applyAlignment="1">
      <alignment horizontal="center" vertical="center"/>
    </xf>
    <xf numFmtId="9" fontId="16" fillId="0" borderId="2" xfId="4" applyFont="1" applyBorder="1"/>
    <xf numFmtId="0" fontId="40" fillId="2" borderId="3" xfId="3" applyFont="1" applyFill="1" applyBorder="1" applyAlignment="1">
      <alignment horizontal="left" vertical="center" wrapText="1"/>
    </xf>
    <xf numFmtId="0" fontId="40" fillId="2" borderId="5" xfId="3" applyFont="1" applyFill="1" applyBorder="1" applyAlignment="1">
      <alignment horizontal="left" vertical="center" wrapText="1"/>
    </xf>
    <xf numFmtId="0" fontId="40" fillId="2" borderId="4" xfId="3" applyFont="1" applyFill="1" applyBorder="1" applyAlignment="1">
      <alignment horizontal="left" vertical="center" wrapText="1"/>
    </xf>
    <xf numFmtId="168" fontId="2" fillId="0" borderId="3" xfId="3" applyNumberFormat="1" applyFont="1" applyBorder="1" applyAlignment="1">
      <alignment horizontal="justify" vertical="center" wrapText="1"/>
    </xf>
    <xf numFmtId="168" fontId="2" fillId="0" borderId="5" xfId="3" applyNumberFormat="1" applyFont="1" applyBorder="1" applyAlignment="1">
      <alignment horizontal="justify" vertical="center" wrapText="1"/>
    </xf>
    <xf numFmtId="168" fontId="2" fillId="0" borderId="4" xfId="3" applyNumberFormat="1" applyFont="1" applyBorder="1" applyAlignment="1">
      <alignment horizontal="justify" vertical="center" wrapText="1"/>
    </xf>
    <xf numFmtId="168" fontId="48" fillId="0" borderId="3" xfId="3" applyNumberFormat="1" applyFont="1" applyBorder="1" applyAlignment="1">
      <alignment horizontal="center" vertical="center" wrapText="1"/>
    </xf>
    <xf numFmtId="168" fontId="48" fillId="0" borderId="5" xfId="3" applyNumberFormat="1" applyFont="1" applyBorder="1" applyAlignment="1">
      <alignment horizontal="center" vertical="center" wrapText="1"/>
    </xf>
    <xf numFmtId="168" fontId="48" fillId="0" borderId="4" xfId="3" applyNumberFormat="1" applyFont="1" applyBorder="1" applyAlignment="1">
      <alignment horizontal="center" vertical="center" wrapText="1"/>
    </xf>
    <xf numFmtId="0" fontId="40" fillId="0" borderId="2" xfId="3" applyFont="1" applyBorder="1" applyAlignment="1">
      <alignment horizontal="justify" vertical="center" wrapText="1"/>
    </xf>
    <xf numFmtId="0" fontId="12" fillId="0" borderId="3" xfId="3" applyFont="1" applyBorder="1" applyAlignment="1">
      <alignment horizontal="center" vertical="center"/>
    </xf>
    <xf numFmtId="0" fontId="12" fillId="0" borderId="5" xfId="3" applyFont="1" applyBorder="1" applyAlignment="1">
      <alignment horizontal="center" vertical="center"/>
    </xf>
    <xf numFmtId="0" fontId="12" fillId="0" borderId="4" xfId="3" applyFont="1" applyBorder="1" applyAlignment="1">
      <alignment horizontal="center" vertical="center"/>
    </xf>
    <xf numFmtId="0" fontId="8" fillId="0" borderId="2" xfId="3" applyFont="1" applyBorder="1" applyAlignment="1">
      <alignment horizontal="left" vertical="center" wrapText="1"/>
    </xf>
    <xf numFmtId="9" fontId="50" fillId="0" borderId="2" xfId="3" applyNumberFormat="1" applyFont="1" applyBorder="1" applyAlignment="1">
      <alignment horizontal="center" vertical="center" wrapText="1"/>
    </xf>
    <xf numFmtId="0" fontId="12" fillId="0" borderId="2" xfId="3" applyFont="1" applyBorder="1" applyAlignment="1">
      <alignment horizontal="center" vertical="center"/>
    </xf>
    <xf numFmtId="0" fontId="40" fillId="2" borderId="2" xfId="3" applyFont="1" applyFill="1" applyBorder="1" applyAlignment="1">
      <alignment horizontal="justify" vertical="center" wrapText="1"/>
    </xf>
    <xf numFmtId="14" fontId="40" fillId="2" borderId="3" xfId="3" applyNumberFormat="1" applyFont="1" applyFill="1" applyBorder="1" applyAlignment="1">
      <alignment horizontal="right" vertical="center" wrapText="1"/>
    </xf>
    <xf numFmtId="14" fontId="40" fillId="2" borderId="5" xfId="3" applyNumberFormat="1" applyFont="1" applyFill="1" applyBorder="1" applyAlignment="1">
      <alignment horizontal="right" vertical="center" wrapText="1"/>
    </xf>
    <xf numFmtId="14" fontId="40" fillId="2" borderId="4" xfId="3" applyNumberFormat="1" applyFont="1" applyFill="1" applyBorder="1" applyAlignment="1">
      <alignment horizontal="right" vertical="center" wrapText="1"/>
    </xf>
    <xf numFmtId="168" fontId="52" fillId="0" borderId="2" xfId="3" applyNumberFormat="1" applyFont="1" applyBorder="1" applyAlignment="1">
      <alignment horizontal="center" vertical="center" wrapText="1"/>
    </xf>
    <xf numFmtId="0" fontId="52" fillId="0" borderId="2" xfId="3" applyFont="1" applyBorder="1" applyAlignment="1">
      <alignment horizontal="center" vertical="center" wrapText="1"/>
    </xf>
    <xf numFmtId="0" fontId="50" fillId="0" borderId="2" xfId="3" applyFont="1" applyBorder="1" applyAlignment="1">
      <alignment horizontal="center" vertical="center" wrapText="1"/>
    </xf>
    <xf numFmtId="9" fontId="21" fillId="0" borderId="2" xfId="3" applyNumberFormat="1" applyFont="1" applyBorder="1" applyAlignment="1">
      <alignment horizontal="center" vertical="center" wrapText="1"/>
    </xf>
    <xf numFmtId="14" fontId="2" fillId="2" borderId="3" xfId="3" applyNumberFormat="1" applyFont="1" applyFill="1" applyBorder="1" applyAlignment="1">
      <alignment horizontal="right" vertical="center" wrapText="1"/>
    </xf>
    <xf numFmtId="14" fontId="2" fillId="2" borderId="5" xfId="3" applyNumberFormat="1" applyFont="1" applyFill="1" applyBorder="1" applyAlignment="1">
      <alignment horizontal="right" vertical="center" wrapText="1"/>
    </xf>
    <xf numFmtId="14" fontId="2" fillId="2" borderId="4" xfId="3" applyNumberFormat="1" applyFont="1" applyFill="1" applyBorder="1" applyAlignment="1">
      <alignment horizontal="right" vertical="center" wrapText="1"/>
    </xf>
    <xf numFmtId="168" fontId="48" fillId="0" borderId="2" xfId="3" applyNumberFormat="1" applyFont="1" applyBorder="1" applyAlignment="1">
      <alignment horizontal="center" vertical="center" wrapText="1"/>
    </xf>
    <xf numFmtId="168" fontId="48" fillId="0" borderId="2" xfId="3" applyNumberFormat="1" applyFont="1" applyBorder="1" applyAlignment="1">
      <alignment wrapText="1"/>
    </xf>
    <xf numFmtId="0" fontId="13" fillId="0" borderId="2" xfId="3" applyFont="1" applyBorder="1" applyAlignment="1">
      <alignment horizontal="center" vertical="center" wrapText="1"/>
    </xf>
    <xf numFmtId="1" fontId="4" fillId="0" borderId="2" xfId="3" applyNumberFormat="1" applyFont="1" applyBorder="1" applyAlignment="1">
      <alignment horizontal="center" vertical="center"/>
    </xf>
    <xf numFmtId="0" fontId="5" fillId="0" borderId="2" xfId="3" applyFont="1" applyBorder="1" applyAlignment="1">
      <alignment horizontal="center" vertical="center" wrapText="1"/>
    </xf>
    <xf numFmtId="168" fontId="45" fillId="0" borderId="2" xfId="3" applyNumberFormat="1" applyFont="1" applyBorder="1" applyAlignment="1">
      <alignment horizontal="center" vertical="center"/>
    </xf>
    <xf numFmtId="168" fontId="45" fillId="0" borderId="2" xfId="3" applyNumberFormat="1" applyFont="1" applyBorder="1"/>
    <xf numFmtId="168" fontId="2" fillId="0" borderId="2" xfId="3" applyNumberFormat="1" applyFont="1" applyBorder="1" applyAlignment="1">
      <alignment horizontal="justify" vertical="center" wrapText="1"/>
    </xf>
    <xf numFmtId="168" fontId="2" fillId="0" borderId="2" xfId="3" applyNumberFormat="1" applyFont="1" applyBorder="1" applyAlignment="1">
      <alignment horizontal="justify" wrapText="1"/>
    </xf>
    <xf numFmtId="168" fontId="12" fillId="0" borderId="2" xfId="3" applyNumberFormat="1" applyFont="1" applyBorder="1" applyAlignment="1">
      <alignment horizontal="center" vertical="center"/>
    </xf>
    <xf numFmtId="168" fontId="12" fillId="0" borderId="2" xfId="3" applyNumberFormat="1" applyFont="1" applyBorder="1"/>
    <xf numFmtId="0" fontId="2" fillId="0" borderId="2" xfId="3" applyFont="1" applyBorder="1" applyAlignment="1">
      <alignment horizontal="justify"/>
    </xf>
    <xf numFmtId="0" fontId="12" fillId="0" borderId="2" xfId="3" applyFont="1" applyBorder="1"/>
    <xf numFmtId="0" fontId="2" fillId="0" borderId="2" xfId="3" applyFont="1" applyBorder="1" applyAlignment="1">
      <alignment horizontal="justify" vertical="center" wrapText="1"/>
    </xf>
    <xf numFmtId="0" fontId="21" fillId="0" borderId="2" xfId="3" applyFont="1" applyBorder="1" applyAlignment="1">
      <alignment horizontal="center" vertical="center" wrapText="1"/>
    </xf>
    <xf numFmtId="0" fontId="2" fillId="2" borderId="2" xfId="3" applyFont="1" applyFill="1" applyBorder="1" applyAlignment="1">
      <alignment horizontal="justify" vertical="center" wrapText="1"/>
    </xf>
    <xf numFmtId="0" fontId="9" fillId="0" borderId="2" xfId="3" applyFont="1" applyBorder="1" applyAlignment="1">
      <alignment horizontal="center" vertical="center" wrapText="1"/>
    </xf>
    <xf numFmtId="9" fontId="9" fillId="0" borderId="2" xfId="4" applyFont="1" applyBorder="1" applyAlignment="1">
      <alignment horizontal="center" vertical="center" wrapText="1"/>
    </xf>
    <xf numFmtId="9" fontId="46" fillId="0" borderId="2" xfId="3" applyNumberFormat="1" applyFont="1" applyBorder="1" applyAlignment="1">
      <alignment horizontal="center" vertical="center" wrapText="1"/>
    </xf>
    <xf numFmtId="14" fontId="40" fillId="2" borderId="3" xfId="3" applyNumberFormat="1" applyFont="1" applyFill="1" applyBorder="1" applyAlignment="1">
      <alignment vertical="center" wrapText="1"/>
    </xf>
    <xf numFmtId="14" fontId="40" fillId="2" borderId="5" xfId="3" applyNumberFormat="1" applyFont="1" applyFill="1" applyBorder="1" applyAlignment="1">
      <alignment vertical="center" wrapText="1"/>
    </xf>
    <xf numFmtId="14" fontId="40" fillId="2" borderId="4" xfId="3" applyNumberFormat="1" applyFont="1" applyFill="1" applyBorder="1" applyAlignment="1">
      <alignment vertical="center" wrapText="1"/>
    </xf>
    <xf numFmtId="9" fontId="12" fillId="0" borderId="3" xfId="3" applyNumberFormat="1" applyFont="1" applyBorder="1" applyAlignment="1">
      <alignment horizontal="center" vertical="center"/>
    </xf>
    <xf numFmtId="9" fontId="12" fillId="0" borderId="4" xfId="3" applyNumberFormat="1" applyFont="1" applyBorder="1" applyAlignment="1">
      <alignment horizontal="center" vertical="center"/>
    </xf>
    <xf numFmtId="9" fontId="48" fillId="0" borderId="3" xfId="3" applyNumberFormat="1" applyFont="1" applyBorder="1" applyAlignment="1">
      <alignment horizontal="center" vertical="center" wrapText="1"/>
    </xf>
    <xf numFmtId="9" fontId="48" fillId="0" borderId="4" xfId="3" applyNumberFormat="1" applyFont="1" applyBorder="1" applyAlignment="1">
      <alignment horizontal="center" vertical="center" wrapText="1"/>
    </xf>
    <xf numFmtId="0" fontId="4" fillId="0" borderId="2" xfId="3" applyFont="1" applyBorder="1" applyAlignment="1">
      <alignment horizontal="center" vertical="center" wrapText="1"/>
    </xf>
    <xf numFmtId="9" fontId="45" fillId="0" borderId="3" xfId="3" applyNumberFormat="1" applyFont="1" applyBorder="1" applyAlignment="1">
      <alignment horizontal="center" vertical="center"/>
    </xf>
    <xf numFmtId="9" fontId="45" fillId="0" borderId="4" xfId="3" applyNumberFormat="1" applyFont="1" applyBorder="1" applyAlignment="1">
      <alignment horizontal="center" vertical="center"/>
    </xf>
    <xf numFmtId="9" fontId="2" fillId="0" borderId="3" xfId="3" applyNumberFormat="1" applyFont="1" applyBorder="1" applyAlignment="1">
      <alignment horizontal="justify" vertical="center" wrapText="1"/>
    </xf>
    <xf numFmtId="9" fontId="2" fillId="0" borderId="4" xfId="3" applyNumberFormat="1" applyFont="1" applyBorder="1" applyAlignment="1">
      <alignment horizontal="justify" vertical="center" wrapText="1"/>
    </xf>
    <xf numFmtId="14" fontId="2" fillId="2" borderId="3" xfId="3" applyNumberFormat="1" applyFont="1" applyFill="1" applyBorder="1" applyAlignment="1">
      <alignment vertical="center" wrapText="1"/>
    </xf>
    <xf numFmtId="14" fontId="2" fillId="2" borderId="4" xfId="3" applyNumberFormat="1" applyFont="1" applyFill="1" applyBorder="1" applyAlignment="1">
      <alignment vertical="center" wrapText="1"/>
    </xf>
    <xf numFmtId="1" fontId="47" fillId="0" borderId="3" xfId="3" applyNumberFormat="1" applyFont="1" applyBorder="1" applyAlignment="1">
      <alignment horizontal="center" vertical="center"/>
    </xf>
    <xf numFmtId="1" fontId="47" fillId="0" borderId="4" xfId="3" applyNumberFormat="1" applyFont="1" applyBorder="1" applyAlignment="1">
      <alignment horizontal="center" vertical="center"/>
    </xf>
    <xf numFmtId="9" fontId="12" fillId="0" borderId="2" xfId="3" applyNumberFormat="1" applyFont="1" applyBorder="1" applyAlignment="1">
      <alignment horizontal="center" vertical="center"/>
    </xf>
    <xf numFmtId="9" fontId="48" fillId="0" borderId="2" xfId="3" applyNumberFormat="1" applyFont="1" applyBorder="1" applyAlignment="1">
      <alignment horizontal="center" vertical="center" wrapText="1"/>
    </xf>
    <xf numFmtId="0" fontId="48" fillId="0" borderId="2" xfId="3" applyFont="1" applyBorder="1" applyAlignment="1">
      <alignment wrapText="1"/>
    </xf>
    <xf numFmtId="9" fontId="45" fillId="0" borderId="2" xfId="3" applyNumberFormat="1" applyFont="1" applyBorder="1" applyAlignment="1">
      <alignment horizontal="center" vertical="center"/>
    </xf>
    <xf numFmtId="0" fontId="45" fillId="0" borderId="2" xfId="3" applyFont="1" applyBorder="1"/>
    <xf numFmtId="9" fontId="2" fillId="0" borderId="2" xfId="3" applyNumberFormat="1" applyFont="1" applyBorder="1" applyAlignment="1">
      <alignment horizontal="justify" vertical="center" wrapText="1"/>
    </xf>
    <xf numFmtId="0" fontId="2" fillId="0" borderId="2" xfId="3" applyFont="1" applyBorder="1" applyAlignment="1">
      <alignment horizontal="justify" wrapText="1"/>
    </xf>
    <xf numFmtId="14" fontId="2" fillId="2" borderId="3" xfId="3" applyNumberFormat="1" applyFont="1" applyFill="1" applyBorder="1" applyAlignment="1">
      <alignment horizontal="center" vertical="center" wrapText="1"/>
    </xf>
    <xf numFmtId="14" fontId="2" fillId="2" borderId="5" xfId="3" applyNumberFormat="1" applyFont="1" applyFill="1" applyBorder="1" applyAlignment="1">
      <alignment horizontal="center" vertical="center" wrapText="1"/>
    </xf>
    <xf numFmtId="14" fontId="2" fillId="2" borderId="4" xfId="3" applyNumberFormat="1" applyFont="1" applyFill="1" applyBorder="1" applyAlignment="1">
      <alignment horizontal="center" vertical="center" wrapText="1"/>
    </xf>
    <xf numFmtId="1" fontId="47" fillId="0" borderId="2" xfId="3" applyNumberFormat="1" applyFont="1" applyBorder="1" applyAlignment="1">
      <alignment horizontal="center" vertical="center"/>
    </xf>
    <xf numFmtId="14" fontId="40" fillId="2" borderId="2" xfId="3" applyNumberFormat="1" applyFont="1" applyFill="1" applyBorder="1" applyAlignment="1">
      <alignment horizontal="justify" vertical="center" wrapText="1"/>
    </xf>
    <xf numFmtId="0" fontId="47" fillId="0" borderId="2" xfId="3" applyFont="1" applyBorder="1" applyAlignment="1">
      <alignment horizontal="center" vertical="center"/>
    </xf>
    <xf numFmtId="9" fontId="2" fillId="0" borderId="5" xfId="4" applyFont="1" applyBorder="1" applyAlignment="1">
      <alignment horizontal="justify" vertical="center" wrapText="1"/>
    </xf>
    <xf numFmtId="9" fontId="2" fillId="0" borderId="4" xfId="4" applyFont="1" applyBorder="1" applyAlignment="1">
      <alignment horizontal="justify" vertical="center" wrapText="1"/>
    </xf>
    <xf numFmtId="9" fontId="45" fillId="0" borderId="5" xfId="4" applyFont="1" applyBorder="1" applyAlignment="1">
      <alignment horizontal="center" vertical="center" wrapText="1"/>
    </xf>
    <xf numFmtId="9" fontId="45" fillId="0" borderId="4" xfId="4" applyFont="1" applyBorder="1" applyAlignment="1">
      <alignment horizontal="center" vertical="center" wrapText="1"/>
    </xf>
    <xf numFmtId="168" fontId="46" fillId="0" borderId="4" xfId="3" applyNumberFormat="1" applyFont="1" applyBorder="1" applyAlignment="1">
      <alignment horizontal="center" vertical="center"/>
    </xf>
    <xf numFmtId="168" fontId="46" fillId="0" borderId="2" xfId="3" applyNumberFormat="1" applyFont="1" applyBorder="1" applyAlignment="1">
      <alignment horizontal="center" vertical="center"/>
    </xf>
    <xf numFmtId="9" fontId="21" fillId="0" borderId="4" xfId="3" applyNumberFormat="1" applyFont="1" applyBorder="1" applyAlignment="1">
      <alignment horizontal="center" vertical="center" wrapText="1"/>
    </xf>
    <xf numFmtId="9" fontId="45" fillId="0" borderId="5" xfId="3" applyNumberFormat="1" applyFont="1" applyBorder="1" applyAlignment="1">
      <alignment horizontal="center" vertical="center" wrapText="1"/>
    </xf>
    <xf numFmtId="9" fontId="45" fillId="0" borderId="4" xfId="3" applyNumberFormat="1" applyFont="1" applyBorder="1" applyAlignment="1">
      <alignment horizontal="center" vertical="center" wrapText="1"/>
    </xf>
    <xf numFmtId="9" fontId="2" fillId="0" borderId="5" xfId="3" applyNumberFormat="1" applyFont="1" applyBorder="1" applyAlignment="1">
      <alignment horizontal="center" vertical="center" wrapText="1"/>
    </xf>
    <xf numFmtId="9" fontId="2" fillId="0" borderId="4" xfId="3" applyNumberFormat="1" applyFont="1" applyBorder="1" applyAlignment="1">
      <alignment horizontal="center" vertical="center" wrapText="1"/>
    </xf>
    <xf numFmtId="0" fontId="1" fillId="0" borderId="4" xfId="3" applyBorder="1" applyAlignment="1">
      <alignment horizontal="center" vertical="center"/>
    </xf>
    <xf numFmtId="0" fontId="1" fillId="0" borderId="2" xfId="3" applyBorder="1" applyAlignment="1">
      <alignment horizontal="center" vertical="center"/>
    </xf>
    <xf numFmtId="0" fontId="33" fillId="0" borderId="4" xfId="3" applyFont="1" applyBorder="1" applyAlignment="1">
      <alignment horizontal="justify" vertical="center" wrapText="1"/>
    </xf>
    <xf numFmtId="0" fontId="33" fillId="0" borderId="2" xfId="3" applyFont="1" applyBorder="1" applyAlignment="1">
      <alignment horizontal="justify" vertical="center" wrapText="1"/>
    </xf>
    <xf numFmtId="0" fontId="33" fillId="2" borderId="4" xfId="3" applyFont="1" applyFill="1" applyBorder="1" applyAlignment="1">
      <alignment horizontal="justify" vertical="center" wrapText="1"/>
    </xf>
    <xf numFmtId="0" fontId="33" fillId="2" borderId="2" xfId="3" applyFont="1" applyFill="1" applyBorder="1" applyAlignment="1">
      <alignment horizontal="justify" vertical="center" wrapText="1"/>
    </xf>
    <xf numFmtId="14" fontId="33" fillId="2" borderId="4" xfId="3" applyNumberFormat="1" applyFont="1" applyFill="1" applyBorder="1" applyAlignment="1">
      <alignment horizontal="justify" vertical="center" wrapText="1"/>
    </xf>
    <xf numFmtId="1" fontId="44" fillId="0" borderId="4" xfId="5" applyNumberFormat="1" applyFont="1" applyFill="1" applyBorder="1" applyAlignment="1">
      <alignment horizontal="center" vertical="center"/>
    </xf>
    <xf numFmtId="1" fontId="44" fillId="0" borderId="2" xfId="5" applyNumberFormat="1" applyFont="1" applyFill="1" applyBorder="1" applyAlignment="1">
      <alignment horizontal="center" vertical="center"/>
    </xf>
    <xf numFmtId="165" fontId="45" fillId="0" borderId="5" xfId="3" applyNumberFormat="1" applyFont="1" applyBorder="1" applyAlignment="1">
      <alignment horizontal="center" vertical="center" wrapText="1"/>
    </xf>
    <xf numFmtId="165" fontId="45" fillId="0" borderId="4" xfId="3" applyNumberFormat="1" applyFont="1" applyBorder="1" applyAlignment="1">
      <alignment horizontal="center" vertical="center" wrapText="1"/>
    </xf>
    <xf numFmtId="0" fontId="9" fillId="0" borderId="4" xfId="3" applyFont="1" applyBorder="1" applyAlignment="1">
      <alignment horizontal="center" vertical="center" wrapText="1"/>
    </xf>
    <xf numFmtId="9" fontId="43" fillId="0" borderId="4" xfId="4" applyFont="1" applyFill="1" applyBorder="1" applyAlignment="1">
      <alignment horizontal="center" vertical="center"/>
    </xf>
    <xf numFmtId="9" fontId="43" fillId="0" borderId="2" xfId="4" applyFont="1" applyFill="1" applyBorder="1" applyAlignment="1">
      <alignment horizontal="center" vertical="center"/>
    </xf>
    <xf numFmtId="0" fontId="1" fillId="0" borderId="4" xfId="3" applyBorder="1" applyAlignment="1">
      <alignment horizontal="center" vertical="center" wrapText="1"/>
    </xf>
    <xf numFmtId="1" fontId="1" fillId="0" borderId="4" xfId="3" applyNumberFormat="1" applyBorder="1" applyAlignment="1">
      <alignment horizontal="center" vertical="center" wrapText="1"/>
    </xf>
    <xf numFmtId="0" fontId="41" fillId="16" borderId="36" xfId="3" applyFont="1" applyFill="1" applyBorder="1" applyAlignment="1">
      <alignment horizontal="center" vertical="center" wrapText="1"/>
    </xf>
    <xf numFmtId="0" fontId="41" fillId="16" borderId="46" xfId="3" applyFont="1" applyFill="1" applyBorder="1" applyAlignment="1">
      <alignment horizontal="center" vertical="center" wrapText="1"/>
    </xf>
    <xf numFmtId="0" fontId="41" fillId="16" borderId="39" xfId="3" applyFont="1" applyFill="1" applyBorder="1" applyAlignment="1">
      <alignment horizontal="center" vertical="center" wrapText="1"/>
    </xf>
    <xf numFmtId="0" fontId="41" fillId="16" borderId="40" xfId="3" applyFont="1" applyFill="1" applyBorder="1" applyAlignment="1">
      <alignment horizontal="center" vertical="center" wrapText="1"/>
    </xf>
    <xf numFmtId="0" fontId="41" fillId="16" borderId="41" xfId="3" applyFont="1" applyFill="1" applyBorder="1" applyAlignment="1">
      <alignment horizontal="center" vertical="center" wrapText="1"/>
    </xf>
    <xf numFmtId="0" fontId="41" fillId="16" borderId="26" xfId="3" applyFont="1" applyFill="1" applyBorder="1" applyAlignment="1">
      <alignment horizontal="center" vertical="center" wrapText="1"/>
    </xf>
    <xf numFmtId="0" fontId="41" fillId="16" borderId="27" xfId="3" applyFont="1" applyFill="1" applyBorder="1" applyAlignment="1">
      <alignment horizontal="center" vertical="center" wrapText="1"/>
    </xf>
    <xf numFmtId="0" fontId="41" fillId="16" borderId="25" xfId="3" applyFont="1" applyFill="1" applyBorder="1" applyAlignment="1">
      <alignment horizontal="center" vertical="center" wrapText="1"/>
    </xf>
    <xf numFmtId="0" fontId="37" fillId="0" borderId="4" xfId="3" applyFont="1" applyBorder="1" applyAlignment="1">
      <alignment horizontal="center" vertical="center" wrapText="1"/>
    </xf>
    <xf numFmtId="0" fontId="37" fillId="0" borderId="2" xfId="3" applyFont="1" applyBorder="1" applyAlignment="1">
      <alignment horizontal="center" vertical="center" wrapText="1"/>
    </xf>
    <xf numFmtId="0" fontId="7" fillId="0" borderId="4" xfId="3" applyFont="1" applyBorder="1" applyAlignment="1">
      <alignment horizontal="left" vertical="center" wrapText="1"/>
    </xf>
    <xf numFmtId="0" fontId="39" fillId="16" borderId="35" xfId="3" applyFont="1" applyFill="1" applyBorder="1" applyAlignment="1">
      <alignment horizontal="center" vertical="center" wrapText="1"/>
    </xf>
    <xf numFmtId="0" fontId="39" fillId="16" borderId="16" xfId="3" applyFont="1" applyFill="1" applyBorder="1" applyAlignment="1">
      <alignment horizontal="center" vertical="center" wrapText="1"/>
    </xf>
    <xf numFmtId="0" fontId="39" fillId="16" borderId="4" xfId="3" applyFont="1" applyFill="1" applyBorder="1" applyAlignment="1">
      <alignment horizontal="center" vertical="center" wrapText="1"/>
    </xf>
    <xf numFmtId="0" fontId="39" fillId="16" borderId="44" xfId="3" applyFont="1" applyFill="1" applyBorder="1" applyAlignment="1">
      <alignment horizontal="center" vertical="center" wrapText="1"/>
    </xf>
    <xf numFmtId="0" fontId="39" fillId="6" borderId="36" xfId="3" applyFont="1" applyFill="1" applyBorder="1" applyAlignment="1">
      <alignment horizontal="center" vertical="center" wrapText="1"/>
    </xf>
    <xf numFmtId="0" fontId="39" fillId="6" borderId="37" xfId="3" applyFont="1" applyFill="1" applyBorder="1" applyAlignment="1">
      <alignment horizontal="center" vertical="center" wrapText="1"/>
    </xf>
    <xf numFmtId="0" fontId="39" fillId="6" borderId="38" xfId="3" applyFont="1" applyFill="1" applyBorder="1" applyAlignment="1">
      <alignment horizontal="center" vertical="center" wrapText="1"/>
    </xf>
    <xf numFmtId="0" fontId="39" fillId="6" borderId="5" xfId="3" applyFont="1" applyFill="1" applyBorder="1" applyAlignment="1">
      <alignment horizontal="center" vertical="center" wrapText="1"/>
    </xf>
    <xf numFmtId="0" fontId="39" fillId="6" borderId="45" xfId="3" applyFont="1" applyFill="1" applyBorder="1" applyAlignment="1">
      <alignment horizontal="center" vertical="center" wrapText="1"/>
    </xf>
    <xf numFmtId="9" fontId="41" fillId="6" borderId="11" xfId="4" applyFont="1" applyFill="1" applyBorder="1" applyAlignment="1">
      <alignment horizontal="center" vertical="center" wrapText="1"/>
    </xf>
    <xf numFmtId="9" fontId="41" fillId="6" borderId="17" xfId="4" applyFont="1" applyFill="1" applyBorder="1" applyAlignment="1">
      <alignment horizontal="center" vertical="center" wrapText="1"/>
    </xf>
    <xf numFmtId="0" fontId="39" fillId="6" borderId="29" xfId="3" applyFont="1" applyFill="1" applyBorder="1" applyAlignment="1">
      <alignment horizontal="center" vertical="center" wrapText="1"/>
    </xf>
    <xf numFmtId="0" fontId="39" fillId="6" borderId="30" xfId="3" applyFont="1" applyFill="1" applyBorder="1" applyAlignment="1">
      <alignment horizontal="center" vertical="center" wrapText="1"/>
    </xf>
    <xf numFmtId="0" fontId="39" fillId="16" borderId="29" xfId="3" applyFont="1" applyFill="1" applyBorder="1" applyAlignment="1">
      <alignment horizontal="center" vertical="center" wrapText="1"/>
    </xf>
    <xf numFmtId="0" fontId="39" fillId="16" borderId="30" xfId="3" applyFont="1" applyFill="1" applyBorder="1" applyAlignment="1">
      <alignment horizontal="center" vertical="center" wrapText="1"/>
    </xf>
    <xf numFmtId="0" fontId="39" fillId="16" borderId="31" xfId="3" applyFont="1" applyFill="1" applyBorder="1" applyAlignment="1">
      <alignment horizontal="center" vertical="center" wrapText="1"/>
    </xf>
    <xf numFmtId="0" fontId="39" fillId="16" borderId="22" xfId="3" applyFont="1" applyFill="1" applyBorder="1" applyAlignment="1">
      <alignment horizontal="center" vertical="center" wrapText="1"/>
    </xf>
    <xf numFmtId="0" fontId="39" fillId="16" borderId="23" xfId="3" applyFont="1" applyFill="1" applyBorder="1" applyAlignment="1">
      <alignment horizontal="center" vertical="center" wrapText="1"/>
    </xf>
    <xf numFmtId="0" fontId="41" fillId="16" borderId="29" xfId="3" applyFont="1" applyFill="1" applyBorder="1" applyAlignment="1">
      <alignment horizontal="center" vertical="center" wrapText="1"/>
    </xf>
    <xf numFmtId="0" fontId="41" fillId="16" borderId="30" xfId="3" applyFont="1" applyFill="1" applyBorder="1" applyAlignment="1">
      <alignment horizontal="center" vertical="center" wrapText="1"/>
    </xf>
    <xf numFmtId="0" fontId="41" fillId="16" borderId="32" xfId="3" applyFont="1" applyFill="1" applyBorder="1" applyAlignment="1">
      <alignment horizontal="center" vertical="center" wrapText="1"/>
    </xf>
    <xf numFmtId="0" fontId="41" fillId="16" borderId="33" xfId="3" applyFont="1" applyFill="1" applyBorder="1" applyAlignment="1">
      <alignment horizontal="center" vertical="center" wrapText="1"/>
    </xf>
    <xf numFmtId="0" fontId="41" fillId="16" borderId="42" xfId="3" applyFont="1" applyFill="1" applyBorder="1" applyAlignment="1">
      <alignment horizontal="center" vertical="center" wrapText="1"/>
    </xf>
    <xf numFmtId="0" fontId="41" fillId="16" borderId="38" xfId="3" applyFont="1" applyFill="1" applyBorder="1" applyAlignment="1">
      <alignment horizontal="center" vertical="center" wrapText="1"/>
    </xf>
    <xf numFmtId="0" fontId="39" fillId="16" borderId="34" xfId="3" applyFont="1" applyFill="1" applyBorder="1" applyAlignment="1">
      <alignment horizontal="center" vertical="center" wrapText="1"/>
    </xf>
    <xf numFmtId="0" fontId="39" fillId="16" borderId="43" xfId="3" applyFont="1" applyFill="1" applyBorder="1" applyAlignment="1">
      <alignment horizontal="center" vertical="center" wrapText="1"/>
    </xf>
    <xf numFmtId="0" fontId="39" fillId="16" borderId="47" xfId="3" applyFont="1" applyFill="1" applyBorder="1" applyAlignment="1">
      <alignment horizontal="center" vertical="center" wrapText="1"/>
    </xf>
    <xf numFmtId="0" fontId="39" fillId="6" borderId="35" xfId="3" applyFont="1" applyFill="1" applyBorder="1" applyAlignment="1">
      <alignment horizontal="center" vertical="center" wrapText="1"/>
    </xf>
    <xf numFmtId="0" fontId="39" fillId="6" borderId="4" xfId="3" applyFont="1" applyFill="1" applyBorder="1" applyAlignment="1">
      <alignment horizontal="center" vertical="center" wrapText="1"/>
    </xf>
    <xf numFmtId="0" fontId="41" fillId="6" borderId="4" xfId="3" applyFont="1" applyFill="1" applyBorder="1" applyAlignment="1">
      <alignment horizontal="center" vertical="center" wrapText="1"/>
    </xf>
    <xf numFmtId="0" fontId="39" fillId="15" borderId="28" xfId="3" applyFont="1" applyFill="1" applyBorder="1" applyAlignment="1">
      <alignment horizontal="center" vertical="center" wrapText="1"/>
    </xf>
    <xf numFmtId="0" fontId="39" fillId="15" borderId="2" xfId="3" applyFont="1" applyFill="1" applyBorder="1" applyAlignment="1">
      <alignment horizontal="center" vertical="center" wrapText="1"/>
    </xf>
    <xf numFmtId="0" fontId="39" fillId="15" borderId="44" xfId="3" applyFont="1" applyFill="1" applyBorder="1" applyAlignment="1">
      <alignment horizontal="center" vertical="center" wrapText="1"/>
    </xf>
    <xf numFmtId="0" fontId="39" fillId="15" borderId="13" xfId="3" applyFont="1" applyFill="1" applyBorder="1" applyAlignment="1">
      <alignment horizontal="center" vertical="center" wrapText="1"/>
    </xf>
    <xf numFmtId="0" fontId="39" fillId="15" borderId="15" xfId="3" applyFont="1" applyFill="1" applyBorder="1" applyAlignment="1">
      <alignment horizontal="center" vertical="center" wrapText="1"/>
    </xf>
    <xf numFmtId="0" fontId="39" fillId="15" borderId="20" xfId="3" applyFont="1" applyFill="1" applyBorder="1" applyAlignment="1">
      <alignment horizontal="center" vertical="center" wrapText="1"/>
    </xf>
    <xf numFmtId="0" fontId="39" fillId="15" borderId="10" xfId="3" applyFont="1" applyFill="1" applyBorder="1" applyAlignment="1">
      <alignment horizontal="center" vertical="center" wrapText="1"/>
    </xf>
    <xf numFmtId="0" fontId="39" fillId="15" borderId="14" xfId="3" applyFont="1" applyFill="1" applyBorder="1" applyAlignment="1">
      <alignment horizontal="center" vertical="center" wrapText="1"/>
    </xf>
    <xf numFmtId="0" fontId="39" fillId="15" borderId="16" xfId="3" applyFont="1" applyFill="1" applyBorder="1" applyAlignment="1">
      <alignment horizontal="center" vertical="center" wrapText="1"/>
    </xf>
    <xf numFmtId="0" fontId="38" fillId="0" borderId="10" xfId="3" applyFont="1" applyBorder="1" applyAlignment="1">
      <alignment horizontal="center"/>
    </xf>
    <xf numFmtId="0" fontId="38" fillId="0" borderId="14" xfId="3" applyFont="1" applyBorder="1" applyAlignment="1">
      <alignment horizontal="center"/>
    </xf>
    <xf numFmtId="0" fontId="38" fillId="0" borderId="16" xfId="3" applyFont="1" applyBorder="1" applyAlignment="1">
      <alignment horizontal="center"/>
    </xf>
    <xf numFmtId="0" fontId="35" fillId="0" borderId="11" xfId="3" applyFont="1" applyBorder="1" applyAlignment="1">
      <alignment horizontal="center" vertical="center"/>
    </xf>
    <xf numFmtId="0" fontId="35" fillId="0" borderId="1" xfId="3" applyFont="1" applyAlignment="1">
      <alignment horizontal="center" vertical="center"/>
    </xf>
    <xf numFmtId="0" fontId="35" fillId="0" borderId="12" xfId="3" applyFont="1" applyBorder="1" applyAlignment="1">
      <alignment horizontal="center" vertical="center"/>
    </xf>
    <xf numFmtId="0" fontId="35" fillId="0" borderId="11" xfId="3" applyFont="1" applyBorder="1" applyAlignment="1">
      <alignment horizontal="center" vertical="center" wrapText="1"/>
    </xf>
    <xf numFmtId="0" fontId="35" fillId="0" borderId="1" xfId="3" applyFont="1" applyAlignment="1">
      <alignment horizontal="center" vertical="center" wrapText="1"/>
    </xf>
    <xf numFmtId="0" fontId="35" fillId="0" borderId="12" xfId="3" applyFont="1" applyBorder="1" applyAlignment="1">
      <alignment horizontal="center" vertical="center" wrapText="1"/>
    </xf>
    <xf numFmtId="0" fontId="35" fillId="0" borderId="17" xfId="3" applyFont="1" applyBorder="1" applyAlignment="1">
      <alignment horizontal="center" vertical="center" wrapText="1"/>
    </xf>
    <xf numFmtId="0" fontId="35" fillId="0" borderId="18" xfId="3" applyFont="1" applyBorder="1" applyAlignment="1">
      <alignment horizontal="center" vertical="center" wrapText="1"/>
    </xf>
    <xf numFmtId="0" fontId="35" fillId="0" borderId="19" xfId="3" applyFont="1" applyBorder="1" applyAlignment="1">
      <alignment horizontal="center" vertical="center" wrapText="1"/>
    </xf>
    <xf numFmtId="0" fontId="39" fillId="13" borderId="21" xfId="3" applyFont="1" applyFill="1" applyBorder="1" applyAlignment="1">
      <alignment horizontal="center"/>
    </xf>
    <xf numFmtId="0" fontId="39" fillId="13" borderId="22" xfId="3" applyFont="1" applyFill="1" applyBorder="1" applyAlignment="1">
      <alignment horizontal="center"/>
    </xf>
    <xf numFmtId="0" fontId="39" fillId="13" borderId="23" xfId="3" applyFont="1" applyFill="1" applyBorder="1" applyAlignment="1">
      <alignment horizontal="center"/>
    </xf>
    <xf numFmtId="0" fontId="39" fillId="13" borderId="24" xfId="3" applyFont="1" applyFill="1" applyBorder="1" applyAlignment="1">
      <alignment horizontal="center"/>
    </xf>
    <xf numFmtId="0" fontId="40" fillId="14" borderId="25" xfId="3" applyFont="1" applyFill="1" applyBorder="1" applyAlignment="1">
      <alignment horizontal="center"/>
    </xf>
    <xf numFmtId="0" fontId="40" fillId="14" borderId="26" xfId="3" applyFont="1" applyFill="1" applyBorder="1" applyAlignment="1">
      <alignment horizontal="center"/>
    </xf>
    <xf numFmtId="0" fontId="40" fillId="14" borderId="27" xfId="3" applyFont="1" applyFill="1" applyBorder="1" applyAlignment="1">
      <alignment horizontal="center"/>
    </xf>
  </cellXfs>
  <cellStyles count="7">
    <cellStyle name="Millares [0] 2" xfId="5"/>
    <cellStyle name="Moneda" xfId="1" builtinId="4"/>
    <cellStyle name="Moneda 2" xfId="6"/>
    <cellStyle name="Normal" xfId="0" builtinId="0"/>
    <cellStyle name="Normal 2" xfId="3"/>
    <cellStyle name="Porcentaje" xfId="2" builtinId="5"/>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299376</xdr:colOff>
      <xdr:row>0</xdr:row>
      <xdr:rowOff>35718</xdr:rowOff>
    </xdr:from>
    <xdr:to>
      <xdr:col>0</xdr:col>
      <xdr:colOff>1071561</xdr:colOff>
      <xdr:row>3</xdr:row>
      <xdr:rowOff>130968</xdr:rowOff>
    </xdr:to>
    <xdr:pic>
      <xdr:nvPicPr>
        <xdr:cNvPr id="2" name="Imagen 3">
          <a:extLst>
            <a:ext uri="{FF2B5EF4-FFF2-40B4-BE49-F238E27FC236}">
              <a16:creationId xmlns:a16="http://schemas.microsoft.com/office/drawing/2014/main" xmlns="" id="{4DBB16D1-5236-440D-8189-1996494D25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76" y="35718"/>
          <a:ext cx="77218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17"/>
  <sheetViews>
    <sheetView topLeftCell="L2" zoomScale="80" zoomScaleNormal="80" workbookViewId="0">
      <selection activeCell="AR68" sqref="AR68:AR73"/>
    </sheetView>
  </sheetViews>
  <sheetFormatPr baseColWidth="10" defaultColWidth="14.42578125" defaultRowHeight="15" x14ac:dyDescent="0.25"/>
  <cols>
    <col min="1" max="1" width="16" customWidth="1"/>
    <col min="2" max="2" width="17.42578125" customWidth="1"/>
    <col min="3" max="5" width="10.7109375" customWidth="1"/>
    <col min="6" max="6" width="18" customWidth="1"/>
    <col min="7" max="9" width="10.7109375" customWidth="1"/>
    <col min="10" max="10" width="17.85546875" customWidth="1"/>
    <col min="11" max="11" width="10.7109375" customWidth="1"/>
    <col min="12" max="12" width="19.7109375" customWidth="1"/>
    <col min="13" max="13" width="16.5703125" customWidth="1"/>
    <col min="14" max="20" width="19.7109375" customWidth="1"/>
    <col min="21" max="21" width="17" customWidth="1"/>
    <col min="22" max="22" width="17.28515625" customWidth="1"/>
    <col min="23" max="23" width="17.42578125" customWidth="1"/>
    <col min="24" max="24" width="20.28515625" customWidth="1"/>
    <col min="25" max="25" width="16.42578125" customWidth="1"/>
    <col min="26" max="32" width="18.7109375" customWidth="1"/>
    <col min="33" max="33" width="15.85546875" customWidth="1"/>
    <col min="34" max="34" width="10.7109375" customWidth="1"/>
    <col min="35" max="35" width="16.28515625" customWidth="1"/>
    <col min="36" max="36" width="14.42578125" customWidth="1"/>
    <col min="37" max="37" width="17" customWidth="1"/>
    <col min="38" max="38" width="20.7109375" customWidth="1"/>
    <col min="39" max="39" width="19.140625" customWidth="1"/>
    <col min="40" max="40" width="27.7109375" customWidth="1"/>
    <col min="41" max="45" width="19.140625" customWidth="1"/>
    <col min="46" max="46" width="14.140625" customWidth="1"/>
    <col min="47" max="47" width="27.7109375" customWidth="1"/>
    <col min="48" max="48" width="25.85546875" customWidth="1"/>
    <col min="49" max="49" width="32.42578125" customWidth="1"/>
    <col min="50" max="50" width="20.7109375" customWidth="1"/>
    <col min="51" max="51" width="35.140625" customWidth="1"/>
    <col min="52" max="52" width="19.85546875" customWidth="1"/>
    <col min="53" max="53" width="14.7109375" customWidth="1"/>
    <col min="54" max="54" width="16.140625" customWidth="1"/>
    <col min="55" max="55" width="15.85546875" customWidth="1"/>
    <col min="56" max="56" width="42.85546875" customWidth="1"/>
    <col min="57" max="57" width="19.140625" bestFit="1" customWidth="1"/>
  </cols>
  <sheetData>
    <row r="1" spans="1:58" x14ac:dyDescent="0.25">
      <c r="A1" s="1">
        <v>1</v>
      </c>
      <c r="B1" s="1">
        <v>2</v>
      </c>
      <c r="C1" s="1">
        <v>3</v>
      </c>
      <c r="D1" s="1">
        <v>4</v>
      </c>
      <c r="E1" s="1">
        <v>5</v>
      </c>
      <c r="F1" s="1">
        <v>6</v>
      </c>
      <c r="G1" s="1">
        <v>7</v>
      </c>
      <c r="H1" s="1">
        <v>8</v>
      </c>
      <c r="I1" s="1">
        <v>9</v>
      </c>
      <c r="J1" s="1">
        <v>10</v>
      </c>
      <c r="K1" s="1">
        <v>11</v>
      </c>
      <c r="L1" s="1">
        <v>12</v>
      </c>
      <c r="M1" s="1">
        <v>13</v>
      </c>
      <c r="N1" s="1">
        <v>14</v>
      </c>
      <c r="O1" s="1">
        <v>15</v>
      </c>
      <c r="P1" s="1">
        <v>16</v>
      </c>
      <c r="Q1" s="1">
        <v>17</v>
      </c>
      <c r="R1" s="1"/>
      <c r="S1" s="1"/>
      <c r="T1" s="1"/>
      <c r="U1" s="1">
        <v>18</v>
      </c>
      <c r="V1" s="1">
        <v>19</v>
      </c>
      <c r="W1" s="1">
        <v>20</v>
      </c>
      <c r="X1" s="1">
        <v>21</v>
      </c>
      <c r="Y1" s="1">
        <v>22</v>
      </c>
      <c r="Z1" s="1">
        <v>23</v>
      </c>
      <c r="AA1" s="1">
        <v>24</v>
      </c>
      <c r="AB1" s="1">
        <v>25</v>
      </c>
      <c r="AC1" s="1">
        <v>26</v>
      </c>
      <c r="AD1" s="1"/>
      <c r="AE1" s="1"/>
      <c r="AF1" s="1"/>
      <c r="AG1" s="1">
        <v>27</v>
      </c>
      <c r="AH1" s="1">
        <v>28</v>
      </c>
      <c r="AI1" s="1">
        <v>29</v>
      </c>
      <c r="AJ1" s="1">
        <v>30</v>
      </c>
      <c r="AK1" s="1">
        <v>31</v>
      </c>
      <c r="AL1" s="1">
        <v>32</v>
      </c>
      <c r="AM1" s="1">
        <v>33</v>
      </c>
      <c r="AN1" s="1"/>
      <c r="AO1" s="1"/>
      <c r="AP1" s="1"/>
      <c r="AQ1" s="1"/>
      <c r="AR1" s="1"/>
      <c r="AS1" s="1"/>
      <c r="AT1" s="1">
        <v>34</v>
      </c>
      <c r="AU1" s="1">
        <v>35</v>
      </c>
      <c r="AV1" s="1">
        <v>36</v>
      </c>
      <c r="AW1" s="1">
        <v>37</v>
      </c>
      <c r="AX1" s="1">
        <v>38</v>
      </c>
      <c r="AY1" s="1">
        <v>39</v>
      </c>
      <c r="AZ1" s="1">
        <v>40</v>
      </c>
      <c r="BA1" s="1">
        <v>41</v>
      </c>
      <c r="BB1" s="1">
        <v>42</v>
      </c>
      <c r="BC1" s="1">
        <v>43</v>
      </c>
      <c r="BD1" s="1">
        <v>44</v>
      </c>
    </row>
    <row r="2" spans="1:58" ht="15.75" x14ac:dyDescent="0.25">
      <c r="A2" s="5"/>
      <c r="B2" s="5"/>
      <c r="C2" s="5"/>
      <c r="D2" s="5"/>
      <c r="E2" s="331" t="s">
        <v>0</v>
      </c>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113"/>
      <c r="AO2" s="113"/>
      <c r="AP2" s="113"/>
      <c r="AQ2" s="113"/>
      <c r="AR2" s="113"/>
      <c r="AS2" s="113"/>
      <c r="AT2" s="5"/>
      <c r="AU2" s="5"/>
      <c r="AV2" s="5"/>
      <c r="AW2" s="5"/>
      <c r="AX2" s="5"/>
      <c r="AY2" s="6"/>
      <c r="AZ2" s="7"/>
      <c r="BA2" s="5"/>
      <c r="BB2" s="8"/>
      <c r="BC2" s="5"/>
      <c r="BD2" s="5"/>
    </row>
    <row r="3" spans="1:58" ht="102" x14ac:dyDescent="0.25">
      <c r="A3" s="9" t="s">
        <v>1</v>
      </c>
      <c r="B3" s="9" t="s">
        <v>2</v>
      </c>
      <c r="C3" s="9" t="s">
        <v>3</v>
      </c>
      <c r="D3" s="9" t="s">
        <v>4</v>
      </c>
      <c r="E3" s="9" t="s">
        <v>5</v>
      </c>
      <c r="F3" s="9" t="s">
        <v>6</v>
      </c>
      <c r="G3" s="9" t="s">
        <v>7</v>
      </c>
      <c r="H3" s="9" t="s">
        <v>8</v>
      </c>
      <c r="I3" s="9" t="s">
        <v>9</v>
      </c>
      <c r="J3" s="9" t="s">
        <v>10</v>
      </c>
      <c r="K3" s="9" t="s">
        <v>11</v>
      </c>
      <c r="L3" s="9" t="s">
        <v>12</v>
      </c>
      <c r="M3" s="9" t="s">
        <v>13</v>
      </c>
      <c r="N3" s="10" t="s">
        <v>14</v>
      </c>
      <c r="O3" s="10" t="s">
        <v>172</v>
      </c>
      <c r="P3" s="10" t="s">
        <v>176</v>
      </c>
      <c r="Q3" s="10" t="s">
        <v>203</v>
      </c>
      <c r="R3" s="118" t="s">
        <v>234</v>
      </c>
      <c r="S3" s="118" t="s">
        <v>235</v>
      </c>
      <c r="T3" s="118" t="s">
        <v>236</v>
      </c>
      <c r="U3" s="11" t="s">
        <v>15</v>
      </c>
      <c r="V3" s="12" t="s">
        <v>16</v>
      </c>
      <c r="W3" s="11" t="s">
        <v>17</v>
      </c>
      <c r="X3" s="13" t="s">
        <v>18</v>
      </c>
      <c r="Y3" s="14" t="s">
        <v>19</v>
      </c>
      <c r="Z3" s="10" t="s">
        <v>20</v>
      </c>
      <c r="AA3" s="10" t="s">
        <v>181</v>
      </c>
      <c r="AB3" s="10" t="s">
        <v>182</v>
      </c>
      <c r="AC3" s="10" t="s">
        <v>205</v>
      </c>
      <c r="AD3" s="117" t="s">
        <v>237</v>
      </c>
      <c r="AE3" s="117" t="s">
        <v>238</v>
      </c>
      <c r="AF3" s="117" t="s">
        <v>239</v>
      </c>
      <c r="AG3" s="15" t="s">
        <v>21</v>
      </c>
      <c r="AH3" s="15" t="s">
        <v>22</v>
      </c>
      <c r="AI3" s="15" t="s">
        <v>23</v>
      </c>
      <c r="AJ3" s="15" t="s">
        <v>24</v>
      </c>
      <c r="AK3" s="16" t="s">
        <v>25</v>
      </c>
      <c r="AL3" s="9" t="s">
        <v>26</v>
      </c>
      <c r="AM3" s="9" t="s">
        <v>27</v>
      </c>
      <c r="AN3" s="134" t="s">
        <v>244</v>
      </c>
      <c r="AO3" s="118" t="s">
        <v>240</v>
      </c>
      <c r="AP3" s="118" t="s">
        <v>241</v>
      </c>
      <c r="AQ3" s="118" t="s">
        <v>242</v>
      </c>
      <c r="AR3" s="118" t="s">
        <v>243</v>
      </c>
      <c r="AS3" s="134"/>
      <c r="AT3" s="9" t="s">
        <v>28</v>
      </c>
      <c r="AU3" s="17" t="s">
        <v>29</v>
      </c>
      <c r="AV3" s="17" t="s">
        <v>30</v>
      </c>
      <c r="AW3" s="18" t="s">
        <v>31</v>
      </c>
      <c r="AX3" s="10" t="s">
        <v>32</v>
      </c>
      <c r="AY3" s="17" t="s">
        <v>33</v>
      </c>
      <c r="AZ3" s="10" t="s">
        <v>34</v>
      </c>
      <c r="BA3" s="9" t="s">
        <v>35</v>
      </c>
      <c r="BB3" s="9" t="s">
        <v>36</v>
      </c>
      <c r="BC3" s="9" t="s">
        <v>37</v>
      </c>
      <c r="BD3" s="10" t="s">
        <v>38</v>
      </c>
    </row>
    <row r="4" spans="1:58" ht="105" customHeight="1" x14ac:dyDescent="0.25">
      <c r="A4" s="328" t="s">
        <v>39</v>
      </c>
      <c r="B4" s="271" t="s">
        <v>40</v>
      </c>
      <c r="C4" s="328" t="s">
        <v>41</v>
      </c>
      <c r="D4" s="328" t="s">
        <v>42</v>
      </c>
      <c r="E4" s="328" t="s">
        <v>43</v>
      </c>
      <c r="F4" s="328" t="s">
        <v>44</v>
      </c>
      <c r="G4" s="312" t="s">
        <v>45</v>
      </c>
      <c r="H4" s="312" t="s">
        <v>46</v>
      </c>
      <c r="I4" s="312">
        <v>609</v>
      </c>
      <c r="J4" s="312" t="s">
        <v>47</v>
      </c>
      <c r="K4" s="312">
        <v>108</v>
      </c>
      <c r="L4" s="312">
        <f>37+33</f>
        <v>70</v>
      </c>
      <c r="M4" s="312">
        <v>0</v>
      </c>
      <c r="N4" s="315">
        <v>0</v>
      </c>
      <c r="O4" s="315">
        <v>0</v>
      </c>
      <c r="P4" s="315">
        <v>0</v>
      </c>
      <c r="Q4" s="315">
        <v>0</v>
      </c>
      <c r="R4" s="66"/>
      <c r="S4" s="66"/>
      <c r="T4" s="66"/>
      <c r="U4" s="328" t="s">
        <v>48</v>
      </c>
      <c r="V4" s="328">
        <v>2021130010181</v>
      </c>
      <c r="W4" s="271" t="s">
        <v>49</v>
      </c>
      <c r="X4" s="386" t="s">
        <v>204</v>
      </c>
      <c r="Y4" s="389">
        <v>609</v>
      </c>
      <c r="Z4" s="380">
        <v>0</v>
      </c>
      <c r="AA4" s="380">
        <v>0</v>
      </c>
      <c r="AB4" s="380">
        <v>0</v>
      </c>
      <c r="AC4" s="380">
        <v>420</v>
      </c>
      <c r="AD4" s="100"/>
      <c r="AE4" s="100"/>
      <c r="AF4" s="130">
        <f>SUM(AE5:AE18)/(7)</f>
        <v>0.52709359605911332</v>
      </c>
      <c r="AG4" s="377" t="s">
        <v>184</v>
      </c>
      <c r="AH4" s="377">
        <v>90</v>
      </c>
      <c r="AI4" s="377">
        <v>1043926</v>
      </c>
      <c r="AJ4" s="377">
        <v>1043926</v>
      </c>
      <c r="AK4" s="383">
        <v>0.37</v>
      </c>
      <c r="AL4" s="377" t="str">
        <f>+AL8</f>
        <v>Dirección general y Dirección Operativa de Distriseguridad</v>
      </c>
      <c r="AM4" s="377" t="str">
        <f>+AM8</f>
        <v>Luis Enrique Roa Merchán
Director General
Enver Díaz Escandón 
Director Operativo</v>
      </c>
      <c r="AN4" s="110" t="s">
        <v>245</v>
      </c>
      <c r="AO4" s="110">
        <v>4295011580</v>
      </c>
      <c r="AP4" s="110">
        <v>2500253520.96</v>
      </c>
      <c r="AQ4" s="110">
        <v>2500253520.96</v>
      </c>
      <c r="AR4" s="135">
        <f>AQ4/AO4</f>
        <v>0.58212963443511834</v>
      </c>
      <c r="AS4" s="110"/>
      <c r="AT4" s="377" t="s">
        <v>52</v>
      </c>
      <c r="AU4" s="54">
        <v>749068033.49000001</v>
      </c>
      <c r="AV4" s="57" t="s">
        <v>53</v>
      </c>
      <c r="AW4" s="76" t="s">
        <v>54</v>
      </c>
      <c r="AX4" s="380" t="s">
        <v>61</v>
      </c>
      <c r="AY4" s="23" t="s">
        <v>56</v>
      </c>
      <c r="AZ4" s="53">
        <v>0</v>
      </c>
      <c r="BA4" s="377" t="s">
        <v>57</v>
      </c>
      <c r="BB4" s="377" t="s">
        <v>70</v>
      </c>
      <c r="BC4" s="377" t="s">
        <v>186</v>
      </c>
      <c r="BD4" s="400" t="s">
        <v>209</v>
      </c>
    </row>
    <row r="5" spans="1:58" ht="75" x14ac:dyDescent="0.25">
      <c r="A5" s="329"/>
      <c r="B5" s="329"/>
      <c r="C5" s="329"/>
      <c r="D5" s="329"/>
      <c r="E5" s="329"/>
      <c r="F5" s="329"/>
      <c r="G5" s="313"/>
      <c r="H5" s="313"/>
      <c r="I5" s="313"/>
      <c r="J5" s="313"/>
      <c r="K5" s="313"/>
      <c r="L5" s="313"/>
      <c r="M5" s="313"/>
      <c r="N5" s="316"/>
      <c r="O5" s="316"/>
      <c r="P5" s="316"/>
      <c r="Q5" s="316"/>
      <c r="R5" s="90"/>
      <c r="S5" s="90"/>
      <c r="T5" s="90"/>
      <c r="U5" s="329"/>
      <c r="V5" s="329"/>
      <c r="W5" s="329"/>
      <c r="X5" s="387"/>
      <c r="Y5" s="390"/>
      <c r="Z5" s="381"/>
      <c r="AA5" s="381"/>
      <c r="AB5" s="381"/>
      <c r="AC5" s="381"/>
      <c r="AD5" s="101">
        <f>AC4</f>
        <v>420</v>
      </c>
      <c r="AE5" s="122">
        <f>AD5/Y4</f>
        <v>0.68965517241379315</v>
      </c>
      <c r="AF5" s="101"/>
      <c r="AG5" s="378"/>
      <c r="AH5" s="378"/>
      <c r="AI5" s="378"/>
      <c r="AJ5" s="378"/>
      <c r="AK5" s="384"/>
      <c r="AL5" s="378"/>
      <c r="AM5" s="378"/>
      <c r="AN5" s="111" t="s">
        <v>246</v>
      </c>
      <c r="AO5" s="111"/>
      <c r="AP5" s="111"/>
      <c r="AQ5" s="111"/>
      <c r="AR5" s="111"/>
      <c r="AS5" s="111"/>
      <c r="AT5" s="378"/>
      <c r="AU5" s="54">
        <v>425000000</v>
      </c>
      <c r="AV5" s="57" t="s">
        <v>98</v>
      </c>
      <c r="AW5" s="21" t="s">
        <v>54</v>
      </c>
      <c r="AX5" s="381"/>
      <c r="AY5" s="23" t="s">
        <v>56</v>
      </c>
      <c r="AZ5" s="53">
        <v>0</v>
      </c>
      <c r="BA5" s="378"/>
      <c r="BB5" s="378"/>
      <c r="BC5" s="378"/>
      <c r="BD5" s="401"/>
    </row>
    <row r="6" spans="1:58" ht="75" x14ac:dyDescent="0.25">
      <c r="A6" s="329"/>
      <c r="B6" s="329"/>
      <c r="C6" s="329"/>
      <c r="D6" s="329"/>
      <c r="E6" s="329"/>
      <c r="F6" s="329"/>
      <c r="G6" s="313"/>
      <c r="H6" s="313"/>
      <c r="I6" s="313"/>
      <c r="J6" s="313"/>
      <c r="K6" s="313"/>
      <c r="L6" s="313"/>
      <c r="M6" s="313"/>
      <c r="N6" s="316"/>
      <c r="O6" s="316"/>
      <c r="P6" s="316"/>
      <c r="Q6" s="316"/>
      <c r="R6" s="90"/>
      <c r="S6" s="90"/>
      <c r="T6" s="90"/>
      <c r="U6" s="329"/>
      <c r="V6" s="329"/>
      <c r="W6" s="329"/>
      <c r="X6" s="387"/>
      <c r="Y6" s="390"/>
      <c r="Z6" s="381"/>
      <c r="AA6" s="381"/>
      <c r="AB6" s="381"/>
      <c r="AC6" s="381"/>
      <c r="AD6" s="101"/>
      <c r="AE6" s="122"/>
      <c r="AF6" s="101"/>
      <c r="AG6" s="378"/>
      <c r="AH6" s="378"/>
      <c r="AI6" s="378"/>
      <c r="AJ6" s="378"/>
      <c r="AK6" s="384"/>
      <c r="AL6" s="378"/>
      <c r="AM6" s="378"/>
      <c r="AN6" s="111" t="s">
        <v>247</v>
      </c>
      <c r="AO6" s="111"/>
      <c r="AP6" s="111"/>
      <c r="AQ6" s="111"/>
      <c r="AR6" s="111"/>
      <c r="AS6" s="111"/>
      <c r="AT6" s="378"/>
      <c r="AU6" s="54">
        <v>53623127.25</v>
      </c>
      <c r="AV6" s="57" t="s">
        <v>60</v>
      </c>
      <c r="AW6" s="21" t="s">
        <v>54</v>
      </c>
      <c r="AX6" s="381"/>
      <c r="AY6" s="23" t="s">
        <v>56</v>
      </c>
      <c r="AZ6" s="53">
        <v>0</v>
      </c>
      <c r="BA6" s="378"/>
      <c r="BB6" s="378"/>
      <c r="BC6" s="378"/>
      <c r="BD6" s="401"/>
    </row>
    <row r="7" spans="1:58" ht="75" x14ac:dyDescent="0.25">
      <c r="A7" s="329"/>
      <c r="B7" s="329"/>
      <c r="C7" s="329"/>
      <c r="D7" s="329"/>
      <c r="E7" s="329"/>
      <c r="F7" s="329"/>
      <c r="G7" s="313"/>
      <c r="H7" s="313"/>
      <c r="I7" s="313"/>
      <c r="J7" s="313"/>
      <c r="K7" s="313"/>
      <c r="L7" s="313"/>
      <c r="M7" s="313"/>
      <c r="N7" s="316"/>
      <c r="O7" s="316"/>
      <c r="P7" s="316"/>
      <c r="Q7" s="316"/>
      <c r="R7" s="90"/>
      <c r="S7" s="119">
        <f>R7/L4</f>
        <v>0</v>
      </c>
      <c r="T7" s="119">
        <f>(R7+M4)/(K4)</f>
        <v>0</v>
      </c>
      <c r="U7" s="329"/>
      <c r="V7" s="329"/>
      <c r="W7" s="329"/>
      <c r="X7" s="388"/>
      <c r="Y7" s="391"/>
      <c r="Z7" s="382"/>
      <c r="AA7" s="382"/>
      <c r="AB7" s="382"/>
      <c r="AC7" s="382"/>
      <c r="AD7" s="102"/>
      <c r="AE7" s="122"/>
      <c r="AF7" s="102"/>
      <c r="AG7" s="379"/>
      <c r="AH7" s="379"/>
      <c r="AI7" s="379"/>
      <c r="AJ7" s="379"/>
      <c r="AK7" s="385"/>
      <c r="AL7" s="379"/>
      <c r="AM7" s="379"/>
      <c r="AN7" s="112" t="s">
        <v>248</v>
      </c>
      <c r="AO7" s="112"/>
      <c r="AP7" s="112"/>
      <c r="AQ7" s="112"/>
      <c r="AR7" s="112"/>
      <c r="AS7" s="112"/>
      <c r="AT7" s="379"/>
      <c r="AU7" s="54">
        <v>355904776</v>
      </c>
      <c r="AV7" s="57" t="s">
        <v>185</v>
      </c>
      <c r="AW7" s="21" t="s">
        <v>54</v>
      </c>
      <c r="AX7" s="381"/>
      <c r="AY7" s="23" t="s">
        <v>56</v>
      </c>
      <c r="AZ7" s="53">
        <v>0</v>
      </c>
      <c r="BA7" s="379"/>
      <c r="BB7" s="379"/>
      <c r="BC7" s="379"/>
      <c r="BD7" s="402"/>
    </row>
    <row r="8" spans="1:58" ht="75" x14ac:dyDescent="0.25">
      <c r="A8" s="329"/>
      <c r="B8" s="329"/>
      <c r="C8" s="329"/>
      <c r="D8" s="329"/>
      <c r="E8" s="329"/>
      <c r="F8" s="329"/>
      <c r="G8" s="313"/>
      <c r="H8" s="313"/>
      <c r="I8" s="313"/>
      <c r="J8" s="313"/>
      <c r="K8" s="313"/>
      <c r="L8" s="313"/>
      <c r="M8" s="313"/>
      <c r="N8" s="316"/>
      <c r="O8" s="316"/>
      <c r="P8" s="316"/>
      <c r="Q8" s="316"/>
      <c r="R8" s="90"/>
      <c r="S8" s="90"/>
      <c r="T8" s="90"/>
      <c r="U8" s="329"/>
      <c r="V8" s="329"/>
      <c r="W8" s="329"/>
      <c r="X8" s="343" t="s">
        <v>58</v>
      </c>
      <c r="Y8" s="342">
        <v>12</v>
      </c>
      <c r="Z8" s="303">
        <v>3</v>
      </c>
      <c r="AA8" s="259">
        <v>3</v>
      </c>
      <c r="AB8" s="259">
        <v>3</v>
      </c>
      <c r="AC8" s="259">
        <v>3</v>
      </c>
      <c r="AD8" s="63">
        <f>12</f>
        <v>12</v>
      </c>
      <c r="AE8" s="122">
        <f>AD8/Y8</f>
        <v>1</v>
      </c>
      <c r="AF8" s="63"/>
      <c r="AG8" s="292" t="s">
        <v>59</v>
      </c>
      <c r="AH8" s="292">
        <v>360</v>
      </c>
      <c r="AI8" s="292">
        <v>1043926</v>
      </c>
      <c r="AJ8" s="292">
        <v>1043926</v>
      </c>
      <c r="AK8" s="339">
        <v>0.05</v>
      </c>
      <c r="AL8" s="302" t="s">
        <v>180</v>
      </c>
      <c r="AM8" s="288" t="s">
        <v>177</v>
      </c>
      <c r="AN8" s="20" t="s">
        <v>249</v>
      </c>
      <c r="AO8" s="20"/>
      <c r="AP8" s="20"/>
      <c r="AQ8" s="20"/>
      <c r="AR8" s="20"/>
      <c r="AS8" s="20"/>
      <c r="AT8" s="288" t="s">
        <v>52</v>
      </c>
      <c r="AU8" s="54">
        <v>126000000</v>
      </c>
      <c r="AV8" s="57" t="s">
        <v>60</v>
      </c>
      <c r="AW8" s="21" t="s">
        <v>54</v>
      </c>
      <c r="AX8" s="381"/>
      <c r="AY8" s="23" t="s">
        <v>56</v>
      </c>
      <c r="AZ8" s="53">
        <v>0.6</v>
      </c>
      <c r="BA8" s="292" t="s">
        <v>61</v>
      </c>
      <c r="BB8" s="265"/>
      <c r="BC8" s="296"/>
      <c r="BD8" s="340" t="s">
        <v>210</v>
      </c>
    </row>
    <row r="9" spans="1:58" ht="75" x14ac:dyDescent="0.25">
      <c r="A9" s="329"/>
      <c r="B9" s="329"/>
      <c r="C9" s="329"/>
      <c r="D9" s="329"/>
      <c r="E9" s="329"/>
      <c r="F9" s="329"/>
      <c r="G9" s="313"/>
      <c r="H9" s="313"/>
      <c r="I9" s="313"/>
      <c r="J9" s="313"/>
      <c r="K9" s="313"/>
      <c r="L9" s="313"/>
      <c r="M9" s="313"/>
      <c r="N9" s="316"/>
      <c r="O9" s="316"/>
      <c r="P9" s="316"/>
      <c r="Q9" s="316"/>
      <c r="R9" s="90"/>
      <c r="S9" s="90"/>
      <c r="T9" s="90"/>
      <c r="U9" s="329"/>
      <c r="V9" s="329"/>
      <c r="W9" s="329"/>
      <c r="X9" s="287"/>
      <c r="Y9" s="287"/>
      <c r="Z9" s="304"/>
      <c r="AA9" s="260"/>
      <c r="AB9" s="260"/>
      <c r="AC9" s="260"/>
      <c r="AD9" s="64"/>
      <c r="AE9" s="122"/>
      <c r="AF9" s="64"/>
      <c r="AG9" s="287"/>
      <c r="AH9" s="287"/>
      <c r="AI9" s="287"/>
      <c r="AJ9" s="287"/>
      <c r="AK9" s="287"/>
      <c r="AL9" s="295"/>
      <c r="AM9" s="287"/>
      <c r="AN9" s="67"/>
      <c r="AO9" s="67"/>
      <c r="AP9" s="67"/>
      <c r="AQ9" s="67"/>
      <c r="AR9" s="67"/>
      <c r="AS9" s="67"/>
      <c r="AT9" s="287"/>
      <c r="AU9" s="54">
        <v>73565800.510000005</v>
      </c>
      <c r="AV9" s="57" t="s">
        <v>53</v>
      </c>
      <c r="AW9" s="22" t="s">
        <v>54</v>
      </c>
      <c r="AX9" s="381"/>
      <c r="AY9" s="23" t="s">
        <v>56</v>
      </c>
      <c r="AZ9" s="53">
        <v>1</v>
      </c>
      <c r="BA9" s="287"/>
      <c r="BB9" s="267"/>
      <c r="BC9" s="298"/>
      <c r="BD9" s="278"/>
      <c r="BE9" s="82"/>
      <c r="BF9" s="83"/>
    </row>
    <row r="10" spans="1:58" ht="75" x14ac:dyDescent="0.25">
      <c r="A10" s="329"/>
      <c r="B10" s="329"/>
      <c r="C10" s="329"/>
      <c r="D10" s="329"/>
      <c r="E10" s="329"/>
      <c r="F10" s="329"/>
      <c r="G10" s="313"/>
      <c r="H10" s="313"/>
      <c r="I10" s="313"/>
      <c r="J10" s="313"/>
      <c r="K10" s="313"/>
      <c r="L10" s="313"/>
      <c r="M10" s="313"/>
      <c r="N10" s="316"/>
      <c r="O10" s="316"/>
      <c r="P10" s="316"/>
      <c r="Q10" s="316"/>
      <c r="R10" s="90"/>
      <c r="S10" s="90"/>
      <c r="T10" s="90"/>
      <c r="U10" s="329"/>
      <c r="V10" s="329"/>
      <c r="W10" s="329"/>
      <c r="X10" s="343" t="s">
        <v>62</v>
      </c>
      <c r="Y10" s="342">
        <v>12</v>
      </c>
      <c r="Z10" s="303">
        <v>3</v>
      </c>
      <c r="AA10" s="259">
        <v>3</v>
      </c>
      <c r="AB10" s="259">
        <v>3</v>
      </c>
      <c r="AC10" s="259">
        <v>3</v>
      </c>
      <c r="AD10" s="63">
        <f>12</f>
        <v>12</v>
      </c>
      <c r="AE10" s="122">
        <f>AD10/Y10</f>
        <v>1</v>
      </c>
      <c r="AF10" s="63"/>
      <c r="AG10" s="292" t="s">
        <v>59</v>
      </c>
      <c r="AH10" s="292">
        <v>360</v>
      </c>
      <c r="AI10" s="292">
        <v>1043926</v>
      </c>
      <c r="AJ10" s="292">
        <v>1043926</v>
      </c>
      <c r="AK10" s="339">
        <v>0.02</v>
      </c>
      <c r="AL10" s="302" t="s">
        <v>180</v>
      </c>
      <c r="AM10" s="288" t="str">
        <f t="shared" ref="AM10" si="0">+AM8</f>
        <v>Luis Enrique Roa Merchán
Director General
Enver Díaz Escandón 
Director Operativo</v>
      </c>
      <c r="AN10" s="20"/>
      <c r="AO10" s="20"/>
      <c r="AP10" s="20"/>
      <c r="AQ10" s="20"/>
      <c r="AR10" s="20"/>
      <c r="AS10" s="20"/>
      <c r="AT10" s="411" t="s">
        <v>52</v>
      </c>
      <c r="AU10" s="54">
        <v>90556957.749999896</v>
      </c>
      <c r="AV10" s="57" t="s">
        <v>60</v>
      </c>
      <c r="AW10" s="22" t="s">
        <v>54</v>
      </c>
      <c r="AX10" s="381"/>
      <c r="AY10" s="23" t="s">
        <v>56</v>
      </c>
      <c r="AZ10" s="53">
        <v>0.98</v>
      </c>
      <c r="BA10" s="292" t="s">
        <v>57</v>
      </c>
      <c r="BB10" s="291" t="s">
        <v>63</v>
      </c>
      <c r="BC10" s="292" t="s">
        <v>64</v>
      </c>
      <c r="BD10" s="340" t="s">
        <v>211</v>
      </c>
    </row>
    <row r="11" spans="1:58" ht="75" x14ac:dyDescent="0.25">
      <c r="A11" s="329"/>
      <c r="B11" s="329"/>
      <c r="C11" s="329"/>
      <c r="D11" s="329"/>
      <c r="E11" s="329"/>
      <c r="F11" s="329"/>
      <c r="G11" s="314"/>
      <c r="H11" s="314"/>
      <c r="I11" s="314"/>
      <c r="J11" s="314"/>
      <c r="K11" s="314"/>
      <c r="L11" s="314"/>
      <c r="M11" s="314"/>
      <c r="N11" s="317"/>
      <c r="O11" s="317"/>
      <c r="P11" s="317"/>
      <c r="Q11" s="317"/>
      <c r="R11" s="90"/>
      <c r="S11" s="90"/>
      <c r="T11" s="90"/>
      <c r="U11" s="329"/>
      <c r="V11" s="329"/>
      <c r="W11" s="329"/>
      <c r="X11" s="287"/>
      <c r="Y11" s="287"/>
      <c r="Z11" s="304"/>
      <c r="AA11" s="260"/>
      <c r="AB11" s="260"/>
      <c r="AC11" s="260"/>
      <c r="AD11" s="64"/>
      <c r="AE11" s="122"/>
      <c r="AF11" s="64"/>
      <c r="AG11" s="287"/>
      <c r="AH11" s="287"/>
      <c r="AI11" s="287"/>
      <c r="AJ11" s="287"/>
      <c r="AK11" s="287"/>
      <c r="AL11" s="287"/>
      <c r="AM11" s="287"/>
      <c r="AN11" s="67"/>
      <c r="AO11" s="67"/>
      <c r="AP11" s="67"/>
      <c r="AQ11" s="67"/>
      <c r="AR11" s="67"/>
      <c r="AS11" s="67"/>
      <c r="AT11" s="287"/>
      <c r="AU11" s="54">
        <v>1307002</v>
      </c>
      <c r="AV11" s="57" t="s">
        <v>65</v>
      </c>
      <c r="AW11" s="21" t="s">
        <v>54</v>
      </c>
      <c r="AX11" s="381"/>
      <c r="AY11" s="23" t="s">
        <v>56</v>
      </c>
      <c r="AZ11" s="53">
        <v>0</v>
      </c>
      <c r="BA11" s="287"/>
      <c r="BB11" s="287"/>
      <c r="BC11" s="287"/>
      <c r="BD11" s="278"/>
    </row>
    <row r="12" spans="1:58" ht="210" x14ac:dyDescent="0.25">
      <c r="A12" s="329"/>
      <c r="B12" s="329"/>
      <c r="C12" s="329"/>
      <c r="D12" s="329"/>
      <c r="E12" s="329"/>
      <c r="F12" s="329"/>
      <c r="G12" s="65" t="s">
        <v>67</v>
      </c>
      <c r="H12" s="65" t="s">
        <v>46</v>
      </c>
      <c r="I12" s="65">
        <v>195</v>
      </c>
      <c r="J12" s="71" t="s">
        <v>68</v>
      </c>
      <c r="K12" s="72">
        <v>585</v>
      </c>
      <c r="L12" s="72">
        <f>195*2</f>
        <v>390</v>
      </c>
      <c r="M12" s="72">
        <v>195</v>
      </c>
      <c r="N12" s="66">
        <v>0</v>
      </c>
      <c r="O12" s="66">
        <v>0</v>
      </c>
      <c r="P12" s="66">
        <v>0</v>
      </c>
      <c r="Q12" s="66">
        <v>0</v>
      </c>
      <c r="R12" s="90">
        <f>0</f>
        <v>0</v>
      </c>
      <c r="S12" s="119">
        <f>R12/L12</f>
        <v>0</v>
      </c>
      <c r="T12" s="119">
        <f>M12/K12</f>
        <v>0.33333333333333331</v>
      </c>
      <c r="U12" s="329"/>
      <c r="V12" s="329"/>
      <c r="W12" s="329"/>
      <c r="X12" s="81"/>
      <c r="Y12" s="80"/>
      <c r="Z12" s="63"/>
      <c r="AA12" s="63"/>
      <c r="AB12" s="63"/>
      <c r="AC12" s="63"/>
      <c r="AD12" s="63"/>
      <c r="AE12" s="122"/>
      <c r="AF12" s="63"/>
      <c r="AG12" s="78"/>
      <c r="AH12" s="78"/>
      <c r="AI12" s="78"/>
      <c r="AJ12" s="78"/>
      <c r="AK12" s="79"/>
      <c r="AL12" s="77"/>
      <c r="AM12" s="62"/>
      <c r="AN12" s="62"/>
      <c r="AO12" s="62"/>
      <c r="AP12" s="62"/>
      <c r="AQ12" s="62"/>
      <c r="AR12" s="62"/>
      <c r="AS12" s="62"/>
      <c r="AT12" s="62"/>
      <c r="AU12" s="55"/>
      <c r="AV12" s="57"/>
      <c r="AW12" s="22"/>
      <c r="AX12" s="381"/>
      <c r="AY12" s="23"/>
      <c r="AZ12" s="53"/>
      <c r="BA12" s="78"/>
      <c r="BB12" s="77"/>
      <c r="BC12" s="77"/>
      <c r="BD12" s="77"/>
    </row>
    <row r="13" spans="1:58" ht="75" x14ac:dyDescent="0.25">
      <c r="A13" s="329"/>
      <c r="B13" s="329"/>
      <c r="C13" s="329"/>
      <c r="D13" s="329"/>
      <c r="E13" s="329"/>
      <c r="F13" s="329"/>
      <c r="G13" s="312" t="s">
        <v>71</v>
      </c>
      <c r="H13" s="312" t="s">
        <v>46</v>
      </c>
      <c r="I13" s="312">
        <v>280</v>
      </c>
      <c r="J13" s="322" t="s">
        <v>72</v>
      </c>
      <c r="K13" s="325">
        <v>100</v>
      </c>
      <c r="L13" s="325">
        <v>75</v>
      </c>
      <c r="M13" s="325">
        <v>0</v>
      </c>
      <c r="N13" s="315">
        <v>0</v>
      </c>
      <c r="O13" s="315">
        <v>0</v>
      </c>
      <c r="P13" s="315">
        <v>0</v>
      </c>
      <c r="Q13" s="315">
        <v>0</v>
      </c>
      <c r="R13" s="90"/>
      <c r="S13" s="90"/>
      <c r="T13" s="90"/>
      <c r="U13" s="329"/>
      <c r="V13" s="329"/>
      <c r="W13" s="329"/>
      <c r="X13" s="343" t="s">
        <v>174</v>
      </c>
      <c r="Y13" s="342">
        <v>35</v>
      </c>
      <c r="Z13" s="303">
        <v>0</v>
      </c>
      <c r="AA13" s="259">
        <v>0</v>
      </c>
      <c r="AB13" s="259">
        <v>0</v>
      </c>
      <c r="AC13" s="259">
        <v>0</v>
      </c>
      <c r="AD13" s="63">
        <f>0</f>
        <v>0</v>
      </c>
      <c r="AE13" s="122"/>
      <c r="AF13" s="63"/>
      <c r="AG13" s="292" t="s">
        <v>184</v>
      </c>
      <c r="AH13" s="292">
        <v>90</v>
      </c>
      <c r="AI13" s="292">
        <v>1043926</v>
      </c>
      <c r="AJ13" s="292">
        <v>1043926</v>
      </c>
      <c r="AK13" s="339">
        <v>0.14000000000000001</v>
      </c>
      <c r="AL13" s="302" t="s">
        <v>180</v>
      </c>
      <c r="AM13" s="288" t="str">
        <f>+AM10</f>
        <v>Luis Enrique Roa Merchán
Director General
Enver Díaz Escandón 
Director Operativo</v>
      </c>
      <c r="AN13" s="20"/>
      <c r="AO13" s="20"/>
      <c r="AP13" s="20"/>
      <c r="AQ13" s="20"/>
      <c r="AR13" s="20"/>
      <c r="AS13" s="20"/>
      <c r="AT13" s="288" t="s">
        <v>52</v>
      </c>
      <c r="AU13" s="48">
        <v>34985883.000000097</v>
      </c>
      <c r="AV13" s="57" t="s">
        <v>60</v>
      </c>
      <c r="AW13" s="22" t="s">
        <v>54</v>
      </c>
      <c r="AX13" s="381"/>
      <c r="AY13" s="23" t="s">
        <v>56</v>
      </c>
      <c r="AZ13" s="53">
        <v>1</v>
      </c>
      <c r="BA13" s="292" t="s">
        <v>57</v>
      </c>
      <c r="BB13" s="291">
        <f>+BB12</f>
        <v>0</v>
      </c>
      <c r="BC13" s="291" t="s">
        <v>186</v>
      </c>
      <c r="BD13" s="403" t="s">
        <v>206</v>
      </c>
    </row>
    <row r="14" spans="1:58" ht="75" x14ac:dyDescent="0.25">
      <c r="A14" s="329"/>
      <c r="B14" s="329"/>
      <c r="C14" s="329"/>
      <c r="D14" s="329"/>
      <c r="E14" s="329"/>
      <c r="F14" s="329"/>
      <c r="G14" s="313"/>
      <c r="H14" s="313"/>
      <c r="I14" s="313"/>
      <c r="J14" s="323"/>
      <c r="K14" s="326"/>
      <c r="L14" s="326"/>
      <c r="M14" s="326"/>
      <c r="N14" s="316"/>
      <c r="O14" s="316"/>
      <c r="P14" s="316"/>
      <c r="Q14" s="316"/>
      <c r="R14" s="90"/>
      <c r="S14" s="90"/>
      <c r="T14" s="90"/>
      <c r="U14" s="329"/>
      <c r="V14" s="329"/>
      <c r="W14" s="329"/>
      <c r="X14" s="287"/>
      <c r="Y14" s="287"/>
      <c r="Z14" s="304"/>
      <c r="AA14" s="261"/>
      <c r="AB14" s="261"/>
      <c r="AC14" s="261"/>
      <c r="AD14" s="98"/>
      <c r="AE14" s="122">
        <f t="shared" ref="AE14:AE66" si="1">AD14/Y13</f>
        <v>0</v>
      </c>
      <c r="AF14" s="98"/>
      <c r="AG14" s="287"/>
      <c r="AH14" s="287"/>
      <c r="AI14" s="287"/>
      <c r="AJ14" s="287"/>
      <c r="AK14" s="287"/>
      <c r="AL14" s="295"/>
      <c r="AM14" s="287"/>
      <c r="AN14" s="67"/>
      <c r="AO14" s="67"/>
      <c r="AP14" s="67"/>
      <c r="AQ14" s="67"/>
      <c r="AR14" s="67"/>
      <c r="AS14" s="67"/>
      <c r="AT14" s="287"/>
      <c r="AU14" s="48">
        <v>500000000</v>
      </c>
      <c r="AV14" s="57" t="s">
        <v>53</v>
      </c>
      <c r="AW14" s="22" t="s">
        <v>54</v>
      </c>
      <c r="AX14" s="381"/>
      <c r="AY14" s="23" t="s">
        <v>56</v>
      </c>
      <c r="AZ14" s="53">
        <v>1</v>
      </c>
      <c r="BA14" s="287"/>
      <c r="BB14" s="287"/>
      <c r="BC14" s="287"/>
      <c r="BD14" s="404"/>
    </row>
    <row r="15" spans="1:58" ht="75" x14ac:dyDescent="0.25">
      <c r="A15" s="329"/>
      <c r="B15" s="329"/>
      <c r="C15" s="329"/>
      <c r="D15" s="329"/>
      <c r="E15" s="329"/>
      <c r="F15" s="329"/>
      <c r="G15" s="313"/>
      <c r="H15" s="313"/>
      <c r="I15" s="313"/>
      <c r="J15" s="323"/>
      <c r="K15" s="326"/>
      <c r="L15" s="326"/>
      <c r="M15" s="326"/>
      <c r="N15" s="316"/>
      <c r="O15" s="316"/>
      <c r="P15" s="316"/>
      <c r="Q15" s="316"/>
      <c r="R15" s="90">
        <f>0</f>
        <v>0</v>
      </c>
      <c r="S15" s="119">
        <f>0%</f>
        <v>0</v>
      </c>
      <c r="T15" s="119">
        <f>0%</f>
        <v>0</v>
      </c>
      <c r="U15" s="329"/>
      <c r="V15" s="329"/>
      <c r="W15" s="329"/>
      <c r="X15" s="287"/>
      <c r="Y15" s="287"/>
      <c r="Z15" s="304"/>
      <c r="AA15" s="260"/>
      <c r="AB15" s="260"/>
      <c r="AC15" s="260"/>
      <c r="AD15" s="64"/>
      <c r="AE15" s="122"/>
      <c r="AF15" s="64"/>
      <c r="AG15" s="287"/>
      <c r="AH15" s="287"/>
      <c r="AI15" s="287"/>
      <c r="AJ15" s="287"/>
      <c r="AK15" s="287"/>
      <c r="AL15" s="295"/>
      <c r="AM15" s="287"/>
      <c r="AN15" s="67"/>
      <c r="AO15" s="67"/>
      <c r="AP15" s="67"/>
      <c r="AQ15" s="67"/>
      <c r="AR15" s="67"/>
      <c r="AS15" s="67"/>
      <c r="AT15" s="287"/>
      <c r="AU15" s="48">
        <v>75000000</v>
      </c>
      <c r="AV15" s="57" t="s">
        <v>66</v>
      </c>
      <c r="AW15" s="70" t="s">
        <v>54</v>
      </c>
      <c r="AX15" s="381"/>
      <c r="AY15" s="23" t="s">
        <v>56</v>
      </c>
      <c r="AZ15" s="53">
        <v>1</v>
      </c>
      <c r="BA15" s="287"/>
      <c r="BB15" s="287"/>
      <c r="BC15" s="287"/>
      <c r="BD15" s="404"/>
    </row>
    <row r="16" spans="1:58" ht="262.5" x14ac:dyDescent="0.25">
      <c r="A16" s="329"/>
      <c r="B16" s="329"/>
      <c r="C16" s="329"/>
      <c r="D16" s="329"/>
      <c r="E16" s="329"/>
      <c r="F16" s="329"/>
      <c r="G16" s="314"/>
      <c r="H16" s="314"/>
      <c r="I16" s="314"/>
      <c r="J16" s="324"/>
      <c r="K16" s="327"/>
      <c r="L16" s="327"/>
      <c r="M16" s="327"/>
      <c r="N16" s="317"/>
      <c r="O16" s="317"/>
      <c r="P16" s="317"/>
      <c r="Q16" s="317"/>
      <c r="R16" s="90"/>
      <c r="S16" s="90"/>
      <c r="T16" s="90"/>
      <c r="U16" s="329"/>
      <c r="V16" s="329"/>
      <c r="W16" s="329"/>
      <c r="X16" s="84" t="s">
        <v>183</v>
      </c>
      <c r="Y16" s="74">
        <v>60</v>
      </c>
      <c r="Z16" s="64">
        <v>0</v>
      </c>
      <c r="AA16" s="64">
        <v>0</v>
      </c>
      <c r="AB16" s="64">
        <v>0</v>
      </c>
      <c r="AC16" s="64">
        <v>0</v>
      </c>
      <c r="AD16" s="64">
        <f>0</f>
        <v>0</v>
      </c>
      <c r="AE16" s="122">
        <f>AD16/Y16</f>
        <v>0</v>
      </c>
      <c r="AF16" s="64"/>
      <c r="AG16" s="73" t="s">
        <v>184</v>
      </c>
      <c r="AH16" s="74">
        <v>90</v>
      </c>
      <c r="AI16" s="19">
        <f>+AI13</f>
        <v>1043926</v>
      </c>
      <c r="AJ16" s="19">
        <f>+AI16</f>
        <v>1043926</v>
      </c>
      <c r="AK16" s="35">
        <v>0.28000000000000003</v>
      </c>
      <c r="AL16" s="69" t="str">
        <f>+AL13</f>
        <v>Dirección general y Dirección Operativa de Distriseguridad</v>
      </c>
      <c r="AM16" s="69" t="str">
        <f>+AM13</f>
        <v>Luis Enrique Roa Merchán
Director General
Enver Díaz Escandón 
Director Operativo</v>
      </c>
      <c r="AN16" s="69"/>
      <c r="AO16" s="69"/>
      <c r="AP16" s="69"/>
      <c r="AQ16" s="69"/>
      <c r="AR16" s="69"/>
      <c r="AS16" s="69"/>
      <c r="AT16" s="75" t="s">
        <v>52</v>
      </c>
      <c r="AU16" s="48">
        <v>1220000000</v>
      </c>
      <c r="AV16" s="85" t="s">
        <v>185</v>
      </c>
      <c r="AW16" s="76" t="s">
        <v>54</v>
      </c>
      <c r="AX16" s="381"/>
      <c r="AY16" s="23" t="s">
        <v>56</v>
      </c>
      <c r="AZ16" s="53">
        <v>0</v>
      </c>
      <c r="BA16" s="67"/>
      <c r="BB16" s="25" t="s">
        <v>70</v>
      </c>
      <c r="BC16" s="74" t="s">
        <v>186</v>
      </c>
      <c r="BD16" s="96" t="s">
        <v>207</v>
      </c>
    </row>
    <row r="17" spans="1:57" ht="75" x14ac:dyDescent="0.25">
      <c r="A17" s="329"/>
      <c r="B17" s="329"/>
      <c r="C17" s="329"/>
      <c r="D17" s="329"/>
      <c r="E17" s="329"/>
      <c r="F17" s="329"/>
      <c r="G17" s="312" t="s">
        <v>74</v>
      </c>
      <c r="H17" s="312" t="s">
        <v>46</v>
      </c>
      <c r="I17" s="312" t="s">
        <v>75</v>
      </c>
      <c r="J17" s="322" t="s">
        <v>76</v>
      </c>
      <c r="K17" s="325">
        <v>1</v>
      </c>
      <c r="L17" s="325">
        <v>0</v>
      </c>
      <c r="M17" s="325">
        <v>0</v>
      </c>
      <c r="N17" s="315">
        <v>0</v>
      </c>
      <c r="O17" s="315">
        <v>0</v>
      </c>
      <c r="P17" s="365">
        <v>1</v>
      </c>
      <c r="Q17" s="315">
        <v>1</v>
      </c>
      <c r="R17" s="152">
        <f>1</f>
        <v>1</v>
      </c>
      <c r="S17" s="119">
        <f>100%</f>
        <v>1</v>
      </c>
      <c r="T17" s="119">
        <f>100%</f>
        <v>1</v>
      </c>
      <c r="U17" s="329"/>
      <c r="V17" s="329"/>
      <c r="W17" s="329"/>
      <c r="X17" s="392" t="s">
        <v>173</v>
      </c>
      <c r="Y17" s="394">
        <v>1</v>
      </c>
      <c r="Z17" s="259">
        <v>0</v>
      </c>
      <c r="AA17" s="259">
        <v>0</v>
      </c>
      <c r="AB17" s="259">
        <v>1</v>
      </c>
      <c r="AC17" s="259">
        <v>1</v>
      </c>
      <c r="AD17" s="63">
        <f>1</f>
        <v>1</v>
      </c>
      <c r="AE17" s="122">
        <f>AD17/Y17</f>
        <v>1</v>
      </c>
      <c r="AF17" s="63"/>
      <c r="AG17" s="296" t="s">
        <v>184</v>
      </c>
      <c r="AH17" s="296">
        <v>90</v>
      </c>
      <c r="AI17" s="296">
        <v>1043926</v>
      </c>
      <c r="AJ17" s="296">
        <v>1043926</v>
      </c>
      <c r="AK17" s="412">
        <v>0.14000000000000001</v>
      </c>
      <c r="AL17" s="271" t="s">
        <v>180</v>
      </c>
      <c r="AM17" s="328" t="s">
        <v>177</v>
      </c>
      <c r="AN17" s="62"/>
      <c r="AO17" s="62"/>
      <c r="AP17" s="62"/>
      <c r="AQ17" s="62"/>
      <c r="AR17" s="62"/>
      <c r="AS17" s="62"/>
      <c r="AT17" s="328" t="s">
        <v>52</v>
      </c>
      <c r="AU17" s="48">
        <v>190000000</v>
      </c>
      <c r="AV17" s="85" t="s">
        <v>185</v>
      </c>
      <c r="AW17" s="70" t="s">
        <v>54</v>
      </c>
      <c r="AX17" s="381"/>
      <c r="AY17" s="23" t="s">
        <v>56</v>
      </c>
      <c r="AZ17" s="53">
        <v>0</v>
      </c>
      <c r="BA17" s="19" t="s">
        <v>57</v>
      </c>
      <c r="BB17" s="265" t="s">
        <v>70</v>
      </c>
      <c r="BC17" s="296" t="s">
        <v>186</v>
      </c>
      <c r="BD17" s="398" t="s">
        <v>208</v>
      </c>
    </row>
    <row r="18" spans="1:57" ht="75" x14ac:dyDescent="0.25">
      <c r="A18" s="330"/>
      <c r="B18" s="330"/>
      <c r="C18" s="330"/>
      <c r="D18" s="330"/>
      <c r="E18" s="330"/>
      <c r="F18" s="330"/>
      <c r="G18" s="314"/>
      <c r="H18" s="314"/>
      <c r="I18" s="314"/>
      <c r="J18" s="324"/>
      <c r="K18" s="327"/>
      <c r="L18" s="327"/>
      <c r="M18" s="327"/>
      <c r="N18" s="317"/>
      <c r="O18" s="317"/>
      <c r="P18" s="366"/>
      <c r="Q18" s="317"/>
      <c r="R18" s="99"/>
      <c r="S18" s="99"/>
      <c r="T18" s="99"/>
      <c r="U18" s="330"/>
      <c r="V18" s="330"/>
      <c r="W18" s="330"/>
      <c r="X18" s="393"/>
      <c r="Y18" s="395"/>
      <c r="Z18" s="260"/>
      <c r="AA18" s="260"/>
      <c r="AB18" s="260"/>
      <c r="AC18" s="260"/>
      <c r="AD18" s="64"/>
      <c r="AE18" s="122"/>
      <c r="AF18" s="64"/>
      <c r="AG18" s="298"/>
      <c r="AH18" s="298"/>
      <c r="AI18" s="298"/>
      <c r="AJ18" s="298"/>
      <c r="AK18" s="413"/>
      <c r="AL18" s="273"/>
      <c r="AM18" s="330"/>
      <c r="AN18" s="107"/>
      <c r="AO18" s="107"/>
      <c r="AP18" s="107"/>
      <c r="AQ18" s="107"/>
      <c r="AR18" s="107"/>
      <c r="AS18" s="107"/>
      <c r="AT18" s="330"/>
      <c r="AU18" s="48">
        <v>400000000</v>
      </c>
      <c r="AV18" s="57" t="s">
        <v>53</v>
      </c>
      <c r="AW18" s="70" t="s">
        <v>54</v>
      </c>
      <c r="AX18" s="382"/>
      <c r="AY18" s="23" t="s">
        <v>56</v>
      </c>
      <c r="AZ18" s="53">
        <v>0</v>
      </c>
      <c r="BA18" s="19" t="s">
        <v>57</v>
      </c>
      <c r="BB18" s="267"/>
      <c r="BC18" s="298"/>
      <c r="BD18" s="399"/>
    </row>
    <row r="19" spans="1:57" ht="99.75" customHeight="1" x14ac:dyDescent="0.25">
      <c r="A19" s="350" t="s">
        <v>256</v>
      </c>
      <c r="B19" s="351"/>
      <c r="C19" s="351"/>
      <c r="D19" s="351"/>
      <c r="E19" s="351"/>
      <c r="F19" s="351"/>
      <c r="G19" s="351"/>
      <c r="H19" s="351"/>
      <c r="I19" s="351"/>
      <c r="J19" s="351"/>
      <c r="K19" s="352"/>
      <c r="L19" s="124"/>
      <c r="M19" s="124"/>
      <c r="N19" s="90"/>
      <c r="O19" s="90"/>
      <c r="P19" s="128"/>
      <c r="Q19" s="90"/>
      <c r="R19" s="90"/>
      <c r="S19" s="139">
        <f>SUM(S4:S18)/(4)</f>
        <v>0.25</v>
      </c>
      <c r="T19" s="139">
        <f>SUM(T5:T18)/(4)</f>
        <v>0.33333333333333331</v>
      </c>
      <c r="U19" s="350" t="s">
        <v>257</v>
      </c>
      <c r="V19" s="351"/>
      <c r="W19" s="351"/>
      <c r="X19" s="351"/>
      <c r="Y19" s="352"/>
      <c r="Z19" s="64"/>
      <c r="AA19" s="64"/>
      <c r="AB19" s="64"/>
      <c r="AC19" s="64"/>
      <c r="AD19" s="64"/>
      <c r="AE19" s="122">
        <v>1</v>
      </c>
      <c r="AF19" s="140">
        <f>AVERAGE(AF4,AF8,AF10,AF14,AF16,AF17)</f>
        <v>0.52709359605911332</v>
      </c>
      <c r="AG19" s="123"/>
      <c r="AH19" s="123"/>
      <c r="AI19" s="123"/>
      <c r="AJ19" s="123"/>
      <c r="AK19" s="126"/>
      <c r="AL19" s="364" t="s">
        <v>264</v>
      </c>
      <c r="AM19" s="351"/>
      <c r="AN19" s="154"/>
      <c r="AO19" s="153">
        <f>AO4</f>
        <v>4295011580</v>
      </c>
      <c r="AP19" s="107">
        <f>AP4</f>
        <v>2500253520.96</v>
      </c>
      <c r="AQ19" s="107">
        <f>AQ4</f>
        <v>2500253520.96</v>
      </c>
      <c r="AR19" s="151">
        <f>AQ19/AO19</f>
        <v>0.58212963443511834</v>
      </c>
      <c r="AS19" s="107"/>
      <c r="AT19" s="107"/>
      <c r="AU19" s="48"/>
      <c r="AV19" s="57"/>
      <c r="AW19" s="70"/>
      <c r="AX19" s="102"/>
      <c r="AY19" s="23"/>
      <c r="AZ19" s="53"/>
      <c r="BA19" s="19"/>
      <c r="BB19" s="109"/>
      <c r="BC19" s="123"/>
      <c r="BD19" s="129"/>
    </row>
    <row r="20" spans="1:57" ht="150" customHeight="1" x14ac:dyDescent="0.25">
      <c r="A20" s="288" t="s">
        <v>39</v>
      </c>
      <c r="B20" s="288" t="s">
        <v>40</v>
      </c>
      <c r="C20" s="288" t="s">
        <v>41</v>
      </c>
      <c r="D20" s="288" t="s">
        <v>42</v>
      </c>
      <c r="E20" s="288" t="s">
        <v>43</v>
      </c>
      <c r="F20" s="302" t="s">
        <v>77</v>
      </c>
      <c r="G20" s="312" t="s">
        <v>78</v>
      </c>
      <c r="H20" s="312" t="s">
        <v>46</v>
      </c>
      <c r="I20" s="374">
        <v>37</v>
      </c>
      <c r="J20" s="312" t="s">
        <v>79</v>
      </c>
      <c r="K20" s="325">
        <v>4</v>
      </c>
      <c r="L20" s="325">
        <v>3</v>
      </c>
      <c r="M20" s="325">
        <v>0</v>
      </c>
      <c r="N20" s="315">
        <v>0</v>
      </c>
      <c r="O20" s="315">
        <v>0</v>
      </c>
      <c r="P20" s="315">
        <v>0</v>
      </c>
      <c r="Q20" s="365">
        <v>0</v>
      </c>
      <c r="R20" s="66"/>
      <c r="S20" s="66"/>
      <c r="T20" s="66"/>
      <c r="U20" s="288" t="s">
        <v>80</v>
      </c>
      <c r="V20" s="288">
        <v>2021130010192</v>
      </c>
      <c r="W20" s="302" t="s">
        <v>81</v>
      </c>
      <c r="X20" s="33" t="s">
        <v>82</v>
      </c>
      <c r="Y20" s="34">
        <v>6</v>
      </c>
      <c r="Z20" s="49">
        <v>6</v>
      </c>
      <c r="AA20" s="49">
        <v>6</v>
      </c>
      <c r="AB20" s="49">
        <v>6</v>
      </c>
      <c r="AC20" s="49">
        <v>6</v>
      </c>
      <c r="AD20" s="49">
        <f>6</f>
        <v>6</v>
      </c>
      <c r="AE20" s="122">
        <f>AD20/Y20</f>
        <v>1</v>
      </c>
      <c r="AF20" s="131">
        <f>SUM(AE20:AE40)/(10)</f>
        <v>0.9</v>
      </c>
      <c r="AG20" s="19" t="s">
        <v>59</v>
      </c>
      <c r="AH20" s="19">
        <v>360</v>
      </c>
      <c r="AI20" s="19">
        <f>+AI13</f>
        <v>1043926</v>
      </c>
      <c r="AJ20" s="19">
        <f>+AJ13</f>
        <v>1043926</v>
      </c>
      <c r="AK20" s="87">
        <v>5.3999999999999999E-2</v>
      </c>
      <c r="AL20" s="25" t="str">
        <f>+AL13</f>
        <v>Dirección general y Dirección Operativa de Distriseguridad</v>
      </c>
      <c r="AM20" s="25" t="str">
        <f>+AM13</f>
        <v>Luis Enrique Roa Merchán
Director General
Enver Díaz Escandón 
Director Operativo</v>
      </c>
      <c r="AN20" s="25" t="s">
        <v>246</v>
      </c>
      <c r="AO20" s="25">
        <v>4681788173</v>
      </c>
      <c r="AP20" s="25">
        <v>3316756629.6300001</v>
      </c>
      <c r="AQ20" s="25">
        <v>3316756629.6300001</v>
      </c>
      <c r="AR20" s="136">
        <f>AQ20/AO20</f>
        <v>0.70843799571237032</v>
      </c>
      <c r="AS20" s="25"/>
      <c r="AT20" s="19" t="s">
        <v>52</v>
      </c>
      <c r="AU20" s="56">
        <v>254062515.59999999</v>
      </c>
      <c r="AV20" s="57" t="s">
        <v>53</v>
      </c>
      <c r="AW20" s="21" t="s">
        <v>83</v>
      </c>
      <c r="AX20" s="341" t="s">
        <v>57</v>
      </c>
      <c r="AY20" s="36" t="s">
        <v>84</v>
      </c>
      <c r="AZ20" s="53">
        <v>1</v>
      </c>
      <c r="BA20" s="29" t="s">
        <v>57</v>
      </c>
      <c r="BB20" s="20" t="s">
        <v>85</v>
      </c>
      <c r="BC20" s="29" t="s">
        <v>64</v>
      </c>
      <c r="BD20" s="91" t="s">
        <v>212</v>
      </c>
    </row>
    <row r="21" spans="1:57" ht="98.25" customHeight="1" x14ac:dyDescent="0.25">
      <c r="A21" s="287"/>
      <c r="B21" s="287"/>
      <c r="C21" s="287"/>
      <c r="D21" s="287"/>
      <c r="E21" s="287"/>
      <c r="F21" s="287"/>
      <c r="G21" s="313"/>
      <c r="H21" s="313"/>
      <c r="I21" s="375"/>
      <c r="J21" s="313"/>
      <c r="K21" s="326"/>
      <c r="L21" s="326"/>
      <c r="M21" s="326"/>
      <c r="N21" s="316"/>
      <c r="O21" s="316"/>
      <c r="P21" s="316"/>
      <c r="Q21" s="371"/>
      <c r="R21" s="90"/>
      <c r="S21" s="90"/>
      <c r="T21" s="90"/>
      <c r="U21" s="287"/>
      <c r="V21" s="287"/>
      <c r="W21" s="287"/>
      <c r="X21" s="305" t="s">
        <v>86</v>
      </c>
      <c r="Y21" s="307">
        <v>12</v>
      </c>
      <c r="Z21" s="259">
        <v>3</v>
      </c>
      <c r="AA21" s="259">
        <v>3</v>
      </c>
      <c r="AB21" s="259">
        <v>3</v>
      </c>
      <c r="AC21" s="259">
        <v>3</v>
      </c>
      <c r="AD21" s="63">
        <f>12</f>
        <v>12</v>
      </c>
      <c r="AE21" s="122">
        <f>AD21/Y21</f>
        <v>1</v>
      </c>
      <c r="AF21" s="63"/>
      <c r="AG21" s="296" t="s">
        <v>59</v>
      </c>
      <c r="AH21" s="296">
        <v>360</v>
      </c>
      <c r="AI21" s="296">
        <f t="shared" ref="AI21:AJ21" si="2">+AI20</f>
        <v>1043926</v>
      </c>
      <c r="AJ21" s="296">
        <f t="shared" si="2"/>
        <v>1043926</v>
      </c>
      <c r="AK21" s="279">
        <v>6.0000000000000001E-3</v>
      </c>
      <c r="AL21" s="265" t="str">
        <f t="shared" ref="AL21:AM21" si="3">+AL20</f>
        <v>Dirección general y Dirección Operativa de Distriseguridad</v>
      </c>
      <c r="AM21" s="265" t="str">
        <f t="shared" si="3"/>
        <v>Luis Enrique Roa Merchán
Director General
Enver Díaz Escandón 
Director Operativo</v>
      </c>
      <c r="AN21" s="77" t="s">
        <v>247</v>
      </c>
      <c r="AO21" s="77"/>
      <c r="AP21" s="77"/>
      <c r="AQ21" s="77"/>
      <c r="AR21" s="77"/>
      <c r="AS21" s="77"/>
      <c r="AT21" s="296" t="s">
        <v>52</v>
      </c>
      <c r="AU21" s="56">
        <v>20000000</v>
      </c>
      <c r="AV21" s="57" t="s">
        <v>53</v>
      </c>
      <c r="AW21" s="328" t="s">
        <v>83</v>
      </c>
      <c r="AX21" s="287"/>
      <c r="AY21" s="36" t="s">
        <v>84</v>
      </c>
      <c r="AZ21" s="405">
        <v>1</v>
      </c>
      <c r="BA21" s="361" t="s">
        <v>61</v>
      </c>
      <c r="BB21" s="328" t="s">
        <v>213</v>
      </c>
      <c r="BC21" s="407" t="s">
        <v>64</v>
      </c>
      <c r="BD21" s="409" t="s">
        <v>212</v>
      </c>
      <c r="BE21" s="86"/>
    </row>
    <row r="22" spans="1:57" ht="61.5" customHeight="1" x14ac:dyDescent="0.25">
      <c r="A22" s="287"/>
      <c r="B22" s="287"/>
      <c r="C22" s="287"/>
      <c r="D22" s="287"/>
      <c r="E22" s="287"/>
      <c r="F22" s="287"/>
      <c r="G22" s="313"/>
      <c r="H22" s="313"/>
      <c r="I22" s="375"/>
      <c r="J22" s="313"/>
      <c r="K22" s="326"/>
      <c r="L22" s="326"/>
      <c r="M22" s="326"/>
      <c r="N22" s="316"/>
      <c r="O22" s="316"/>
      <c r="P22" s="316"/>
      <c r="Q22" s="371"/>
      <c r="R22" s="90"/>
      <c r="S22" s="90"/>
      <c r="T22" s="90"/>
      <c r="U22" s="287"/>
      <c r="V22" s="287"/>
      <c r="W22" s="287"/>
      <c r="X22" s="306"/>
      <c r="Y22" s="308"/>
      <c r="Z22" s="260"/>
      <c r="AA22" s="260"/>
      <c r="AB22" s="260"/>
      <c r="AC22" s="260"/>
      <c r="AD22" s="64"/>
      <c r="AE22" s="122"/>
      <c r="AF22" s="64"/>
      <c r="AG22" s="298"/>
      <c r="AH22" s="298"/>
      <c r="AI22" s="298"/>
      <c r="AJ22" s="298"/>
      <c r="AK22" s="281"/>
      <c r="AL22" s="267"/>
      <c r="AM22" s="267"/>
      <c r="AN22" s="109" t="s">
        <v>248</v>
      </c>
      <c r="AO22" s="109"/>
      <c r="AP22" s="109"/>
      <c r="AQ22" s="109"/>
      <c r="AR22" s="109"/>
      <c r="AS22" s="109"/>
      <c r="AT22" s="298"/>
      <c r="AU22" s="56">
        <v>6442756</v>
      </c>
      <c r="AV22" s="57" t="s">
        <v>187</v>
      </c>
      <c r="AW22" s="330"/>
      <c r="AX22" s="287"/>
      <c r="AY22" s="36" t="s">
        <v>84</v>
      </c>
      <c r="AZ22" s="406"/>
      <c r="BA22" s="363"/>
      <c r="BB22" s="330"/>
      <c r="BC22" s="408"/>
      <c r="BD22" s="410"/>
      <c r="BE22" s="86"/>
    </row>
    <row r="23" spans="1:57" ht="75" x14ac:dyDescent="0.25">
      <c r="A23" s="287"/>
      <c r="B23" s="287"/>
      <c r="C23" s="287"/>
      <c r="D23" s="287"/>
      <c r="E23" s="287"/>
      <c r="F23" s="287"/>
      <c r="G23" s="313"/>
      <c r="H23" s="313"/>
      <c r="I23" s="375"/>
      <c r="J23" s="313"/>
      <c r="K23" s="326"/>
      <c r="L23" s="326"/>
      <c r="M23" s="326"/>
      <c r="N23" s="316"/>
      <c r="O23" s="316"/>
      <c r="P23" s="316"/>
      <c r="Q23" s="371"/>
      <c r="R23" s="90"/>
      <c r="S23" s="90"/>
      <c r="T23" s="90"/>
      <c r="U23" s="287"/>
      <c r="V23" s="287"/>
      <c r="W23" s="287"/>
      <c r="X23" s="373" t="s">
        <v>87</v>
      </c>
      <c r="Y23" s="307">
        <v>1</v>
      </c>
      <c r="Z23" s="259">
        <v>0</v>
      </c>
      <c r="AA23" s="259">
        <v>0</v>
      </c>
      <c r="AB23" s="259">
        <v>0</v>
      </c>
      <c r="AC23" s="259">
        <v>0</v>
      </c>
      <c r="AD23" s="63">
        <f>0</f>
        <v>0</v>
      </c>
      <c r="AE23" s="122"/>
      <c r="AF23" s="63"/>
      <c r="AG23" s="296" t="s">
        <v>184</v>
      </c>
      <c r="AH23" s="296">
        <v>150</v>
      </c>
      <c r="AI23" s="296">
        <f>+AI21</f>
        <v>1043926</v>
      </c>
      <c r="AJ23" s="296">
        <f>+AJ21</f>
        <v>1043926</v>
      </c>
      <c r="AK23" s="279">
        <v>7.0000000000000001E-3</v>
      </c>
      <c r="AL23" s="265" t="str">
        <f>+AL21</f>
        <v>Dirección general y Dirección Operativa de Distriseguridad</v>
      </c>
      <c r="AM23" s="265" t="str">
        <f>+AM21</f>
        <v>Luis Enrique Roa Merchán
Director General
Enver Díaz Escandón 
Director Operativo</v>
      </c>
      <c r="AN23" s="77"/>
      <c r="AO23" s="77"/>
      <c r="AP23" s="77"/>
      <c r="AQ23" s="77"/>
      <c r="AR23" s="77"/>
      <c r="AS23" s="77"/>
      <c r="AT23" s="296" t="s">
        <v>52</v>
      </c>
      <c r="AU23" s="56">
        <v>10000000</v>
      </c>
      <c r="AV23" s="57" t="s">
        <v>187</v>
      </c>
      <c r="AW23" s="22" t="s">
        <v>83</v>
      </c>
      <c r="AX23" s="287"/>
      <c r="AY23" s="36" t="s">
        <v>84</v>
      </c>
      <c r="AZ23" s="53">
        <v>0</v>
      </c>
      <c r="BA23" s="361" t="s">
        <v>55</v>
      </c>
      <c r="BB23" s="253" t="s">
        <v>188</v>
      </c>
      <c r="BC23" s="253" t="s">
        <v>186</v>
      </c>
      <c r="BD23" s="396" t="s">
        <v>214</v>
      </c>
      <c r="BE23" s="86"/>
    </row>
    <row r="24" spans="1:57" ht="75" x14ac:dyDescent="0.25">
      <c r="A24" s="287"/>
      <c r="B24" s="287"/>
      <c r="C24" s="287"/>
      <c r="D24" s="287"/>
      <c r="E24" s="287"/>
      <c r="F24" s="287"/>
      <c r="G24" s="313"/>
      <c r="H24" s="313"/>
      <c r="I24" s="375"/>
      <c r="J24" s="313"/>
      <c r="K24" s="326"/>
      <c r="L24" s="326"/>
      <c r="M24" s="326"/>
      <c r="N24" s="316"/>
      <c r="O24" s="316"/>
      <c r="P24" s="316"/>
      <c r="Q24" s="371"/>
      <c r="R24" s="90">
        <f>0</f>
        <v>0</v>
      </c>
      <c r="S24" s="119">
        <f>R24/L20</f>
        <v>0</v>
      </c>
      <c r="T24" s="119">
        <f>0%</f>
        <v>0</v>
      </c>
      <c r="U24" s="287"/>
      <c r="V24" s="287"/>
      <c r="W24" s="287"/>
      <c r="X24" s="369"/>
      <c r="Y24" s="308"/>
      <c r="Z24" s="260"/>
      <c r="AA24" s="260"/>
      <c r="AB24" s="260"/>
      <c r="AC24" s="260"/>
      <c r="AD24" s="64"/>
      <c r="AE24" s="122">
        <f t="shared" si="1"/>
        <v>0</v>
      </c>
      <c r="AF24" s="64"/>
      <c r="AG24" s="298"/>
      <c r="AH24" s="298"/>
      <c r="AI24" s="298"/>
      <c r="AJ24" s="298"/>
      <c r="AK24" s="281"/>
      <c r="AL24" s="267"/>
      <c r="AM24" s="267"/>
      <c r="AN24" s="109"/>
      <c r="AO24" s="109"/>
      <c r="AP24" s="109"/>
      <c r="AQ24" s="109"/>
      <c r="AR24" s="109"/>
      <c r="AS24" s="109"/>
      <c r="AT24" s="298"/>
      <c r="AU24" s="56">
        <v>24000000</v>
      </c>
      <c r="AV24" s="57" t="s">
        <v>98</v>
      </c>
      <c r="AW24" s="22" t="s">
        <v>83</v>
      </c>
      <c r="AX24" s="287"/>
      <c r="AY24" s="36" t="s">
        <v>84</v>
      </c>
      <c r="AZ24" s="53">
        <v>0</v>
      </c>
      <c r="BA24" s="363"/>
      <c r="BB24" s="363"/>
      <c r="BC24" s="363"/>
      <c r="BD24" s="397"/>
    </row>
    <row r="25" spans="1:57" ht="75" x14ac:dyDescent="0.25">
      <c r="A25" s="287"/>
      <c r="B25" s="287"/>
      <c r="C25" s="287"/>
      <c r="D25" s="287"/>
      <c r="E25" s="287"/>
      <c r="F25" s="287"/>
      <c r="G25" s="313"/>
      <c r="H25" s="313"/>
      <c r="I25" s="375"/>
      <c r="J25" s="313"/>
      <c r="K25" s="326"/>
      <c r="L25" s="326"/>
      <c r="M25" s="326"/>
      <c r="N25" s="316"/>
      <c r="O25" s="316"/>
      <c r="P25" s="316"/>
      <c r="Q25" s="371"/>
      <c r="R25" s="90"/>
      <c r="S25" s="90"/>
      <c r="T25" s="90"/>
      <c r="U25" s="287"/>
      <c r="V25" s="287"/>
      <c r="W25" s="287"/>
      <c r="X25" s="349" t="s">
        <v>88</v>
      </c>
      <c r="Y25" s="346">
        <v>1</v>
      </c>
      <c r="Z25" s="303">
        <v>0</v>
      </c>
      <c r="AA25" s="259">
        <v>0</v>
      </c>
      <c r="AB25" s="259">
        <v>1</v>
      </c>
      <c r="AC25" s="259">
        <v>1</v>
      </c>
      <c r="AD25" s="63"/>
      <c r="AE25" s="122"/>
      <c r="AF25" s="63"/>
      <c r="AG25" s="292" t="s">
        <v>73</v>
      </c>
      <c r="AH25" s="292">
        <v>240</v>
      </c>
      <c r="AI25" s="292">
        <f>+AI23</f>
        <v>1043926</v>
      </c>
      <c r="AJ25" s="292">
        <f>+AJ23</f>
        <v>1043926</v>
      </c>
      <c r="AK25" s="337">
        <v>6.2E-2</v>
      </c>
      <c r="AL25" s="291" t="str">
        <f>+AL23</f>
        <v>Dirección general y Dirección Operativa de Distriseguridad</v>
      </c>
      <c r="AM25" s="291" t="str">
        <f>+AM23</f>
        <v>Luis Enrique Roa Merchán
Director General
Enver Díaz Escandón 
Director Operativo</v>
      </c>
      <c r="AN25" s="25"/>
      <c r="AO25" s="25"/>
      <c r="AP25" s="25"/>
      <c r="AQ25" s="25"/>
      <c r="AR25" s="25"/>
      <c r="AS25" s="25"/>
      <c r="AT25" s="292" t="s">
        <v>52</v>
      </c>
      <c r="AU25" s="56">
        <v>197464379.40000001</v>
      </c>
      <c r="AV25" s="57" t="s">
        <v>53</v>
      </c>
      <c r="AW25" s="22" t="s">
        <v>83</v>
      </c>
      <c r="AX25" s="287"/>
      <c r="AY25" s="36" t="s">
        <v>84</v>
      </c>
      <c r="AZ25" s="53">
        <v>0.54</v>
      </c>
      <c r="BA25" s="411" t="s">
        <v>57</v>
      </c>
      <c r="BB25" s="288" t="s">
        <v>90</v>
      </c>
      <c r="BC25" s="411" t="s">
        <v>50</v>
      </c>
      <c r="BD25" s="277" t="s">
        <v>189</v>
      </c>
    </row>
    <row r="26" spans="1:57" ht="75" x14ac:dyDescent="0.25">
      <c r="A26" s="287"/>
      <c r="B26" s="287"/>
      <c r="C26" s="287"/>
      <c r="D26" s="287"/>
      <c r="E26" s="287"/>
      <c r="F26" s="287"/>
      <c r="G26" s="313"/>
      <c r="H26" s="313"/>
      <c r="I26" s="375"/>
      <c r="J26" s="313"/>
      <c r="K26" s="326"/>
      <c r="L26" s="326"/>
      <c r="M26" s="326"/>
      <c r="N26" s="316"/>
      <c r="O26" s="316"/>
      <c r="P26" s="316"/>
      <c r="Q26" s="371"/>
      <c r="R26" s="90"/>
      <c r="S26" s="90"/>
      <c r="T26" s="90"/>
      <c r="U26" s="287"/>
      <c r="V26" s="287"/>
      <c r="W26" s="287"/>
      <c r="X26" s="287"/>
      <c r="Y26" s="287"/>
      <c r="Z26" s="304"/>
      <c r="AA26" s="261"/>
      <c r="AB26" s="261"/>
      <c r="AC26" s="261"/>
      <c r="AD26" s="98">
        <f>1</f>
        <v>1</v>
      </c>
      <c r="AE26" s="122">
        <f t="shared" si="1"/>
        <v>1</v>
      </c>
      <c r="AF26" s="98"/>
      <c r="AG26" s="287"/>
      <c r="AH26" s="287"/>
      <c r="AI26" s="287"/>
      <c r="AJ26" s="287"/>
      <c r="AK26" s="338"/>
      <c r="AL26" s="295"/>
      <c r="AM26" s="287"/>
      <c r="AN26" s="67"/>
      <c r="AO26" s="67"/>
      <c r="AP26" s="67"/>
      <c r="AQ26" s="67"/>
      <c r="AR26" s="67"/>
      <c r="AS26" s="67"/>
      <c r="AT26" s="287"/>
      <c r="AU26" s="56">
        <v>16000000</v>
      </c>
      <c r="AV26" s="57" t="s">
        <v>98</v>
      </c>
      <c r="AW26" s="22" t="s">
        <v>83</v>
      </c>
      <c r="AX26" s="287"/>
      <c r="AY26" s="36" t="s">
        <v>84</v>
      </c>
      <c r="AZ26" s="53">
        <v>1</v>
      </c>
      <c r="BA26" s="287"/>
      <c r="BB26" s="287"/>
      <c r="BC26" s="287"/>
      <c r="BD26" s="278"/>
    </row>
    <row r="27" spans="1:57" ht="75" x14ac:dyDescent="0.25">
      <c r="A27" s="287"/>
      <c r="B27" s="287"/>
      <c r="C27" s="287"/>
      <c r="D27" s="287"/>
      <c r="E27" s="287"/>
      <c r="F27" s="287"/>
      <c r="G27" s="313"/>
      <c r="H27" s="313"/>
      <c r="I27" s="375"/>
      <c r="J27" s="313"/>
      <c r="K27" s="326"/>
      <c r="L27" s="326"/>
      <c r="M27" s="326"/>
      <c r="N27" s="316"/>
      <c r="O27" s="316"/>
      <c r="P27" s="316"/>
      <c r="Q27" s="371"/>
      <c r="R27" s="90"/>
      <c r="S27" s="90"/>
      <c r="T27" s="90"/>
      <c r="U27" s="287"/>
      <c r="V27" s="287"/>
      <c r="W27" s="287"/>
      <c r="X27" s="287"/>
      <c r="Y27" s="287"/>
      <c r="Z27" s="304"/>
      <c r="AA27" s="260"/>
      <c r="AB27" s="260"/>
      <c r="AC27" s="260"/>
      <c r="AD27" s="64"/>
      <c r="AE27" s="122"/>
      <c r="AF27" s="64"/>
      <c r="AG27" s="287"/>
      <c r="AH27" s="287"/>
      <c r="AI27" s="287"/>
      <c r="AJ27" s="287"/>
      <c r="AK27" s="338"/>
      <c r="AL27" s="295"/>
      <c r="AM27" s="287"/>
      <c r="AN27" s="67"/>
      <c r="AO27" s="67"/>
      <c r="AP27" s="67"/>
      <c r="AQ27" s="67"/>
      <c r="AR27" s="67"/>
      <c r="AS27" s="67"/>
      <c r="AT27" s="287"/>
      <c r="AU27" s="56">
        <v>76454625</v>
      </c>
      <c r="AV27" s="57" t="s">
        <v>60</v>
      </c>
      <c r="AW27" s="22" t="s">
        <v>83</v>
      </c>
      <c r="AX27" s="287"/>
      <c r="AY27" s="36" t="s">
        <v>84</v>
      </c>
      <c r="AZ27" s="53">
        <v>1</v>
      </c>
      <c r="BA27" s="287"/>
      <c r="BB27" s="287"/>
      <c r="BC27" s="287"/>
      <c r="BD27" s="278"/>
    </row>
    <row r="28" spans="1:57" ht="75" x14ac:dyDescent="0.25">
      <c r="A28" s="287"/>
      <c r="B28" s="287"/>
      <c r="C28" s="287"/>
      <c r="D28" s="287"/>
      <c r="E28" s="287"/>
      <c r="F28" s="287"/>
      <c r="G28" s="313"/>
      <c r="H28" s="313"/>
      <c r="I28" s="375"/>
      <c r="J28" s="313"/>
      <c r="K28" s="326"/>
      <c r="L28" s="326"/>
      <c r="M28" s="326"/>
      <c r="N28" s="316"/>
      <c r="O28" s="316"/>
      <c r="P28" s="316"/>
      <c r="Q28" s="371"/>
      <c r="R28" s="90"/>
      <c r="S28" s="90"/>
      <c r="T28" s="90"/>
      <c r="U28" s="287"/>
      <c r="V28" s="287"/>
      <c r="W28" s="287"/>
      <c r="X28" s="347" t="s">
        <v>215</v>
      </c>
      <c r="Y28" s="346">
        <v>3</v>
      </c>
      <c r="Z28" s="303">
        <v>0</v>
      </c>
      <c r="AA28" s="259">
        <v>0</v>
      </c>
      <c r="AB28" s="259">
        <v>0</v>
      </c>
      <c r="AC28" s="259">
        <v>3</v>
      </c>
      <c r="AD28" s="63"/>
      <c r="AE28" s="122"/>
      <c r="AF28" s="63"/>
      <c r="AG28" s="292" t="s">
        <v>184</v>
      </c>
      <c r="AH28" s="292">
        <v>90</v>
      </c>
      <c r="AI28" s="292">
        <f t="shared" ref="AI28:AJ28" si="4">+AI25</f>
        <v>1043926</v>
      </c>
      <c r="AJ28" s="292">
        <f t="shared" si="4"/>
        <v>1043926</v>
      </c>
      <c r="AK28" s="337">
        <v>0.25847679653233202</v>
      </c>
      <c r="AL28" s="291" t="str">
        <f t="shared" ref="AL28:AM28" si="5">+AL25</f>
        <v>Dirección general y Dirección Operativa de Distriseguridad</v>
      </c>
      <c r="AM28" s="291" t="str">
        <f t="shared" si="5"/>
        <v>Luis Enrique Roa Merchán
Director General
Enver Díaz Escandón 
Director Operativo</v>
      </c>
      <c r="AN28" s="25"/>
      <c r="AO28" s="25"/>
      <c r="AP28" s="25"/>
      <c r="AQ28" s="25"/>
      <c r="AR28" s="25"/>
      <c r="AS28" s="25"/>
      <c r="AT28" s="292" t="s">
        <v>52</v>
      </c>
      <c r="AU28" s="56">
        <v>25100000</v>
      </c>
      <c r="AV28" s="57" t="s">
        <v>190</v>
      </c>
      <c r="AW28" s="22" t="s">
        <v>83</v>
      </c>
      <c r="AX28" s="287"/>
      <c r="AY28" s="88" t="s">
        <v>84</v>
      </c>
      <c r="AZ28" s="53">
        <v>1</v>
      </c>
      <c r="BA28" s="414" t="s">
        <v>57</v>
      </c>
      <c r="BB28" s="302" t="s">
        <v>70</v>
      </c>
      <c r="BC28" s="302" t="s">
        <v>184</v>
      </c>
      <c r="BD28" s="336" t="s">
        <v>216</v>
      </c>
    </row>
    <row r="29" spans="1:57" ht="75" x14ac:dyDescent="0.25">
      <c r="A29" s="287"/>
      <c r="B29" s="287"/>
      <c r="C29" s="287"/>
      <c r="D29" s="287"/>
      <c r="E29" s="287"/>
      <c r="F29" s="287"/>
      <c r="G29" s="313"/>
      <c r="H29" s="313"/>
      <c r="I29" s="375"/>
      <c r="J29" s="313"/>
      <c r="K29" s="326"/>
      <c r="L29" s="326"/>
      <c r="M29" s="326"/>
      <c r="N29" s="316"/>
      <c r="O29" s="316"/>
      <c r="P29" s="316"/>
      <c r="Q29" s="371"/>
      <c r="R29" s="90"/>
      <c r="S29" s="90"/>
      <c r="T29" s="90"/>
      <c r="U29" s="287"/>
      <c r="V29" s="287"/>
      <c r="W29" s="287"/>
      <c r="X29" s="348"/>
      <c r="Y29" s="346"/>
      <c r="Z29" s="303"/>
      <c r="AA29" s="261"/>
      <c r="AB29" s="261"/>
      <c r="AC29" s="261"/>
      <c r="AD29" s="98">
        <f>3</f>
        <v>3</v>
      </c>
      <c r="AE29" s="122">
        <f t="shared" si="1"/>
        <v>1</v>
      </c>
      <c r="AF29" s="98"/>
      <c r="AG29" s="292"/>
      <c r="AH29" s="292"/>
      <c r="AI29" s="292"/>
      <c r="AJ29" s="292"/>
      <c r="AK29" s="337"/>
      <c r="AL29" s="291"/>
      <c r="AM29" s="291"/>
      <c r="AN29" s="25"/>
      <c r="AO29" s="25"/>
      <c r="AP29" s="25"/>
      <c r="AQ29" s="25"/>
      <c r="AR29" s="25"/>
      <c r="AS29" s="25"/>
      <c r="AT29" s="292"/>
      <c r="AU29" s="56">
        <v>61574978</v>
      </c>
      <c r="AV29" s="57" t="s">
        <v>191</v>
      </c>
      <c r="AW29" s="22" t="s">
        <v>83</v>
      </c>
      <c r="AX29" s="287"/>
      <c r="AY29" s="36" t="s">
        <v>84</v>
      </c>
      <c r="AZ29" s="53">
        <v>1</v>
      </c>
      <c r="BA29" s="414"/>
      <c r="BB29" s="288"/>
      <c r="BC29" s="288"/>
      <c r="BD29" s="336"/>
    </row>
    <row r="30" spans="1:57" ht="75" x14ac:dyDescent="0.25">
      <c r="A30" s="287"/>
      <c r="B30" s="287"/>
      <c r="C30" s="287"/>
      <c r="D30" s="287"/>
      <c r="E30" s="287"/>
      <c r="F30" s="287"/>
      <c r="G30" s="313"/>
      <c r="H30" s="313"/>
      <c r="I30" s="375"/>
      <c r="J30" s="313"/>
      <c r="K30" s="326"/>
      <c r="L30" s="326"/>
      <c r="M30" s="326"/>
      <c r="N30" s="316"/>
      <c r="O30" s="316"/>
      <c r="P30" s="316"/>
      <c r="Q30" s="371"/>
      <c r="R30" s="90"/>
      <c r="S30" s="90"/>
      <c r="T30" s="90"/>
      <c r="U30" s="287"/>
      <c r="V30" s="287"/>
      <c r="W30" s="287"/>
      <c r="X30" s="348"/>
      <c r="Y30" s="346"/>
      <c r="Z30" s="303"/>
      <c r="AA30" s="261"/>
      <c r="AB30" s="261"/>
      <c r="AC30" s="261"/>
      <c r="AD30" s="98"/>
      <c r="AE30" s="122"/>
      <c r="AF30" s="98"/>
      <c r="AG30" s="292"/>
      <c r="AH30" s="292"/>
      <c r="AI30" s="292"/>
      <c r="AJ30" s="292"/>
      <c r="AK30" s="337"/>
      <c r="AL30" s="291"/>
      <c r="AM30" s="291"/>
      <c r="AN30" s="25"/>
      <c r="AO30" s="25"/>
      <c r="AP30" s="25"/>
      <c r="AQ30" s="25"/>
      <c r="AR30" s="25"/>
      <c r="AS30" s="25"/>
      <c r="AT30" s="292"/>
      <c r="AU30" s="56">
        <v>1123458631</v>
      </c>
      <c r="AV30" s="57" t="s">
        <v>192</v>
      </c>
      <c r="AW30" s="22" t="s">
        <v>83</v>
      </c>
      <c r="AX30" s="287"/>
      <c r="AY30" s="36" t="s">
        <v>84</v>
      </c>
      <c r="AZ30" s="53">
        <v>1</v>
      </c>
      <c r="BA30" s="414"/>
      <c r="BB30" s="288"/>
      <c r="BC30" s="288"/>
      <c r="BD30" s="336"/>
    </row>
    <row r="31" spans="1:57" ht="51.75" customHeight="1" x14ac:dyDescent="0.3">
      <c r="A31" s="287"/>
      <c r="B31" s="287"/>
      <c r="C31" s="287"/>
      <c r="D31" s="287"/>
      <c r="E31" s="287"/>
      <c r="F31" s="287"/>
      <c r="G31" s="313"/>
      <c r="H31" s="313"/>
      <c r="I31" s="375"/>
      <c r="J31" s="313"/>
      <c r="K31" s="326"/>
      <c r="L31" s="326"/>
      <c r="M31" s="326"/>
      <c r="N31" s="316"/>
      <c r="O31" s="316"/>
      <c r="P31" s="316"/>
      <c r="Q31" s="90"/>
      <c r="R31" s="90"/>
      <c r="S31" s="90"/>
      <c r="T31" s="90"/>
      <c r="U31" s="287"/>
      <c r="V31" s="287"/>
      <c r="W31" s="287"/>
      <c r="X31" s="353" t="s">
        <v>91</v>
      </c>
      <c r="Y31" s="253">
        <v>12</v>
      </c>
      <c r="Z31" s="356">
        <v>0</v>
      </c>
      <c r="AA31" s="259">
        <v>0</v>
      </c>
      <c r="AB31" s="259">
        <v>0</v>
      </c>
      <c r="AC31" s="259">
        <v>12</v>
      </c>
      <c r="AD31" s="63"/>
      <c r="AE31" s="122"/>
      <c r="AF31" s="63"/>
      <c r="AG31" s="296" t="s">
        <v>184</v>
      </c>
      <c r="AH31" s="253">
        <v>90</v>
      </c>
      <c r="AI31" s="253">
        <f>+AI28</f>
        <v>1043926</v>
      </c>
      <c r="AJ31" s="253">
        <f>+AJ28</f>
        <v>1043926</v>
      </c>
      <c r="AK31" s="256">
        <v>0.374569663384897</v>
      </c>
      <c r="AL31" s="262" t="s">
        <v>180</v>
      </c>
      <c r="AM31" s="262" t="s">
        <v>177</v>
      </c>
      <c r="AN31" s="114"/>
      <c r="AO31" s="114"/>
      <c r="AP31" s="114"/>
      <c r="AQ31" s="114"/>
      <c r="AR31" s="114"/>
      <c r="AS31" s="114"/>
      <c r="AT31" s="265" t="s">
        <v>52</v>
      </c>
      <c r="AU31" s="56">
        <v>227651528</v>
      </c>
      <c r="AV31" s="57" t="s">
        <v>98</v>
      </c>
      <c r="AW31" s="268" t="str">
        <f>+AW30</f>
        <v>FORTALECIMIENTO LOGÍSTICO PARA LA SEGURIDAD, CONVIVENCIA, JUSTICIA Y SOCORRO EN  CARTAGENA DE INDIAS  CARTAGENA DE INDIAS</v>
      </c>
      <c r="AX31" s="287"/>
      <c r="AY31" s="88" t="s">
        <v>84</v>
      </c>
      <c r="AZ31" s="53">
        <v>1</v>
      </c>
      <c r="BA31" s="253" t="s">
        <v>57</v>
      </c>
      <c r="BB31" s="271" t="s">
        <v>70</v>
      </c>
      <c r="BC31" s="274" t="s">
        <v>184</v>
      </c>
      <c r="BD31" s="250" t="s">
        <v>217</v>
      </c>
    </row>
    <row r="32" spans="1:57" ht="51.75" customHeight="1" x14ac:dyDescent="0.3">
      <c r="A32" s="287"/>
      <c r="B32" s="287"/>
      <c r="C32" s="287"/>
      <c r="D32" s="287"/>
      <c r="E32" s="287"/>
      <c r="F32" s="287"/>
      <c r="G32" s="313"/>
      <c r="H32" s="313"/>
      <c r="I32" s="375"/>
      <c r="J32" s="313"/>
      <c r="K32" s="326"/>
      <c r="L32" s="326"/>
      <c r="M32" s="326"/>
      <c r="N32" s="316"/>
      <c r="O32" s="316"/>
      <c r="P32" s="316"/>
      <c r="Q32" s="90"/>
      <c r="R32" s="90"/>
      <c r="S32" s="90"/>
      <c r="T32" s="90"/>
      <c r="U32" s="287"/>
      <c r="V32" s="287"/>
      <c r="W32" s="287"/>
      <c r="X32" s="354"/>
      <c r="Y32" s="254"/>
      <c r="Z32" s="357"/>
      <c r="AA32" s="261"/>
      <c r="AB32" s="261"/>
      <c r="AC32" s="261"/>
      <c r="AD32" s="98">
        <f>12</f>
        <v>12</v>
      </c>
      <c r="AE32" s="122">
        <f t="shared" si="1"/>
        <v>1</v>
      </c>
      <c r="AF32" s="98"/>
      <c r="AG32" s="297"/>
      <c r="AH32" s="254"/>
      <c r="AI32" s="254"/>
      <c r="AJ32" s="254"/>
      <c r="AK32" s="257"/>
      <c r="AL32" s="263"/>
      <c r="AM32" s="263"/>
      <c r="AN32" s="115"/>
      <c r="AO32" s="115"/>
      <c r="AP32" s="115"/>
      <c r="AQ32" s="115"/>
      <c r="AR32" s="115"/>
      <c r="AS32" s="115"/>
      <c r="AT32" s="266"/>
      <c r="AU32" s="56">
        <v>32004292</v>
      </c>
      <c r="AV32" s="57" t="s">
        <v>60</v>
      </c>
      <c r="AW32" s="269"/>
      <c r="AX32" s="287"/>
      <c r="AY32" s="36" t="s">
        <v>84</v>
      </c>
      <c r="AZ32" s="53">
        <v>1</v>
      </c>
      <c r="BA32" s="254"/>
      <c r="BB32" s="272"/>
      <c r="BC32" s="275"/>
      <c r="BD32" s="251"/>
    </row>
    <row r="33" spans="1:56" ht="51.75" customHeight="1" x14ac:dyDescent="0.3">
      <c r="A33" s="287"/>
      <c r="B33" s="287"/>
      <c r="C33" s="287"/>
      <c r="D33" s="287"/>
      <c r="E33" s="287"/>
      <c r="F33" s="287"/>
      <c r="G33" s="314"/>
      <c r="H33" s="314"/>
      <c r="I33" s="376"/>
      <c r="J33" s="314"/>
      <c r="K33" s="327"/>
      <c r="L33" s="327"/>
      <c r="M33" s="327"/>
      <c r="N33" s="317"/>
      <c r="O33" s="317"/>
      <c r="P33" s="317"/>
      <c r="Q33" s="90"/>
      <c r="R33" s="90"/>
      <c r="S33" s="90"/>
      <c r="T33" s="90"/>
      <c r="U33" s="287"/>
      <c r="V33" s="287"/>
      <c r="W33" s="287"/>
      <c r="X33" s="355"/>
      <c r="Y33" s="255"/>
      <c r="Z33" s="358"/>
      <c r="AA33" s="260"/>
      <c r="AB33" s="260"/>
      <c r="AC33" s="260"/>
      <c r="AD33" s="64"/>
      <c r="AE33" s="122"/>
      <c r="AF33" s="64"/>
      <c r="AG33" s="298"/>
      <c r="AH33" s="255"/>
      <c r="AI33" s="255"/>
      <c r="AJ33" s="255"/>
      <c r="AK33" s="258"/>
      <c r="AL33" s="264"/>
      <c r="AM33" s="264"/>
      <c r="AN33" s="116"/>
      <c r="AO33" s="116"/>
      <c r="AP33" s="116"/>
      <c r="AQ33" s="116"/>
      <c r="AR33" s="116"/>
      <c r="AS33" s="116"/>
      <c r="AT33" s="267"/>
      <c r="AU33" s="56">
        <v>1494000000</v>
      </c>
      <c r="AV33" s="85" t="s">
        <v>187</v>
      </c>
      <c r="AW33" s="270"/>
      <c r="AX33" s="287"/>
      <c r="AY33" s="36" t="s">
        <v>84</v>
      </c>
      <c r="AZ33" s="53">
        <v>1</v>
      </c>
      <c r="BA33" s="255"/>
      <c r="BB33" s="273"/>
      <c r="BC33" s="276"/>
      <c r="BD33" s="252"/>
    </row>
    <row r="34" spans="1:56" ht="150" x14ac:dyDescent="0.25">
      <c r="A34" s="287"/>
      <c r="B34" s="287"/>
      <c r="C34" s="287"/>
      <c r="D34" s="287"/>
      <c r="E34" s="287"/>
      <c r="F34" s="287"/>
      <c r="G34" s="310" t="s">
        <v>92</v>
      </c>
      <c r="H34" s="310" t="s">
        <v>46</v>
      </c>
      <c r="I34" s="333">
        <v>317</v>
      </c>
      <c r="J34" s="310" t="s">
        <v>93</v>
      </c>
      <c r="K34" s="345">
        <v>20</v>
      </c>
      <c r="L34" s="345">
        <v>12</v>
      </c>
      <c r="M34" s="334">
        <v>3</v>
      </c>
      <c r="N34" s="319">
        <v>0</v>
      </c>
      <c r="O34" s="359">
        <v>4</v>
      </c>
      <c r="P34" s="319">
        <v>0</v>
      </c>
      <c r="Q34" s="365">
        <v>20</v>
      </c>
      <c r="R34" s="66"/>
      <c r="S34" s="66"/>
      <c r="T34" s="66"/>
      <c r="U34" s="287"/>
      <c r="V34" s="287"/>
      <c r="W34" s="287"/>
      <c r="X34" s="68" t="s">
        <v>94</v>
      </c>
      <c r="Y34" s="34">
        <v>1</v>
      </c>
      <c r="Z34" s="49">
        <v>0</v>
      </c>
      <c r="AA34" s="49">
        <v>1</v>
      </c>
      <c r="AB34" s="49">
        <v>1</v>
      </c>
      <c r="AC34" s="49">
        <v>1</v>
      </c>
      <c r="AD34" s="49">
        <f>1</f>
        <v>1</v>
      </c>
      <c r="AE34" s="122">
        <f>AD34/Y34</f>
        <v>1</v>
      </c>
      <c r="AF34" s="49"/>
      <c r="AG34" s="19" t="s">
        <v>89</v>
      </c>
      <c r="AH34" s="19">
        <v>240</v>
      </c>
      <c r="AI34" s="19">
        <f>+AI28</f>
        <v>1043926</v>
      </c>
      <c r="AJ34" s="19">
        <f>+AJ28</f>
        <v>1043926</v>
      </c>
      <c r="AK34" s="87">
        <v>7.0000000000000001E-3</v>
      </c>
      <c r="AL34" s="25" t="str">
        <f>+AL28</f>
        <v>Dirección general y Dirección Operativa de Distriseguridad</v>
      </c>
      <c r="AM34" s="25" t="str">
        <f>+AM28</f>
        <v>Luis Enrique Roa Merchán
Director General
Enver Díaz Escandón 
Director Operativo</v>
      </c>
      <c r="AN34" s="25"/>
      <c r="AO34" s="25"/>
      <c r="AP34" s="25"/>
      <c r="AQ34" s="25"/>
      <c r="AR34" s="25"/>
      <c r="AS34" s="25"/>
      <c r="AT34" s="19" t="s">
        <v>52</v>
      </c>
      <c r="AU34" s="56">
        <v>31446888</v>
      </c>
      <c r="AV34" s="57" t="s">
        <v>53</v>
      </c>
      <c r="AW34" s="22" t="s">
        <v>83</v>
      </c>
      <c r="AX34" s="287"/>
      <c r="AY34" s="88" t="s">
        <v>84</v>
      </c>
      <c r="AZ34" s="53">
        <f>30996888/AU34</f>
        <v>0.98569015795776038</v>
      </c>
      <c r="BA34" s="29" t="s">
        <v>57</v>
      </c>
      <c r="BB34" s="20" t="s">
        <v>95</v>
      </c>
      <c r="BC34" s="29" t="s">
        <v>89</v>
      </c>
      <c r="BD34" s="92" t="s">
        <v>212</v>
      </c>
    </row>
    <row r="35" spans="1:56" ht="150" x14ac:dyDescent="0.25">
      <c r="A35" s="287"/>
      <c r="B35" s="287"/>
      <c r="C35" s="287"/>
      <c r="D35" s="287"/>
      <c r="E35" s="287"/>
      <c r="F35" s="287"/>
      <c r="G35" s="310"/>
      <c r="H35" s="310"/>
      <c r="I35" s="333"/>
      <c r="J35" s="310"/>
      <c r="K35" s="345"/>
      <c r="L35" s="345"/>
      <c r="M35" s="334"/>
      <c r="N35" s="319"/>
      <c r="O35" s="359"/>
      <c r="P35" s="319"/>
      <c r="Q35" s="371"/>
      <c r="R35" s="90"/>
      <c r="S35" s="90"/>
      <c r="T35" s="90"/>
      <c r="U35" s="287"/>
      <c r="V35" s="287"/>
      <c r="W35" s="287"/>
      <c r="X35" s="89" t="s">
        <v>193</v>
      </c>
      <c r="Y35" s="34">
        <v>21</v>
      </c>
      <c r="Z35" s="49">
        <v>0</v>
      </c>
      <c r="AA35" s="63">
        <v>0</v>
      </c>
      <c r="AB35" s="63">
        <v>21</v>
      </c>
      <c r="AC35" s="63">
        <v>21</v>
      </c>
      <c r="AD35" s="63">
        <f>21</f>
        <v>21</v>
      </c>
      <c r="AE35" s="122">
        <f>100%</f>
        <v>1</v>
      </c>
      <c r="AF35" s="63"/>
      <c r="AG35" s="25" t="s">
        <v>195</v>
      </c>
      <c r="AH35" s="19">
        <v>90</v>
      </c>
      <c r="AI35" s="19">
        <f>+AI34</f>
        <v>1043926</v>
      </c>
      <c r="AJ35" s="19">
        <f>+AJ34</f>
        <v>1043926</v>
      </c>
      <c r="AK35" s="87">
        <v>5.1999999999999998E-2</v>
      </c>
      <c r="AL35" s="25" t="str">
        <f>+AL34</f>
        <v>Dirección general y Dirección Operativa de Distriseguridad</v>
      </c>
      <c r="AM35" s="25" t="str">
        <f>+AM34</f>
        <v>Luis Enrique Roa Merchán
Director General
Enver Díaz Escandón 
Director Operativo</v>
      </c>
      <c r="AN35" s="25"/>
      <c r="AO35" s="25"/>
      <c r="AP35" s="25"/>
      <c r="AQ35" s="25"/>
      <c r="AR35" s="25"/>
      <c r="AS35" s="25"/>
      <c r="AT35" s="19" t="s">
        <v>52</v>
      </c>
      <c r="AU35" s="56">
        <v>242293772</v>
      </c>
      <c r="AV35" s="57" t="s">
        <v>187</v>
      </c>
      <c r="AW35" s="22" t="s">
        <v>83</v>
      </c>
      <c r="AX35" s="287"/>
      <c r="AY35" s="36" t="s">
        <v>84</v>
      </c>
      <c r="AZ35" s="53">
        <v>0.98</v>
      </c>
      <c r="BA35" s="74" t="s">
        <v>57</v>
      </c>
      <c r="BB35" s="69" t="s">
        <v>119</v>
      </c>
      <c r="BC35" s="74" t="s">
        <v>195</v>
      </c>
      <c r="BD35" s="92" t="s">
        <v>212</v>
      </c>
    </row>
    <row r="36" spans="1:56" ht="107.25" customHeight="1" x14ac:dyDescent="0.25">
      <c r="A36" s="287"/>
      <c r="B36" s="287"/>
      <c r="C36" s="287"/>
      <c r="D36" s="287"/>
      <c r="E36" s="287"/>
      <c r="F36" s="287"/>
      <c r="G36" s="310"/>
      <c r="H36" s="310"/>
      <c r="I36" s="333"/>
      <c r="J36" s="310"/>
      <c r="K36" s="345"/>
      <c r="L36" s="345"/>
      <c r="M36" s="334"/>
      <c r="N36" s="319"/>
      <c r="O36" s="359"/>
      <c r="P36" s="319"/>
      <c r="Q36" s="371"/>
      <c r="R36" s="90">
        <f>24</f>
        <v>24</v>
      </c>
      <c r="S36" s="119">
        <f>100%</f>
        <v>1</v>
      </c>
      <c r="T36" s="119">
        <f>100%</f>
        <v>1</v>
      </c>
      <c r="U36" s="287"/>
      <c r="V36" s="287"/>
      <c r="W36" s="287"/>
      <c r="X36" s="367" t="s">
        <v>194</v>
      </c>
      <c r="Y36" s="307">
        <v>1</v>
      </c>
      <c r="Z36" s="259">
        <v>0</v>
      </c>
      <c r="AA36" s="259">
        <v>0</v>
      </c>
      <c r="AB36" s="259">
        <v>0</v>
      </c>
      <c r="AC36" s="259">
        <v>1</v>
      </c>
      <c r="AD36" s="63"/>
      <c r="AE36" s="122"/>
      <c r="AF36" s="63"/>
      <c r="AG36" s="296" t="s">
        <v>184</v>
      </c>
      <c r="AH36" s="296">
        <v>60</v>
      </c>
      <c r="AI36" s="296">
        <f>+AI35</f>
        <v>1043926</v>
      </c>
      <c r="AJ36" s="296">
        <f>+AJ35</f>
        <v>1043926</v>
      </c>
      <c r="AK36" s="279">
        <v>3.7999999999999999E-2</v>
      </c>
      <c r="AL36" s="265" t="str">
        <f>+AL35</f>
        <v>Dirección general y Dirección Operativa de Distriseguridad</v>
      </c>
      <c r="AM36" s="265" t="str">
        <f>+AM35</f>
        <v>Luis Enrique Roa Merchán
Director General
Enver Díaz Escandón 
Director Operativo</v>
      </c>
      <c r="AN36" s="77"/>
      <c r="AO36" s="77"/>
      <c r="AP36" s="77"/>
      <c r="AQ36" s="77"/>
      <c r="AR36" s="77"/>
      <c r="AS36" s="77"/>
      <c r="AT36" s="296" t="s">
        <v>52</v>
      </c>
      <c r="AU36" s="56">
        <v>110000000</v>
      </c>
      <c r="AV36" s="57" t="s">
        <v>60</v>
      </c>
      <c r="AW36" s="22" t="s">
        <v>83</v>
      </c>
      <c r="AX36" s="287"/>
      <c r="AY36" s="36" t="s">
        <v>84</v>
      </c>
      <c r="AZ36" s="53">
        <v>0</v>
      </c>
      <c r="BA36" s="253" t="s">
        <v>61</v>
      </c>
      <c r="BB36" s="328"/>
      <c r="BC36" s="361"/>
      <c r="BD36" s="409" t="s">
        <v>212</v>
      </c>
    </row>
    <row r="37" spans="1:56" ht="54.75" customHeight="1" x14ac:dyDescent="0.25">
      <c r="A37" s="287"/>
      <c r="B37" s="287"/>
      <c r="C37" s="287"/>
      <c r="D37" s="287"/>
      <c r="E37" s="287"/>
      <c r="F37" s="287"/>
      <c r="G37" s="310"/>
      <c r="H37" s="310"/>
      <c r="I37" s="333"/>
      <c r="J37" s="310"/>
      <c r="K37" s="345"/>
      <c r="L37" s="345"/>
      <c r="M37" s="334"/>
      <c r="N37" s="319"/>
      <c r="O37" s="359"/>
      <c r="P37" s="319"/>
      <c r="Q37" s="371"/>
      <c r="R37" s="90"/>
      <c r="S37" s="90"/>
      <c r="T37" s="90"/>
      <c r="U37" s="287"/>
      <c r="V37" s="287"/>
      <c r="W37" s="287"/>
      <c r="X37" s="368"/>
      <c r="Y37" s="370"/>
      <c r="Z37" s="261"/>
      <c r="AA37" s="261"/>
      <c r="AB37" s="261"/>
      <c r="AC37" s="261"/>
      <c r="AD37" s="98">
        <f>1</f>
        <v>1</v>
      </c>
      <c r="AE37" s="122">
        <f t="shared" si="1"/>
        <v>1</v>
      </c>
      <c r="AF37" s="98"/>
      <c r="AG37" s="297"/>
      <c r="AH37" s="297"/>
      <c r="AI37" s="297"/>
      <c r="AJ37" s="297"/>
      <c r="AK37" s="280"/>
      <c r="AL37" s="266"/>
      <c r="AM37" s="266"/>
      <c r="AN37" s="108"/>
      <c r="AO37" s="108"/>
      <c r="AP37" s="108"/>
      <c r="AQ37" s="108"/>
      <c r="AR37" s="108"/>
      <c r="AS37" s="108"/>
      <c r="AT37" s="297"/>
      <c r="AU37" s="56">
        <v>5056101</v>
      </c>
      <c r="AV37" s="57" t="s">
        <v>53</v>
      </c>
      <c r="AW37" s="22" t="s">
        <v>83</v>
      </c>
      <c r="AX37" s="287"/>
      <c r="AY37" s="36" t="s">
        <v>84</v>
      </c>
      <c r="AZ37" s="53">
        <v>0</v>
      </c>
      <c r="BA37" s="362"/>
      <c r="BB37" s="329"/>
      <c r="BC37" s="362"/>
      <c r="BD37" s="418"/>
    </row>
    <row r="38" spans="1:56" ht="54.75" customHeight="1" x14ac:dyDescent="0.25">
      <c r="A38" s="287"/>
      <c r="B38" s="287"/>
      <c r="C38" s="287"/>
      <c r="D38" s="287"/>
      <c r="E38" s="287"/>
      <c r="F38" s="287"/>
      <c r="G38" s="310"/>
      <c r="H38" s="310"/>
      <c r="I38" s="333"/>
      <c r="J38" s="310"/>
      <c r="K38" s="345"/>
      <c r="L38" s="345"/>
      <c r="M38" s="334"/>
      <c r="N38" s="319"/>
      <c r="O38" s="359"/>
      <c r="P38" s="319"/>
      <c r="Q38" s="371"/>
      <c r="R38" s="90"/>
      <c r="S38" s="90"/>
      <c r="T38" s="90"/>
      <c r="U38" s="287"/>
      <c r="V38" s="287"/>
      <c r="W38" s="287"/>
      <c r="X38" s="369"/>
      <c r="Y38" s="308"/>
      <c r="Z38" s="260"/>
      <c r="AA38" s="260"/>
      <c r="AB38" s="260"/>
      <c r="AC38" s="260"/>
      <c r="AD38" s="64"/>
      <c r="AE38" s="122"/>
      <c r="AF38" s="64"/>
      <c r="AG38" s="298"/>
      <c r="AH38" s="298"/>
      <c r="AI38" s="298"/>
      <c r="AJ38" s="298"/>
      <c r="AK38" s="281"/>
      <c r="AL38" s="267"/>
      <c r="AM38" s="267"/>
      <c r="AN38" s="109"/>
      <c r="AO38" s="109"/>
      <c r="AP38" s="109"/>
      <c r="AQ38" s="109"/>
      <c r="AR38" s="109"/>
      <c r="AS38" s="109"/>
      <c r="AT38" s="298"/>
      <c r="AU38" s="56">
        <v>60750573</v>
      </c>
      <c r="AV38" s="57" t="s">
        <v>187</v>
      </c>
      <c r="AW38" s="22" t="s">
        <v>83</v>
      </c>
      <c r="AX38" s="287"/>
      <c r="AY38" s="36" t="s">
        <v>84</v>
      </c>
      <c r="AZ38" s="53">
        <v>0</v>
      </c>
      <c r="BA38" s="363"/>
      <c r="BB38" s="330"/>
      <c r="BC38" s="363"/>
      <c r="BD38" s="410"/>
    </row>
    <row r="39" spans="1:56" ht="75" x14ac:dyDescent="0.25">
      <c r="A39" s="287"/>
      <c r="B39" s="287"/>
      <c r="C39" s="287"/>
      <c r="D39" s="287"/>
      <c r="E39" s="287"/>
      <c r="F39" s="287"/>
      <c r="G39" s="287"/>
      <c r="H39" s="287"/>
      <c r="I39" s="287"/>
      <c r="J39" s="287"/>
      <c r="K39" s="287"/>
      <c r="L39" s="287"/>
      <c r="M39" s="287"/>
      <c r="N39" s="287"/>
      <c r="O39" s="360"/>
      <c r="P39" s="287"/>
      <c r="Q39" s="371"/>
      <c r="R39" s="90"/>
      <c r="S39" s="90"/>
      <c r="T39" s="90"/>
      <c r="U39" s="287"/>
      <c r="V39" s="287"/>
      <c r="W39" s="287"/>
      <c r="X39" s="349" t="s">
        <v>96</v>
      </c>
      <c r="Y39" s="346">
        <v>12</v>
      </c>
      <c r="Z39" s="303">
        <v>0</v>
      </c>
      <c r="AA39" s="259">
        <v>4</v>
      </c>
      <c r="AB39" s="259">
        <v>16</v>
      </c>
      <c r="AC39" s="259">
        <v>4</v>
      </c>
      <c r="AD39" s="63">
        <f>24</f>
        <v>24</v>
      </c>
      <c r="AE39" s="122">
        <f>100%</f>
        <v>1</v>
      </c>
      <c r="AF39" s="63"/>
      <c r="AG39" s="292" t="s">
        <v>69</v>
      </c>
      <c r="AH39" s="292">
        <v>180</v>
      </c>
      <c r="AI39" s="292">
        <f>+AI34</f>
        <v>1043926</v>
      </c>
      <c r="AJ39" s="292">
        <f>+AI39</f>
        <v>1043926</v>
      </c>
      <c r="AK39" s="337">
        <v>0.14199999999999999</v>
      </c>
      <c r="AL39" s="291" t="str">
        <f>+AL34</f>
        <v>Dirección general y Dirección Operativa de Distriseguridad</v>
      </c>
      <c r="AM39" s="291" t="str">
        <f>+AM34</f>
        <v>Luis Enrique Roa Merchán
Director General
Enver Díaz Escandón 
Director Operativo</v>
      </c>
      <c r="AN39" s="25"/>
      <c r="AO39" s="25"/>
      <c r="AP39" s="25"/>
      <c r="AQ39" s="25"/>
      <c r="AR39" s="25"/>
      <c r="AS39" s="25"/>
      <c r="AT39" s="292" t="s">
        <v>52</v>
      </c>
      <c r="AU39" s="56">
        <v>164027134</v>
      </c>
      <c r="AV39" s="57" t="s">
        <v>53</v>
      </c>
      <c r="AW39" s="22" t="s">
        <v>83</v>
      </c>
      <c r="AX39" s="287"/>
      <c r="AY39" s="36" t="s">
        <v>84</v>
      </c>
      <c r="AZ39" s="53">
        <v>1</v>
      </c>
      <c r="BA39" s="411" t="s">
        <v>57</v>
      </c>
      <c r="BB39" s="411" t="s">
        <v>97</v>
      </c>
      <c r="BC39" s="411" t="s">
        <v>89</v>
      </c>
      <c r="BD39" s="277" t="s">
        <v>196</v>
      </c>
    </row>
    <row r="40" spans="1:56" ht="109.5" customHeight="1" x14ac:dyDescent="0.25">
      <c r="A40" s="287"/>
      <c r="B40" s="287"/>
      <c r="C40" s="287"/>
      <c r="D40" s="287"/>
      <c r="E40" s="287"/>
      <c r="F40" s="287"/>
      <c r="G40" s="287"/>
      <c r="H40" s="287"/>
      <c r="I40" s="287"/>
      <c r="J40" s="287"/>
      <c r="K40" s="287"/>
      <c r="L40" s="287"/>
      <c r="M40" s="287"/>
      <c r="N40" s="287"/>
      <c r="O40" s="360"/>
      <c r="P40" s="287"/>
      <c r="Q40" s="366"/>
      <c r="R40" s="99"/>
      <c r="S40" s="99"/>
      <c r="T40" s="99"/>
      <c r="U40" s="287"/>
      <c r="V40" s="287"/>
      <c r="W40" s="287"/>
      <c r="X40" s="287"/>
      <c r="Y40" s="287"/>
      <c r="Z40" s="304"/>
      <c r="AA40" s="260"/>
      <c r="AB40" s="260"/>
      <c r="AC40" s="260"/>
      <c r="AD40" s="64"/>
      <c r="AE40" s="122"/>
      <c r="AF40" s="64"/>
      <c r="AG40" s="287"/>
      <c r="AH40" s="287"/>
      <c r="AI40" s="287"/>
      <c r="AJ40" s="287"/>
      <c r="AK40" s="338"/>
      <c r="AL40" s="295"/>
      <c r="AM40" s="287"/>
      <c r="AN40" s="67"/>
      <c r="AO40" s="67"/>
      <c r="AP40" s="67"/>
      <c r="AQ40" s="67"/>
      <c r="AR40" s="67"/>
      <c r="AS40" s="67"/>
      <c r="AT40" s="287"/>
      <c r="AU40" s="56">
        <v>500000000</v>
      </c>
      <c r="AV40" s="57" t="s">
        <v>98</v>
      </c>
      <c r="AW40" s="22" t="s">
        <v>83</v>
      </c>
      <c r="AX40" s="287"/>
      <c r="AY40" s="36" t="s">
        <v>84</v>
      </c>
      <c r="AZ40" s="53">
        <v>0.96650941000000001</v>
      </c>
      <c r="BA40" s="287"/>
      <c r="BB40" s="287"/>
      <c r="BC40" s="287"/>
      <c r="BD40" s="278"/>
    </row>
    <row r="41" spans="1:56" ht="109.5" customHeight="1" x14ac:dyDescent="0.25">
      <c r="A41" s="249" t="s">
        <v>258</v>
      </c>
      <c r="B41" s="247"/>
      <c r="C41" s="247"/>
      <c r="D41" s="247"/>
      <c r="E41" s="247"/>
      <c r="F41" s="247"/>
      <c r="G41" s="247"/>
      <c r="H41" s="247"/>
      <c r="I41" s="247"/>
      <c r="J41" s="247"/>
      <c r="K41" s="247"/>
      <c r="L41" s="247"/>
      <c r="M41" s="248"/>
      <c r="N41" s="141"/>
      <c r="O41" s="142"/>
      <c r="P41" s="141"/>
      <c r="Q41" s="128"/>
      <c r="R41" s="90"/>
      <c r="S41" s="139">
        <f>AVERAGE(S24,S36)</f>
        <v>0.5</v>
      </c>
      <c r="T41" s="139">
        <f>AVERAGE(T24,T36)</f>
        <v>0.5</v>
      </c>
      <c r="U41" s="249" t="s">
        <v>257</v>
      </c>
      <c r="V41" s="247"/>
      <c r="W41" s="247"/>
      <c r="X41" s="247"/>
      <c r="Y41" s="247"/>
      <c r="Z41" s="248"/>
      <c r="AA41" s="98"/>
      <c r="AB41" s="98"/>
      <c r="AC41" s="98"/>
      <c r="AD41" s="98"/>
      <c r="AE41" s="122">
        <f>AVERAGE(AE20:AE40)</f>
        <v>0.9</v>
      </c>
      <c r="AF41" s="146">
        <f>+AF20</f>
        <v>0.9</v>
      </c>
      <c r="AG41" s="141"/>
      <c r="AH41" s="141"/>
      <c r="AI41" s="141"/>
      <c r="AJ41" s="141"/>
      <c r="AK41" s="143"/>
      <c r="AL41" s="282" t="s">
        <v>265</v>
      </c>
      <c r="AM41" s="283"/>
      <c r="AN41" s="141"/>
      <c r="AO41" s="150">
        <v>4681788173</v>
      </c>
      <c r="AP41" s="150">
        <v>3316756629.6300001</v>
      </c>
      <c r="AQ41" s="150">
        <v>3316756629.6300001</v>
      </c>
      <c r="AR41" s="155">
        <v>0.70843799571237032</v>
      </c>
      <c r="AS41" s="141"/>
      <c r="AT41" s="141"/>
      <c r="AU41" s="56"/>
      <c r="AV41" s="57"/>
      <c r="AW41" s="144"/>
      <c r="AX41" s="67"/>
      <c r="AY41" s="36"/>
      <c r="AZ41" s="53"/>
      <c r="BA41" s="141"/>
      <c r="BB41" s="141"/>
      <c r="BC41" s="141"/>
      <c r="BD41" s="145"/>
    </row>
    <row r="42" spans="1:56" ht="75" x14ac:dyDescent="0.25">
      <c r="A42" s="320" t="s">
        <v>39</v>
      </c>
      <c r="B42" s="320" t="s">
        <v>40</v>
      </c>
      <c r="C42" s="288" t="s">
        <v>99</v>
      </c>
      <c r="D42" s="288" t="s">
        <v>100</v>
      </c>
      <c r="E42" s="288" t="s">
        <v>101</v>
      </c>
      <c r="F42" s="302" t="s">
        <v>102</v>
      </c>
      <c r="G42" s="312" t="s">
        <v>103</v>
      </c>
      <c r="H42" s="312" t="s">
        <v>46</v>
      </c>
      <c r="I42" s="312">
        <v>32</v>
      </c>
      <c r="J42" s="322" t="s">
        <v>104</v>
      </c>
      <c r="K42" s="325">
        <v>5</v>
      </c>
      <c r="L42" s="325">
        <v>4</v>
      </c>
      <c r="M42" s="325">
        <v>0</v>
      </c>
      <c r="N42" s="315">
        <v>0</v>
      </c>
      <c r="O42" s="315">
        <v>0</v>
      </c>
      <c r="P42" s="315">
        <v>0</v>
      </c>
      <c r="Q42" s="365">
        <v>7</v>
      </c>
      <c r="R42" s="66"/>
      <c r="S42" s="66"/>
      <c r="T42" s="66"/>
      <c r="U42" s="290" t="s">
        <v>105</v>
      </c>
      <c r="V42" s="344">
        <v>2021130010279</v>
      </c>
      <c r="W42" s="335" t="s">
        <v>106</v>
      </c>
      <c r="X42" s="305" t="s">
        <v>107</v>
      </c>
      <c r="Y42" s="296">
        <v>4</v>
      </c>
      <c r="Z42" s="299">
        <v>0</v>
      </c>
      <c r="AA42" s="299">
        <v>0</v>
      </c>
      <c r="AB42" s="299">
        <v>0</v>
      </c>
      <c r="AC42" s="299">
        <v>12</v>
      </c>
      <c r="AD42" s="103"/>
      <c r="AE42" s="122"/>
      <c r="AF42" s="132">
        <f>SUM(AE43:AE50)/(6)</f>
        <v>0.83333333333333337</v>
      </c>
      <c r="AG42" s="296" t="s">
        <v>195</v>
      </c>
      <c r="AH42" s="296">
        <v>90</v>
      </c>
      <c r="AI42" s="296">
        <v>1043926</v>
      </c>
      <c r="AJ42" s="296">
        <v>1043927</v>
      </c>
      <c r="AK42" s="279">
        <f>+(AU42+AU43+AU44)/2143358774.88</f>
        <v>0.26419664429334916</v>
      </c>
      <c r="AL42" s="265" t="s">
        <v>180</v>
      </c>
      <c r="AM42" s="265" t="s">
        <v>177</v>
      </c>
      <c r="AN42" s="77" t="s">
        <v>250</v>
      </c>
      <c r="AO42" s="77">
        <v>2143358774.8800001</v>
      </c>
      <c r="AP42" s="77">
        <v>352539099</v>
      </c>
      <c r="AQ42" s="77">
        <v>352539099</v>
      </c>
      <c r="AR42" s="137">
        <f>AQ42/AO42</f>
        <v>0.16447974232393153</v>
      </c>
      <c r="AS42" s="77"/>
      <c r="AT42" s="328" t="s">
        <v>52</v>
      </c>
      <c r="AU42" s="58">
        <v>220115019.84</v>
      </c>
      <c r="AV42" s="57" t="s">
        <v>197</v>
      </c>
      <c r="AW42" s="62" t="s">
        <v>105</v>
      </c>
      <c r="AX42" s="341" t="s">
        <v>57</v>
      </c>
      <c r="AY42" s="20" t="s">
        <v>109</v>
      </c>
      <c r="AZ42" s="53">
        <v>1</v>
      </c>
      <c r="BA42" s="361" t="s">
        <v>57</v>
      </c>
      <c r="BB42" s="328" t="s">
        <v>90</v>
      </c>
      <c r="BC42" s="296" t="s">
        <v>195</v>
      </c>
      <c r="BD42" s="415" t="s">
        <v>217</v>
      </c>
    </row>
    <row r="43" spans="1:56" ht="72" customHeight="1" x14ac:dyDescent="0.25">
      <c r="A43" s="320"/>
      <c r="B43" s="320"/>
      <c r="C43" s="288"/>
      <c r="D43" s="288"/>
      <c r="E43" s="288"/>
      <c r="F43" s="288"/>
      <c r="G43" s="313"/>
      <c r="H43" s="313"/>
      <c r="I43" s="313"/>
      <c r="J43" s="323"/>
      <c r="K43" s="326"/>
      <c r="L43" s="326"/>
      <c r="M43" s="326"/>
      <c r="N43" s="316"/>
      <c r="O43" s="316"/>
      <c r="P43" s="316"/>
      <c r="Q43" s="371"/>
      <c r="R43" s="90">
        <f>7</f>
        <v>7</v>
      </c>
      <c r="S43" s="119">
        <f>100%</f>
        <v>1</v>
      </c>
      <c r="T43" s="119">
        <f>100%</f>
        <v>1</v>
      </c>
      <c r="U43" s="290"/>
      <c r="V43" s="344"/>
      <c r="W43" s="335"/>
      <c r="X43" s="372"/>
      <c r="Y43" s="297"/>
      <c r="Z43" s="300"/>
      <c r="AA43" s="300"/>
      <c r="AB43" s="300"/>
      <c r="AC43" s="300"/>
      <c r="AD43" s="104">
        <f>12</f>
        <v>12</v>
      </c>
      <c r="AE43" s="122">
        <f>100%</f>
        <v>1</v>
      </c>
      <c r="AF43" s="104"/>
      <c r="AG43" s="297"/>
      <c r="AH43" s="297"/>
      <c r="AI43" s="297"/>
      <c r="AJ43" s="297"/>
      <c r="AK43" s="280"/>
      <c r="AL43" s="266"/>
      <c r="AM43" s="266"/>
      <c r="AN43" s="108" t="s">
        <v>251</v>
      </c>
      <c r="AO43" s="108"/>
      <c r="AP43" s="108"/>
      <c r="AQ43" s="108"/>
      <c r="AR43" s="108"/>
      <c r="AS43" s="108"/>
      <c r="AT43" s="329"/>
      <c r="AU43" s="58">
        <v>13602141</v>
      </c>
      <c r="AV43" s="85" t="s">
        <v>198</v>
      </c>
      <c r="AW43" s="62" t="s">
        <v>105</v>
      </c>
      <c r="AX43" s="341"/>
      <c r="AY43" s="69" t="s">
        <v>109</v>
      </c>
      <c r="AZ43" s="53">
        <v>1</v>
      </c>
      <c r="BA43" s="362"/>
      <c r="BB43" s="329"/>
      <c r="BC43" s="297"/>
      <c r="BD43" s="416"/>
    </row>
    <row r="44" spans="1:56" ht="90.75" customHeight="1" x14ac:dyDescent="0.25">
      <c r="A44" s="320"/>
      <c r="B44" s="320"/>
      <c r="C44" s="288"/>
      <c r="D44" s="288"/>
      <c r="E44" s="288"/>
      <c r="F44" s="288"/>
      <c r="G44" s="314"/>
      <c r="H44" s="314"/>
      <c r="I44" s="314"/>
      <c r="J44" s="324"/>
      <c r="K44" s="327"/>
      <c r="L44" s="327"/>
      <c r="M44" s="327"/>
      <c r="N44" s="317"/>
      <c r="O44" s="317"/>
      <c r="P44" s="317"/>
      <c r="Q44" s="366"/>
      <c r="R44" s="99"/>
      <c r="S44" s="99"/>
      <c r="T44" s="99"/>
      <c r="U44" s="290"/>
      <c r="V44" s="344"/>
      <c r="W44" s="335"/>
      <c r="X44" s="306"/>
      <c r="Y44" s="298"/>
      <c r="Z44" s="301"/>
      <c r="AA44" s="301"/>
      <c r="AB44" s="301"/>
      <c r="AC44" s="301"/>
      <c r="AD44" s="105"/>
      <c r="AE44" s="122"/>
      <c r="AF44" s="105"/>
      <c r="AG44" s="298"/>
      <c r="AH44" s="298"/>
      <c r="AI44" s="298"/>
      <c r="AJ44" s="298"/>
      <c r="AK44" s="281"/>
      <c r="AL44" s="267"/>
      <c r="AM44" s="267"/>
      <c r="AN44" s="109" t="s">
        <v>252</v>
      </c>
      <c r="AO44" s="109"/>
      <c r="AP44" s="109"/>
      <c r="AQ44" s="109"/>
      <c r="AR44" s="109"/>
      <c r="AS44" s="109"/>
      <c r="AT44" s="330"/>
      <c r="AU44" s="58">
        <v>332551035</v>
      </c>
      <c r="AV44" s="85" t="s">
        <v>199</v>
      </c>
      <c r="AW44" s="62" t="s">
        <v>105</v>
      </c>
      <c r="AX44" s="341"/>
      <c r="AY44" s="20" t="s">
        <v>109</v>
      </c>
      <c r="AZ44" s="53">
        <v>1</v>
      </c>
      <c r="BA44" s="363"/>
      <c r="BB44" s="330"/>
      <c r="BC44" s="298"/>
      <c r="BD44" s="417"/>
    </row>
    <row r="45" spans="1:56" ht="180" customHeight="1" x14ac:dyDescent="0.25">
      <c r="A45" s="311"/>
      <c r="B45" s="311"/>
      <c r="C45" s="311"/>
      <c r="D45" s="311"/>
      <c r="E45" s="287"/>
      <c r="F45" s="287"/>
      <c r="G45" s="310" t="s">
        <v>110</v>
      </c>
      <c r="H45" s="310" t="s">
        <v>46</v>
      </c>
      <c r="I45" s="310">
        <v>0</v>
      </c>
      <c r="J45" s="318" t="s">
        <v>111</v>
      </c>
      <c r="K45" s="334">
        <v>1000</v>
      </c>
      <c r="L45" s="334">
        <v>200</v>
      </c>
      <c r="M45" s="334">
        <v>700</v>
      </c>
      <c r="N45" s="319">
        <v>0</v>
      </c>
      <c r="O45" s="319">
        <v>0</v>
      </c>
      <c r="P45" s="315">
        <v>0</v>
      </c>
      <c r="Q45" s="365">
        <v>500</v>
      </c>
      <c r="R45" s="66"/>
      <c r="S45" s="66"/>
      <c r="T45" s="66"/>
      <c r="U45" s="287"/>
      <c r="V45" s="287"/>
      <c r="W45" s="287"/>
      <c r="X45" s="26" t="s">
        <v>112</v>
      </c>
      <c r="Y45" s="19">
        <v>1</v>
      </c>
      <c r="Z45" s="50">
        <v>0</v>
      </c>
      <c r="AA45" s="50">
        <v>1</v>
      </c>
      <c r="AB45" s="50">
        <v>0</v>
      </c>
      <c r="AC45" s="50">
        <v>0</v>
      </c>
      <c r="AD45" s="50">
        <f>1</f>
        <v>1</v>
      </c>
      <c r="AE45" s="122">
        <f>AD45/Y45</f>
        <v>1</v>
      </c>
      <c r="AF45" s="50"/>
      <c r="AG45" s="19" t="s">
        <v>113</v>
      </c>
      <c r="AH45" s="19">
        <v>240</v>
      </c>
      <c r="AI45" s="19">
        <v>1043926</v>
      </c>
      <c r="AJ45" s="19">
        <v>1043926</v>
      </c>
      <c r="AK45" s="87">
        <f>+AU45/2143358774.88</f>
        <v>8.1516917301809169E-2</v>
      </c>
      <c r="AL45" s="20" t="str">
        <f>+AL42</f>
        <v>Dirección general y Dirección Operativa de Distriseguridad</v>
      </c>
      <c r="AM45" s="21" t="s">
        <v>177</v>
      </c>
      <c r="AN45" s="21" t="s">
        <v>253</v>
      </c>
      <c r="AO45" s="21"/>
      <c r="AP45" s="21"/>
      <c r="AQ45" s="21"/>
      <c r="AR45" s="21"/>
      <c r="AS45" s="21"/>
      <c r="AT45" s="21" t="s">
        <v>52</v>
      </c>
      <c r="AU45" s="58">
        <v>174720000</v>
      </c>
      <c r="AV45" s="57" t="s">
        <v>108</v>
      </c>
      <c r="AW45" s="21" t="s">
        <v>105</v>
      </c>
      <c r="AX45" s="294"/>
      <c r="AY45" s="20" t="s">
        <v>109</v>
      </c>
      <c r="AZ45" s="53">
        <f>7695095/AU45</f>
        <v>4.4042439331501829E-2</v>
      </c>
      <c r="BA45" s="29" t="s">
        <v>57</v>
      </c>
      <c r="BB45" s="21" t="s">
        <v>114</v>
      </c>
      <c r="BC45" s="25" t="s">
        <v>200</v>
      </c>
      <c r="BD45" s="94" t="s">
        <v>218</v>
      </c>
    </row>
    <row r="46" spans="1:56" ht="84.75" customHeight="1" x14ac:dyDescent="0.25">
      <c r="A46" s="311"/>
      <c r="B46" s="311"/>
      <c r="C46" s="311"/>
      <c r="D46" s="311"/>
      <c r="E46" s="287"/>
      <c r="F46" s="287"/>
      <c r="G46" s="287"/>
      <c r="H46" s="287"/>
      <c r="I46" s="287"/>
      <c r="J46" s="287"/>
      <c r="K46" s="287"/>
      <c r="L46" s="287"/>
      <c r="M46" s="287"/>
      <c r="N46" s="287"/>
      <c r="O46" s="287"/>
      <c r="P46" s="316"/>
      <c r="Q46" s="371"/>
      <c r="R46" s="90">
        <f>500</f>
        <v>500</v>
      </c>
      <c r="S46" s="119">
        <f>100%</f>
        <v>1</v>
      </c>
      <c r="T46" s="119">
        <f>100%</f>
        <v>1</v>
      </c>
      <c r="U46" s="287"/>
      <c r="V46" s="287"/>
      <c r="W46" s="287"/>
      <c r="X46" s="305" t="s">
        <v>115</v>
      </c>
      <c r="Y46" s="296">
        <v>26</v>
      </c>
      <c r="Z46" s="299">
        <v>26</v>
      </c>
      <c r="AA46" s="299">
        <v>26</v>
      </c>
      <c r="AB46" s="299">
        <v>26</v>
      </c>
      <c r="AC46" s="299">
        <v>26</v>
      </c>
      <c r="AD46" s="103">
        <f>26</f>
        <v>26</v>
      </c>
      <c r="AE46" s="122">
        <f>AD46/Y46</f>
        <v>1</v>
      </c>
      <c r="AF46" s="103"/>
      <c r="AG46" s="296" t="s">
        <v>59</v>
      </c>
      <c r="AH46" s="296">
        <v>360</v>
      </c>
      <c r="AI46" s="296">
        <v>1043926</v>
      </c>
      <c r="AJ46" s="296">
        <v>1043926</v>
      </c>
      <c r="AK46" s="279">
        <f>+(AU46+AU47+AU48)/2143358774.88</f>
        <v>0.49008472505439976</v>
      </c>
      <c r="AL46" s="361" t="s">
        <v>51</v>
      </c>
      <c r="AM46" s="328" t="s">
        <v>177</v>
      </c>
      <c r="AN46" s="62" t="s">
        <v>254</v>
      </c>
      <c r="AO46" s="62"/>
      <c r="AP46" s="62"/>
      <c r="AQ46" s="62"/>
      <c r="AR46" s="62"/>
      <c r="AS46" s="62"/>
      <c r="AT46" s="328" t="s">
        <v>52</v>
      </c>
      <c r="AU46" s="58">
        <v>697888296</v>
      </c>
      <c r="AV46" s="57" t="s">
        <v>197</v>
      </c>
      <c r="AW46" s="21" t="s">
        <v>105</v>
      </c>
      <c r="AX46" s="294"/>
      <c r="AY46" s="20" t="s">
        <v>109</v>
      </c>
      <c r="AZ46" s="53">
        <v>0.86</v>
      </c>
      <c r="BA46" s="361" t="s">
        <v>57</v>
      </c>
      <c r="BB46" s="328" t="s">
        <v>63</v>
      </c>
      <c r="BC46" s="296" t="s">
        <v>59</v>
      </c>
      <c r="BD46" s="409" t="s">
        <v>175</v>
      </c>
    </row>
    <row r="47" spans="1:56" ht="60" x14ac:dyDescent="0.25">
      <c r="A47" s="311"/>
      <c r="B47" s="311"/>
      <c r="C47" s="311"/>
      <c r="D47" s="311"/>
      <c r="E47" s="287"/>
      <c r="F47" s="287"/>
      <c r="G47" s="287"/>
      <c r="H47" s="287"/>
      <c r="I47" s="287"/>
      <c r="J47" s="287"/>
      <c r="K47" s="287"/>
      <c r="L47" s="287"/>
      <c r="M47" s="287"/>
      <c r="N47" s="287"/>
      <c r="O47" s="287"/>
      <c r="P47" s="316"/>
      <c r="Q47" s="371"/>
      <c r="R47" s="90"/>
      <c r="S47" s="90"/>
      <c r="T47" s="90"/>
      <c r="U47" s="287"/>
      <c r="V47" s="287"/>
      <c r="W47" s="287"/>
      <c r="X47" s="372"/>
      <c r="Y47" s="297"/>
      <c r="Z47" s="300"/>
      <c r="AA47" s="300"/>
      <c r="AB47" s="300"/>
      <c r="AC47" s="300"/>
      <c r="AD47" s="104"/>
      <c r="AE47" s="122"/>
      <c r="AF47" s="104"/>
      <c r="AG47" s="297"/>
      <c r="AH47" s="297"/>
      <c r="AI47" s="297"/>
      <c r="AJ47" s="297"/>
      <c r="AK47" s="280"/>
      <c r="AL47" s="362"/>
      <c r="AM47" s="329"/>
      <c r="AN47" s="106"/>
      <c r="AO47" s="106"/>
      <c r="AP47" s="106"/>
      <c r="AQ47" s="106"/>
      <c r="AR47" s="106"/>
      <c r="AS47" s="106"/>
      <c r="AT47" s="329"/>
      <c r="AU47" s="58">
        <v>68793476.879999995</v>
      </c>
      <c r="AV47" s="57" t="s">
        <v>201</v>
      </c>
      <c r="AW47" s="21" t="s">
        <v>105</v>
      </c>
      <c r="AX47" s="294"/>
      <c r="AY47" s="20" t="s">
        <v>109</v>
      </c>
      <c r="AZ47" s="53">
        <v>0.98</v>
      </c>
      <c r="BA47" s="362"/>
      <c r="BB47" s="329"/>
      <c r="BC47" s="297"/>
      <c r="BD47" s="418"/>
    </row>
    <row r="48" spans="1:56" ht="60" x14ac:dyDescent="0.25">
      <c r="A48" s="311"/>
      <c r="B48" s="311"/>
      <c r="C48" s="311"/>
      <c r="D48" s="311"/>
      <c r="E48" s="287"/>
      <c r="F48" s="287"/>
      <c r="G48" s="287"/>
      <c r="H48" s="287"/>
      <c r="I48" s="287"/>
      <c r="J48" s="287"/>
      <c r="K48" s="287"/>
      <c r="L48" s="287"/>
      <c r="M48" s="287"/>
      <c r="N48" s="287"/>
      <c r="O48" s="287"/>
      <c r="P48" s="316"/>
      <c r="Q48" s="366"/>
      <c r="R48" s="99"/>
      <c r="S48" s="99"/>
      <c r="T48" s="99"/>
      <c r="U48" s="287"/>
      <c r="V48" s="287"/>
      <c r="W48" s="287"/>
      <c r="X48" s="306"/>
      <c r="Y48" s="298"/>
      <c r="Z48" s="301"/>
      <c r="AA48" s="301"/>
      <c r="AB48" s="301"/>
      <c r="AC48" s="301"/>
      <c r="AD48" s="105"/>
      <c r="AE48" s="122"/>
      <c r="AF48" s="105"/>
      <c r="AG48" s="298"/>
      <c r="AH48" s="298"/>
      <c r="AI48" s="298"/>
      <c r="AJ48" s="298"/>
      <c r="AK48" s="281"/>
      <c r="AL48" s="363"/>
      <c r="AM48" s="330"/>
      <c r="AN48" s="107"/>
      <c r="AO48" s="107"/>
      <c r="AP48" s="107"/>
      <c r="AQ48" s="107"/>
      <c r="AR48" s="107"/>
      <c r="AS48" s="107"/>
      <c r="AT48" s="330"/>
      <c r="AU48" s="58">
        <v>283745623</v>
      </c>
      <c r="AV48" s="57" t="s">
        <v>202</v>
      </c>
      <c r="AW48" s="21" t="s">
        <v>105</v>
      </c>
      <c r="AX48" s="294"/>
      <c r="AY48" s="20" t="s">
        <v>109</v>
      </c>
      <c r="AZ48" s="53">
        <v>0.9</v>
      </c>
      <c r="BA48" s="363"/>
      <c r="BB48" s="330"/>
      <c r="BC48" s="298"/>
      <c r="BD48" s="410"/>
    </row>
    <row r="49" spans="1:56" ht="105" x14ac:dyDescent="0.25">
      <c r="A49" s="311"/>
      <c r="B49" s="311"/>
      <c r="C49" s="311"/>
      <c r="D49" s="311"/>
      <c r="E49" s="287"/>
      <c r="F49" s="287"/>
      <c r="G49" s="310" t="s">
        <v>116</v>
      </c>
      <c r="H49" s="310" t="s">
        <v>46</v>
      </c>
      <c r="I49" s="310">
        <v>0</v>
      </c>
      <c r="J49" s="309" t="s">
        <v>117</v>
      </c>
      <c r="K49" s="334">
        <v>20</v>
      </c>
      <c r="L49" s="334">
        <v>10</v>
      </c>
      <c r="M49" s="334">
        <v>0</v>
      </c>
      <c r="N49" s="319">
        <v>0</v>
      </c>
      <c r="O49" s="319">
        <v>0</v>
      </c>
      <c r="P49" s="315">
        <v>0</v>
      </c>
      <c r="Q49" s="365">
        <v>20</v>
      </c>
      <c r="R49" s="66">
        <f>20</f>
        <v>20</v>
      </c>
      <c r="S49" s="120">
        <f>100%</f>
        <v>1</v>
      </c>
      <c r="T49" s="120">
        <f>R49/K49</f>
        <v>1</v>
      </c>
      <c r="U49" s="287"/>
      <c r="V49" s="287"/>
      <c r="W49" s="287"/>
      <c r="X49" s="33" t="s">
        <v>118</v>
      </c>
      <c r="Y49" s="19">
        <v>1</v>
      </c>
      <c r="Z49" s="50">
        <v>1</v>
      </c>
      <c r="AA49" s="50">
        <v>1</v>
      </c>
      <c r="AB49" s="50">
        <v>1</v>
      </c>
      <c r="AC49" s="50">
        <v>1</v>
      </c>
      <c r="AD49" s="50">
        <f>1</f>
        <v>1</v>
      </c>
      <c r="AE49" s="122">
        <f>AD49/Y49</f>
        <v>1</v>
      </c>
      <c r="AF49" s="50"/>
      <c r="AG49" s="19" t="s">
        <v>59</v>
      </c>
      <c r="AH49" s="19">
        <v>360</v>
      </c>
      <c r="AI49" s="35">
        <v>1043926</v>
      </c>
      <c r="AJ49" s="19">
        <v>1043926</v>
      </c>
      <c r="AK49" s="87">
        <f>+AU49/2143358774.88</f>
        <v>5.0346228277177503E-2</v>
      </c>
      <c r="AL49" s="29" t="s">
        <v>51</v>
      </c>
      <c r="AM49" s="21" t="s">
        <v>177</v>
      </c>
      <c r="AN49" s="21"/>
      <c r="AO49" s="21"/>
      <c r="AP49" s="21"/>
      <c r="AQ49" s="21"/>
      <c r="AR49" s="21"/>
      <c r="AS49" s="21"/>
      <c r="AT49" s="21" t="s">
        <v>52</v>
      </c>
      <c r="AU49" s="58">
        <v>107910030.16</v>
      </c>
      <c r="AV49" s="57" t="s">
        <v>108</v>
      </c>
      <c r="AW49" s="21" t="s">
        <v>105</v>
      </c>
      <c r="AX49" s="294"/>
      <c r="AY49" s="20" t="s">
        <v>109</v>
      </c>
      <c r="AZ49" s="53">
        <v>0.65</v>
      </c>
      <c r="BA49" s="29" t="s">
        <v>57</v>
      </c>
      <c r="BB49" s="21" t="s">
        <v>119</v>
      </c>
      <c r="BC49" s="19" t="s">
        <v>59</v>
      </c>
      <c r="BD49" s="93" t="s">
        <v>219</v>
      </c>
    </row>
    <row r="50" spans="1:56" ht="90" x14ac:dyDescent="0.25">
      <c r="A50" s="311"/>
      <c r="B50" s="311"/>
      <c r="C50" s="311"/>
      <c r="D50" s="311"/>
      <c r="E50" s="287"/>
      <c r="F50" s="287"/>
      <c r="G50" s="287"/>
      <c r="H50" s="287"/>
      <c r="I50" s="287"/>
      <c r="J50" s="287"/>
      <c r="K50" s="287"/>
      <c r="L50" s="287"/>
      <c r="M50" s="287"/>
      <c r="N50" s="287"/>
      <c r="O50" s="287"/>
      <c r="P50" s="317"/>
      <c r="Q50" s="366"/>
      <c r="R50" s="99"/>
      <c r="S50" s="99"/>
      <c r="T50" s="99"/>
      <c r="U50" s="287"/>
      <c r="V50" s="287"/>
      <c r="W50" s="287"/>
      <c r="X50" s="38" t="s">
        <v>120</v>
      </c>
      <c r="Y50" s="19">
        <v>12</v>
      </c>
      <c r="Z50" s="50">
        <v>3</v>
      </c>
      <c r="AA50" s="50">
        <v>3</v>
      </c>
      <c r="AB50" s="50">
        <v>3</v>
      </c>
      <c r="AC50" s="50">
        <v>3</v>
      </c>
      <c r="AD50" s="50">
        <f>12</f>
        <v>12</v>
      </c>
      <c r="AE50" s="122">
        <f>AD50/Y50</f>
        <v>1</v>
      </c>
      <c r="AF50" s="50"/>
      <c r="AG50" s="19" t="s">
        <v>59</v>
      </c>
      <c r="AH50" s="19">
        <v>360</v>
      </c>
      <c r="AI50" s="19">
        <v>1043926</v>
      </c>
      <c r="AJ50" s="19">
        <v>1043926</v>
      </c>
      <c r="AK50" s="87">
        <f>+AU50/2143358774.88</f>
        <v>0.11385548507326435</v>
      </c>
      <c r="AL50" s="29" t="s">
        <v>51</v>
      </c>
      <c r="AM50" s="21" t="s">
        <v>177</v>
      </c>
      <c r="AN50" s="21"/>
      <c r="AO50" s="21"/>
      <c r="AP50" s="21"/>
      <c r="AQ50" s="21"/>
      <c r="AR50" s="21"/>
      <c r="AS50" s="21"/>
      <c r="AT50" s="21" t="s">
        <v>52</v>
      </c>
      <c r="AU50" s="58">
        <v>244033153</v>
      </c>
      <c r="AV50" s="57" t="s">
        <v>108</v>
      </c>
      <c r="AW50" s="22" t="s">
        <v>105</v>
      </c>
      <c r="AX50" s="294"/>
      <c r="AY50" s="20" t="s">
        <v>109</v>
      </c>
      <c r="AZ50" s="53">
        <f>+(AU50/12*9)/AU50</f>
        <v>0.75</v>
      </c>
      <c r="BA50" s="29" t="s">
        <v>61</v>
      </c>
      <c r="BB50" s="21" t="s">
        <v>121</v>
      </c>
      <c r="BC50" s="25" t="s">
        <v>122</v>
      </c>
      <c r="BD50" s="91" t="s">
        <v>220</v>
      </c>
    </row>
    <row r="51" spans="1:56" ht="69" customHeight="1" x14ac:dyDescent="0.25">
      <c r="A51" s="249" t="s">
        <v>259</v>
      </c>
      <c r="B51" s="321"/>
      <c r="C51" s="321"/>
      <c r="D51" s="321"/>
      <c r="E51" s="321"/>
      <c r="F51" s="321"/>
      <c r="G51" s="321"/>
      <c r="H51" s="321"/>
      <c r="I51" s="321"/>
      <c r="J51" s="321"/>
      <c r="K51" s="321"/>
      <c r="L51" s="321"/>
      <c r="M51" s="285"/>
      <c r="N51" s="67"/>
      <c r="O51" s="67"/>
      <c r="P51" s="99"/>
      <c r="Q51" s="127"/>
      <c r="R51" s="99"/>
      <c r="S51" s="147">
        <f>SUM(S43:S50)/(3)</f>
        <v>1</v>
      </c>
      <c r="T51" s="147">
        <f>AVERAGE(T43:T50)</f>
        <v>1</v>
      </c>
      <c r="U51" s="246" t="s">
        <v>257</v>
      </c>
      <c r="V51" s="247"/>
      <c r="W51" s="247"/>
      <c r="X51" s="247"/>
      <c r="Y51" s="248"/>
      <c r="Z51" s="50"/>
      <c r="AA51" s="50"/>
      <c r="AB51" s="50"/>
      <c r="AC51" s="50"/>
      <c r="AD51" s="50"/>
      <c r="AE51" s="149">
        <f ca="1">AVERAGE(AE43:AE51)</f>
        <v>0</v>
      </c>
      <c r="AF51" s="148">
        <f>AF42</f>
        <v>0.83333333333333337</v>
      </c>
      <c r="AG51" s="19"/>
      <c r="AH51" s="19"/>
      <c r="AI51" s="19"/>
      <c r="AJ51" s="19"/>
      <c r="AK51" s="87"/>
      <c r="AL51" s="284" t="s">
        <v>265</v>
      </c>
      <c r="AM51" s="285"/>
      <c r="AN51" s="21"/>
      <c r="AO51" s="21">
        <v>2143358774.8800001</v>
      </c>
      <c r="AP51" s="21">
        <v>352539099</v>
      </c>
      <c r="AQ51" s="21">
        <v>352539099</v>
      </c>
      <c r="AR51" s="138">
        <v>0.16447974232393153</v>
      </c>
      <c r="AS51" s="21"/>
      <c r="AT51" s="21"/>
      <c r="AU51" s="58"/>
      <c r="AV51" s="57"/>
      <c r="AW51" s="22"/>
      <c r="AX51" s="125"/>
      <c r="AY51" s="20"/>
      <c r="AZ51" s="53"/>
      <c r="BA51" s="29"/>
      <c r="BB51" s="21"/>
      <c r="BC51" s="25"/>
      <c r="BD51" s="91"/>
    </row>
    <row r="52" spans="1:56" ht="180" x14ac:dyDescent="0.25">
      <c r="A52" s="288" t="s">
        <v>39</v>
      </c>
      <c r="B52" s="288" t="s">
        <v>40</v>
      </c>
      <c r="C52" s="288" t="s">
        <v>99</v>
      </c>
      <c r="D52" s="288" t="s">
        <v>100</v>
      </c>
      <c r="E52" s="288" t="s">
        <v>101</v>
      </c>
      <c r="F52" s="288" t="s">
        <v>123</v>
      </c>
      <c r="G52" s="20" t="s">
        <v>124</v>
      </c>
      <c r="H52" s="28" t="s">
        <v>46</v>
      </c>
      <c r="I52" s="39">
        <v>18570</v>
      </c>
      <c r="J52" s="28" t="s">
        <v>125</v>
      </c>
      <c r="K52" s="30">
        <v>20000</v>
      </c>
      <c r="L52" s="30">
        <f>14000-M52</f>
        <v>5016</v>
      </c>
      <c r="M52" s="30">
        <v>8984</v>
      </c>
      <c r="N52" s="31">
        <f>1196+1781+571</f>
        <v>3548</v>
      </c>
      <c r="O52" s="31">
        <v>11247</v>
      </c>
      <c r="P52" s="31">
        <v>1141</v>
      </c>
      <c r="Q52" s="31">
        <v>4353</v>
      </c>
      <c r="R52" s="31">
        <f>(Q52+P52+O52+N52)</f>
        <v>20289</v>
      </c>
      <c r="S52" s="121">
        <f>100%</f>
        <v>1</v>
      </c>
      <c r="T52" s="121">
        <f>100%</f>
        <v>1</v>
      </c>
      <c r="U52" s="288" t="s">
        <v>126</v>
      </c>
      <c r="V52" s="289">
        <v>2021130010176</v>
      </c>
      <c r="W52" s="302" t="s">
        <v>127</v>
      </c>
      <c r="X52" s="38" t="s">
        <v>128</v>
      </c>
      <c r="Y52" s="19">
        <v>10</v>
      </c>
      <c r="Z52" s="51">
        <v>0</v>
      </c>
      <c r="AA52" s="51">
        <v>0</v>
      </c>
      <c r="AB52" s="51">
        <v>0</v>
      </c>
      <c r="AC52" s="51">
        <v>0</v>
      </c>
      <c r="AD52" s="51">
        <f>0</f>
        <v>0</v>
      </c>
      <c r="AE52" s="122">
        <f>AD52/Y50</f>
        <v>0</v>
      </c>
      <c r="AF52" s="133">
        <f>SUM(AE52:AE54)/(2)</f>
        <v>0.5</v>
      </c>
      <c r="AG52" s="19" t="s">
        <v>184</v>
      </c>
      <c r="AH52" s="19">
        <v>30</v>
      </c>
      <c r="AI52" s="19">
        <v>1043926</v>
      </c>
      <c r="AJ52" s="19">
        <v>1043926</v>
      </c>
      <c r="AK52" s="87">
        <f t="shared" ref="AK52:AK54" si="6">+AU52/300000000</f>
        <v>0.10333333333333333</v>
      </c>
      <c r="AL52" s="29" t="s">
        <v>51</v>
      </c>
      <c r="AM52" s="21" t="s">
        <v>177</v>
      </c>
      <c r="AN52" s="21" t="s">
        <v>255</v>
      </c>
      <c r="AO52" s="21">
        <v>300000000</v>
      </c>
      <c r="AP52" s="21">
        <v>300000000</v>
      </c>
      <c r="AQ52" s="21">
        <v>300000000</v>
      </c>
      <c r="AR52" s="138">
        <f>AQ52/AO52</f>
        <v>1</v>
      </c>
      <c r="AS52" s="21"/>
      <c r="AT52" s="21" t="s">
        <v>52</v>
      </c>
      <c r="AU52" s="58">
        <v>31000000</v>
      </c>
      <c r="AV52" s="60" t="s">
        <v>129</v>
      </c>
      <c r="AW52" s="22" t="s">
        <v>130</v>
      </c>
      <c r="AX52" s="293" t="s">
        <v>57</v>
      </c>
      <c r="AY52" s="20" t="s">
        <v>131</v>
      </c>
      <c r="AZ52" s="53">
        <v>0</v>
      </c>
      <c r="BA52" s="29" t="s">
        <v>57</v>
      </c>
      <c r="BB52" s="21" t="s">
        <v>97</v>
      </c>
      <c r="BC52" s="59" t="s">
        <v>73</v>
      </c>
      <c r="BD52" s="95" t="s">
        <v>221</v>
      </c>
    </row>
    <row r="53" spans="1:56" ht="23.25" x14ac:dyDescent="0.25">
      <c r="A53" s="288"/>
      <c r="B53" s="288"/>
      <c r="C53" s="288"/>
      <c r="D53" s="288"/>
      <c r="E53" s="288"/>
      <c r="F53" s="288"/>
      <c r="G53" s="20"/>
      <c r="H53" s="28"/>
      <c r="I53" s="39"/>
      <c r="J53" s="28"/>
      <c r="K53" s="30"/>
      <c r="L53" s="30"/>
      <c r="M53" s="30"/>
      <c r="N53" s="31"/>
      <c r="O53" s="31"/>
      <c r="P53" s="31"/>
      <c r="Q53" s="31"/>
      <c r="R53" s="31"/>
      <c r="S53" s="121"/>
      <c r="T53" s="121"/>
      <c r="U53" s="288"/>
      <c r="V53" s="289"/>
      <c r="W53" s="288"/>
      <c r="X53" s="38"/>
      <c r="Y53" s="19"/>
      <c r="Z53" s="51"/>
      <c r="AA53" s="51"/>
      <c r="AB53" s="51"/>
      <c r="AC53" s="51"/>
      <c r="AD53" s="51"/>
      <c r="AE53" s="122"/>
      <c r="AF53" s="133"/>
      <c r="AG53" s="19"/>
      <c r="AH53" s="19"/>
      <c r="AI53" s="19"/>
      <c r="AJ53" s="19"/>
      <c r="AK53" s="87"/>
      <c r="AL53" s="29"/>
      <c r="AM53" s="21"/>
      <c r="AN53" s="21"/>
      <c r="AO53" s="21"/>
      <c r="AP53" s="21"/>
      <c r="AQ53" s="21"/>
      <c r="AR53" s="21"/>
      <c r="AS53" s="21"/>
      <c r="AT53" s="21"/>
      <c r="AU53" s="58"/>
      <c r="AV53" s="60"/>
      <c r="AW53" s="22"/>
      <c r="AX53" s="293"/>
      <c r="AY53" s="20"/>
      <c r="AZ53" s="53"/>
      <c r="BA53" s="29"/>
      <c r="BB53" s="21"/>
      <c r="BC53" s="59"/>
      <c r="BD53" s="95"/>
    </row>
    <row r="54" spans="1:56" ht="165" x14ac:dyDescent="0.25">
      <c r="A54" s="287"/>
      <c r="B54" s="287"/>
      <c r="C54" s="287"/>
      <c r="D54" s="287"/>
      <c r="E54" s="287"/>
      <c r="F54" s="287"/>
      <c r="G54" s="40" t="s">
        <v>132</v>
      </c>
      <c r="H54" s="28" t="s">
        <v>46</v>
      </c>
      <c r="I54" s="39">
        <v>0</v>
      </c>
      <c r="J54" s="28" t="s">
        <v>133</v>
      </c>
      <c r="K54" s="30">
        <v>2000</v>
      </c>
      <c r="L54" s="30">
        <v>700</v>
      </c>
      <c r="M54" s="30">
        <v>2647</v>
      </c>
      <c r="N54" s="31">
        <f>372+269+44</f>
        <v>685</v>
      </c>
      <c r="O54" s="31">
        <v>365</v>
      </c>
      <c r="P54" s="31">
        <v>443</v>
      </c>
      <c r="Q54" s="31">
        <v>311</v>
      </c>
      <c r="R54" s="31">
        <f>(Q54+P54+O54+N54)</f>
        <v>1804</v>
      </c>
      <c r="S54" s="121">
        <f>100%</f>
        <v>1</v>
      </c>
      <c r="T54" s="121">
        <f>100%</f>
        <v>1</v>
      </c>
      <c r="U54" s="287"/>
      <c r="V54" s="287"/>
      <c r="W54" s="287"/>
      <c r="X54" s="38" t="s">
        <v>134</v>
      </c>
      <c r="Y54" s="19">
        <v>15</v>
      </c>
      <c r="Z54" s="51">
        <v>15</v>
      </c>
      <c r="AA54" s="51">
        <v>15</v>
      </c>
      <c r="AB54" s="51">
        <v>15</v>
      </c>
      <c r="AC54" s="51">
        <v>15</v>
      </c>
      <c r="AD54" s="51">
        <f>15</f>
        <v>15</v>
      </c>
      <c r="AE54" s="122">
        <f>AD54/Y54</f>
        <v>1</v>
      </c>
      <c r="AF54" s="51"/>
      <c r="AG54" s="19" t="s">
        <v>59</v>
      </c>
      <c r="AH54" s="19">
        <v>360</v>
      </c>
      <c r="AI54" s="19">
        <v>1043926</v>
      </c>
      <c r="AJ54" s="19">
        <v>1043926</v>
      </c>
      <c r="AK54" s="87">
        <f t="shared" si="6"/>
        <v>0.89666666666666661</v>
      </c>
      <c r="AL54" s="29" t="s">
        <v>51</v>
      </c>
      <c r="AM54" s="21" t="s">
        <v>177</v>
      </c>
      <c r="AN54" s="21"/>
      <c r="AO54" s="21"/>
      <c r="AP54" s="21"/>
      <c r="AQ54" s="21"/>
      <c r="AR54" s="21"/>
      <c r="AS54" s="21"/>
      <c r="AT54" s="21" t="s">
        <v>52</v>
      </c>
      <c r="AU54" s="58">
        <v>269000000</v>
      </c>
      <c r="AV54" s="60" t="s">
        <v>129</v>
      </c>
      <c r="AW54" s="22" t="s">
        <v>130</v>
      </c>
      <c r="AX54" s="294"/>
      <c r="AY54" s="20" t="s">
        <v>131</v>
      </c>
      <c r="AZ54" s="53">
        <v>1</v>
      </c>
      <c r="BA54" s="29" t="s">
        <v>57</v>
      </c>
      <c r="BB54" s="21" t="s">
        <v>135</v>
      </c>
      <c r="BC54" s="29" t="s">
        <v>59</v>
      </c>
      <c r="BD54" s="91" t="s">
        <v>220</v>
      </c>
    </row>
    <row r="55" spans="1:56" ht="56.25" customHeight="1" x14ac:dyDescent="0.25">
      <c r="A55" s="249" t="s">
        <v>260</v>
      </c>
      <c r="B55" s="247"/>
      <c r="C55" s="247"/>
      <c r="D55" s="247"/>
      <c r="E55" s="247"/>
      <c r="F55" s="247"/>
      <c r="G55" s="247"/>
      <c r="H55" s="248"/>
      <c r="I55" s="39"/>
      <c r="J55" s="28"/>
      <c r="K55" s="30"/>
      <c r="L55" s="30"/>
      <c r="M55" s="30"/>
      <c r="N55" s="31"/>
      <c r="O55" s="31"/>
      <c r="P55" s="31"/>
      <c r="Q55" s="31"/>
      <c r="R55" s="31"/>
      <c r="S55" s="121">
        <f>SUM(S52:S54)/(2)</f>
        <v>1</v>
      </c>
      <c r="T55" s="121">
        <f>SUM(T52:T54)/(2)</f>
        <v>1</v>
      </c>
      <c r="U55" s="246" t="s">
        <v>257</v>
      </c>
      <c r="V55" s="247"/>
      <c r="W55" s="247"/>
      <c r="X55" s="248"/>
      <c r="Y55" s="19"/>
      <c r="Z55" s="51"/>
      <c r="AA55" s="51"/>
      <c r="AB55" s="51"/>
      <c r="AC55" s="51"/>
      <c r="AD55" s="51"/>
      <c r="AE55" s="149">
        <f>AVERAGE(AE52:AE54)</f>
        <v>0.5</v>
      </c>
      <c r="AF55" s="133">
        <f>AF52</f>
        <v>0.5</v>
      </c>
      <c r="AG55" s="19"/>
      <c r="AH55" s="19"/>
      <c r="AI55" s="19"/>
      <c r="AJ55" s="19"/>
      <c r="AK55" s="87"/>
      <c r="AL55" s="284" t="s">
        <v>265</v>
      </c>
      <c r="AM55" s="285"/>
      <c r="AN55" s="21"/>
      <c r="AO55" s="21">
        <v>300000000</v>
      </c>
      <c r="AP55" s="21">
        <v>300000000</v>
      </c>
      <c r="AQ55" s="21">
        <v>300000000</v>
      </c>
      <c r="AR55" s="138">
        <v>1</v>
      </c>
      <c r="AS55" s="21"/>
      <c r="AT55" s="21"/>
      <c r="AU55" s="58"/>
      <c r="AV55" s="60"/>
      <c r="AW55" s="22"/>
      <c r="AX55" s="125"/>
      <c r="AY55" s="20"/>
      <c r="AZ55" s="53"/>
      <c r="BA55" s="29"/>
      <c r="BB55" s="21"/>
      <c r="BC55" s="29"/>
      <c r="BD55" s="91"/>
    </row>
    <row r="56" spans="1:56" ht="204.75" x14ac:dyDescent="0.25">
      <c r="A56" s="21" t="s">
        <v>39</v>
      </c>
      <c r="B56" s="21" t="s">
        <v>40</v>
      </c>
      <c r="C56" s="27"/>
      <c r="D56" s="27"/>
      <c r="E56" s="27"/>
      <c r="F56" s="27"/>
      <c r="G56" s="27"/>
      <c r="H56" s="27"/>
      <c r="I56" s="27"/>
      <c r="J56" s="28"/>
      <c r="K56" s="41"/>
      <c r="L56" s="30"/>
      <c r="M56" s="41"/>
      <c r="N56" s="42"/>
      <c r="O56" s="42"/>
      <c r="P56" s="42"/>
      <c r="Q56" s="42"/>
      <c r="R56" s="42"/>
      <c r="S56" s="42"/>
      <c r="T56" s="42"/>
      <c r="U56" s="43" t="s">
        <v>137</v>
      </c>
      <c r="V56" s="44" t="s">
        <v>136</v>
      </c>
      <c r="W56" s="45" t="s">
        <v>138</v>
      </c>
      <c r="X56" s="46" t="s">
        <v>139</v>
      </c>
      <c r="Y56" s="19">
        <v>1</v>
      </c>
      <c r="Z56" s="52">
        <v>1</v>
      </c>
      <c r="AA56" s="52">
        <v>1</v>
      </c>
      <c r="AB56" s="52">
        <v>1</v>
      </c>
      <c r="AC56" s="52"/>
      <c r="AD56" s="52"/>
      <c r="AE56" s="122"/>
      <c r="AF56" s="52"/>
      <c r="AG56" s="19" t="s">
        <v>59</v>
      </c>
      <c r="AH56" s="19">
        <v>360</v>
      </c>
      <c r="AI56" s="19">
        <v>1043926</v>
      </c>
      <c r="AJ56" s="19">
        <v>1043926</v>
      </c>
      <c r="AK56" s="47">
        <v>0.75</v>
      </c>
      <c r="AL56" s="29" t="s">
        <v>51</v>
      </c>
      <c r="AM56" s="20" t="s">
        <v>140</v>
      </c>
      <c r="AN56" s="20"/>
      <c r="AO56" s="20"/>
      <c r="AP56" s="20"/>
      <c r="AQ56" s="20"/>
      <c r="AR56" s="20"/>
      <c r="AS56" s="20"/>
      <c r="AT56" s="21" t="s">
        <v>141</v>
      </c>
      <c r="AU56" s="37">
        <v>0</v>
      </c>
      <c r="AV56" s="21" t="s">
        <v>108</v>
      </c>
      <c r="AW56" s="20" t="s">
        <v>142</v>
      </c>
      <c r="AX56" s="286" t="s">
        <v>61</v>
      </c>
      <c r="AY56" s="20" t="s">
        <v>143</v>
      </c>
      <c r="AZ56" s="32"/>
      <c r="BA56" s="41" t="s">
        <v>61</v>
      </c>
      <c r="BB56" s="41" t="s">
        <v>136</v>
      </c>
      <c r="BC56" s="41" t="s">
        <v>136</v>
      </c>
      <c r="BD56" s="97" t="s">
        <v>222</v>
      </c>
    </row>
    <row r="57" spans="1:56" ht="173.25" x14ac:dyDescent="0.25">
      <c r="A57" s="21" t="s">
        <v>39</v>
      </c>
      <c r="B57" s="21" t="s">
        <v>40</v>
      </c>
      <c r="C57" s="27"/>
      <c r="D57" s="27"/>
      <c r="E57" s="27"/>
      <c r="F57" s="27"/>
      <c r="G57" s="27"/>
      <c r="H57" s="27"/>
      <c r="I57" s="27"/>
      <c r="J57" s="28"/>
      <c r="K57" s="41"/>
      <c r="L57" s="30"/>
      <c r="M57" s="41"/>
      <c r="N57" s="42"/>
      <c r="O57" s="42"/>
      <c r="P57" s="42"/>
      <c r="Q57" s="42"/>
      <c r="R57" s="42"/>
      <c r="S57" s="42"/>
      <c r="T57" s="42"/>
      <c r="U57" s="43" t="s">
        <v>144</v>
      </c>
      <c r="V57" s="44" t="s">
        <v>136</v>
      </c>
      <c r="W57" s="45" t="s">
        <v>138</v>
      </c>
      <c r="X57" s="46" t="s">
        <v>145</v>
      </c>
      <c r="Y57" s="19">
        <v>1</v>
      </c>
      <c r="Z57" s="52">
        <v>1</v>
      </c>
      <c r="AA57" s="52">
        <v>1</v>
      </c>
      <c r="AB57" s="52">
        <v>1</v>
      </c>
      <c r="AC57" s="52"/>
      <c r="AD57" s="52"/>
      <c r="AE57" s="122"/>
      <c r="AF57" s="52"/>
      <c r="AG57" s="19" t="s">
        <v>59</v>
      </c>
      <c r="AH57" s="19">
        <v>360</v>
      </c>
      <c r="AI57" s="19">
        <v>1043926</v>
      </c>
      <c r="AJ57" s="19">
        <v>1043926</v>
      </c>
      <c r="AK57" s="47">
        <v>0.75</v>
      </c>
      <c r="AL57" s="29" t="s">
        <v>51</v>
      </c>
      <c r="AM57" s="20" t="s">
        <v>178</v>
      </c>
      <c r="AN57" s="20"/>
      <c r="AO57" s="20"/>
      <c r="AP57" s="20"/>
      <c r="AQ57" s="20"/>
      <c r="AR57" s="20"/>
      <c r="AS57" s="20"/>
      <c r="AT57" s="21" t="s">
        <v>141</v>
      </c>
      <c r="AU57" s="37">
        <v>0</v>
      </c>
      <c r="AV57" s="21" t="s">
        <v>108</v>
      </c>
      <c r="AW57" s="20" t="s">
        <v>142</v>
      </c>
      <c r="AX57" s="287"/>
      <c r="AY57" s="20" t="s">
        <v>143</v>
      </c>
      <c r="AZ57" s="32"/>
      <c r="BA57" s="41" t="s">
        <v>61</v>
      </c>
      <c r="BB57" s="41" t="s">
        <v>136</v>
      </c>
      <c r="BC57" s="41" t="s">
        <v>136</v>
      </c>
      <c r="BD57" s="97" t="s">
        <v>223</v>
      </c>
    </row>
    <row r="58" spans="1:56" ht="173.25" x14ac:dyDescent="0.25">
      <c r="A58" s="21" t="s">
        <v>39</v>
      </c>
      <c r="B58" s="21" t="s">
        <v>40</v>
      </c>
      <c r="C58" s="27"/>
      <c r="D58" s="27"/>
      <c r="E58" s="27"/>
      <c r="F58" s="27"/>
      <c r="G58" s="27"/>
      <c r="H58" s="27"/>
      <c r="I58" s="27"/>
      <c r="J58" s="28"/>
      <c r="K58" s="41"/>
      <c r="L58" s="30"/>
      <c r="M58" s="41"/>
      <c r="N58" s="42"/>
      <c r="O58" s="42"/>
      <c r="P58" s="42"/>
      <c r="Q58" s="42"/>
      <c r="R58" s="42"/>
      <c r="S58" s="42"/>
      <c r="T58" s="42"/>
      <c r="U58" s="43" t="s">
        <v>146</v>
      </c>
      <c r="V58" s="44" t="s">
        <v>136</v>
      </c>
      <c r="W58" s="45" t="s">
        <v>138</v>
      </c>
      <c r="X58" s="46" t="s">
        <v>147</v>
      </c>
      <c r="Y58" s="19">
        <v>1</v>
      </c>
      <c r="Z58" s="52">
        <v>1</v>
      </c>
      <c r="AA58" s="52">
        <v>1</v>
      </c>
      <c r="AB58" s="52">
        <v>1</v>
      </c>
      <c r="AC58" s="52"/>
      <c r="AD58" s="52"/>
      <c r="AE58" s="122"/>
      <c r="AF58" s="52"/>
      <c r="AG58" s="19" t="s">
        <v>59</v>
      </c>
      <c r="AH58" s="19">
        <v>360</v>
      </c>
      <c r="AI58" s="19">
        <v>1043926</v>
      </c>
      <c r="AJ58" s="19">
        <v>1043926</v>
      </c>
      <c r="AK58" s="47">
        <v>0.75</v>
      </c>
      <c r="AL58" s="29" t="s">
        <v>51</v>
      </c>
      <c r="AM58" s="20" t="s">
        <v>148</v>
      </c>
      <c r="AN58" s="20"/>
      <c r="AO58" s="20"/>
      <c r="AP58" s="20"/>
      <c r="AQ58" s="20"/>
      <c r="AR58" s="20"/>
      <c r="AS58" s="20"/>
      <c r="AT58" s="21" t="s">
        <v>141</v>
      </c>
      <c r="AU58" s="37">
        <v>0</v>
      </c>
      <c r="AV58" s="21" t="s">
        <v>108</v>
      </c>
      <c r="AW58" s="20" t="s">
        <v>142</v>
      </c>
      <c r="AX58" s="287"/>
      <c r="AY58" s="20" t="s">
        <v>143</v>
      </c>
      <c r="AZ58" s="32"/>
      <c r="BA58" s="41" t="s">
        <v>61</v>
      </c>
      <c r="BB58" s="41" t="s">
        <v>136</v>
      </c>
      <c r="BC58" s="41" t="s">
        <v>136</v>
      </c>
      <c r="BD58" s="97" t="s">
        <v>224</v>
      </c>
    </row>
    <row r="59" spans="1:56" ht="189" x14ac:dyDescent="0.25">
      <c r="A59" s="21" t="s">
        <v>39</v>
      </c>
      <c r="B59" s="21" t="s">
        <v>40</v>
      </c>
      <c r="C59" s="27"/>
      <c r="D59" s="27"/>
      <c r="E59" s="27"/>
      <c r="F59" s="27"/>
      <c r="G59" s="27"/>
      <c r="H59" s="27"/>
      <c r="I59" s="27"/>
      <c r="J59" s="28"/>
      <c r="K59" s="41"/>
      <c r="L59" s="30"/>
      <c r="M59" s="41"/>
      <c r="N59" s="42"/>
      <c r="O59" s="42"/>
      <c r="P59" s="42"/>
      <c r="Q59" s="42"/>
      <c r="R59" s="42"/>
      <c r="S59" s="42"/>
      <c r="T59" s="42"/>
      <c r="U59" s="43" t="s">
        <v>149</v>
      </c>
      <c r="V59" s="44" t="s">
        <v>136</v>
      </c>
      <c r="W59" s="45" t="s">
        <v>138</v>
      </c>
      <c r="X59" s="46" t="s">
        <v>150</v>
      </c>
      <c r="Y59" s="19">
        <v>1</v>
      </c>
      <c r="Z59" s="52">
        <v>1</v>
      </c>
      <c r="AA59" s="52">
        <v>1</v>
      </c>
      <c r="AB59" s="52">
        <v>1</v>
      </c>
      <c r="AC59" s="52"/>
      <c r="AD59" s="52"/>
      <c r="AE59" s="122">
        <f t="shared" si="1"/>
        <v>0</v>
      </c>
      <c r="AF59" s="52"/>
      <c r="AG59" s="19" t="s">
        <v>59</v>
      </c>
      <c r="AH59" s="19">
        <v>360</v>
      </c>
      <c r="AI59" s="19">
        <v>1043926</v>
      </c>
      <c r="AJ59" s="19">
        <v>1043926</v>
      </c>
      <c r="AK59" s="47">
        <v>0.75</v>
      </c>
      <c r="AL59" s="29" t="s">
        <v>51</v>
      </c>
      <c r="AM59" s="20" t="s">
        <v>151</v>
      </c>
      <c r="AN59" s="20"/>
      <c r="AO59" s="20"/>
      <c r="AP59" s="20"/>
      <c r="AQ59" s="20"/>
      <c r="AR59" s="20"/>
      <c r="AS59" s="20"/>
      <c r="AT59" s="21" t="s">
        <v>141</v>
      </c>
      <c r="AU59" s="37">
        <v>0</v>
      </c>
      <c r="AV59" s="21" t="s">
        <v>108</v>
      </c>
      <c r="AW59" s="20" t="s">
        <v>142</v>
      </c>
      <c r="AX59" s="287"/>
      <c r="AY59" s="20" t="s">
        <v>143</v>
      </c>
      <c r="AZ59" s="32"/>
      <c r="BA59" s="41" t="s">
        <v>61</v>
      </c>
      <c r="BB59" s="41" t="s">
        <v>136</v>
      </c>
      <c r="BC59" s="41" t="s">
        <v>136</v>
      </c>
      <c r="BD59" s="97" t="s">
        <v>225</v>
      </c>
    </row>
    <row r="60" spans="1:56" ht="189" x14ac:dyDescent="0.25">
      <c r="A60" s="21" t="s">
        <v>39</v>
      </c>
      <c r="B60" s="21" t="s">
        <v>40</v>
      </c>
      <c r="C60" s="27"/>
      <c r="D60" s="27"/>
      <c r="E60" s="27"/>
      <c r="F60" s="27"/>
      <c r="G60" s="27"/>
      <c r="H60" s="27"/>
      <c r="I60" s="27"/>
      <c r="J60" s="28"/>
      <c r="K60" s="41"/>
      <c r="L60" s="30"/>
      <c r="M60" s="41"/>
      <c r="N60" s="42"/>
      <c r="O60" s="42"/>
      <c r="P60" s="42"/>
      <c r="Q60" s="42"/>
      <c r="R60" s="42"/>
      <c r="S60" s="42"/>
      <c r="T60" s="42"/>
      <c r="U60" s="43" t="s">
        <v>152</v>
      </c>
      <c r="V60" s="44" t="s">
        <v>136</v>
      </c>
      <c r="W60" s="45" t="s">
        <v>138</v>
      </c>
      <c r="X60" s="46" t="s">
        <v>153</v>
      </c>
      <c r="Y60" s="19">
        <v>1</v>
      </c>
      <c r="Z60" s="52">
        <v>1</v>
      </c>
      <c r="AA60" s="52">
        <v>1</v>
      </c>
      <c r="AB60" s="52">
        <v>1</v>
      </c>
      <c r="AC60" s="52"/>
      <c r="AD60" s="52"/>
      <c r="AE60" s="122">
        <f t="shared" si="1"/>
        <v>0</v>
      </c>
      <c r="AF60" s="52"/>
      <c r="AG60" s="19" t="s">
        <v>59</v>
      </c>
      <c r="AH60" s="19">
        <v>360</v>
      </c>
      <c r="AI60" s="19">
        <v>1043926</v>
      </c>
      <c r="AJ60" s="19">
        <v>1043926</v>
      </c>
      <c r="AK60" s="47">
        <v>0.75</v>
      </c>
      <c r="AL60" s="29" t="s">
        <v>51</v>
      </c>
      <c r="AM60" s="20" t="s">
        <v>154</v>
      </c>
      <c r="AN60" s="20"/>
      <c r="AO60" s="20"/>
      <c r="AP60" s="20"/>
      <c r="AQ60" s="20"/>
      <c r="AR60" s="20"/>
      <c r="AS60" s="20"/>
      <c r="AT60" s="21" t="s">
        <v>141</v>
      </c>
      <c r="AU60" s="37">
        <v>0</v>
      </c>
      <c r="AV60" s="21" t="s">
        <v>108</v>
      </c>
      <c r="AW60" s="20" t="s">
        <v>142</v>
      </c>
      <c r="AX60" s="287"/>
      <c r="AY60" s="20" t="s">
        <v>143</v>
      </c>
      <c r="AZ60" s="32"/>
      <c r="BA60" s="41" t="s">
        <v>61</v>
      </c>
      <c r="BB60" s="41" t="s">
        <v>136</v>
      </c>
      <c r="BC60" s="41" t="s">
        <v>136</v>
      </c>
      <c r="BD60" s="97" t="s">
        <v>226</v>
      </c>
    </row>
    <row r="61" spans="1:56" ht="189" x14ac:dyDescent="0.25">
      <c r="A61" s="21" t="s">
        <v>39</v>
      </c>
      <c r="B61" s="21" t="s">
        <v>40</v>
      </c>
      <c r="C61" s="27"/>
      <c r="D61" s="27"/>
      <c r="E61" s="27"/>
      <c r="F61" s="27"/>
      <c r="G61" s="27"/>
      <c r="H61" s="27"/>
      <c r="I61" s="27"/>
      <c r="J61" s="28"/>
      <c r="K61" s="41"/>
      <c r="L61" s="30"/>
      <c r="M61" s="41"/>
      <c r="N61" s="42"/>
      <c r="O61" s="42"/>
      <c r="P61" s="42"/>
      <c r="Q61" s="42"/>
      <c r="R61" s="42"/>
      <c r="S61" s="42"/>
      <c r="T61" s="42"/>
      <c r="U61" s="43" t="s">
        <v>155</v>
      </c>
      <c r="V61" s="44" t="s">
        <v>136</v>
      </c>
      <c r="W61" s="45" t="s">
        <v>138</v>
      </c>
      <c r="X61" s="46" t="s">
        <v>156</v>
      </c>
      <c r="Y61" s="19">
        <v>1</v>
      </c>
      <c r="Z61" s="52">
        <v>1</v>
      </c>
      <c r="AA61" s="52">
        <v>1</v>
      </c>
      <c r="AB61" s="52">
        <v>1</v>
      </c>
      <c r="AC61" s="52"/>
      <c r="AD61" s="52"/>
      <c r="AE61" s="122">
        <f t="shared" si="1"/>
        <v>0</v>
      </c>
      <c r="AF61" s="52"/>
      <c r="AG61" s="19" t="s">
        <v>59</v>
      </c>
      <c r="AH61" s="19">
        <v>360</v>
      </c>
      <c r="AI61" s="19">
        <v>1043926</v>
      </c>
      <c r="AJ61" s="19">
        <v>1043926</v>
      </c>
      <c r="AK61" s="47">
        <v>0.75</v>
      </c>
      <c r="AL61" s="29" t="s">
        <v>51</v>
      </c>
      <c r="AM61" s="20" t="s">
        <v>157</v>
      </c>
      <c r="AN61" s="20"/>
      <c r="AO61" s="20"/>
      <c r="AP61" s="20"/>
      <c r="AQ61" s="20"/>
      <c r="AR61" s="20"/>
      <c r="AS61" s="20"/>
      <c r="AT61" s="21" t="s">
        <v>141</v>
      </c>
      <c r="AU61" s="37">
        <v>60000000</v>
      </c>
      <c r="AV61" s="21" t="s">
        <v>108</v>
      </c>
      <c r="AW61" s="20" t="s">
        <v>142</v>
      </c>
      <c r="AX61" s="287"/>
      <c r="AY61" s="20" t="s">
        <v>143</v>
      </c>
      <c r="AZ61" s="24">
        <v>0.26</v>
      </c>
      <c r="BA61" s="41" t="s">
        <v>61</v>
      </c>
      <c r="BB61" s="41" t="s">
        <v>136</v>
      </c>
      <c r="BC61" s="41" t="s">
        <v>136</v>
      </c>
      <c r="BD61" s="97" t="s">
        <v>227</v>
      </c>
    </row>
    <row r="62" spans="1:56" ht="189" x14ac:dyDescent="0.25">
      <c r="A62" s="21" t="s">
        <v>39</v>
      </c>
      <c r="B62" s="21" t="s">
        <v>40</v>
      </c>
      <c r="C62" s="27"/>
      <c r="D62" s="27"/>
      <c r="E62" s="27"/>
      <c r="F62" s="27"/>
      <c r="G62" s="27"/>
      <c r="H62" s="27"/>
      <c r="I62" s="27"/>
      <c r="J62" s="28"/>
      <c r="K62" s="41"/>
      <c r="L62" s="30"/>
      <c r="M62" s="41"/>
      <c r="N62" s="42"/>
      <c r="O62" s="42"/>
      <c r="P62" s="42"/>
      <c r="Q62" s="42"/>
      <c r="R62" s="42"/>
      <c r="S62" s="42"/>
      <c r="T62" s="42"/>
      <c r="U62" s="43" t="s">
        <v>158</v>
      </c>
      <c r="V62" s="44" t="s">
        <v>136</v>
      </c>
      <c r="W62" s="45" t="s">
        <v>138</v>
      </c>
      <c r="X62" s="46" t="s">
        <v>159</v>
      </c>
      <c r="Y62" s="19">
        <v>1</v>
      </c>
      <c r="Z62" s="52">
        <v>1</v>
      </c>
      <c r="AA62" s="52">
        <v>1</v>
      </c>
      <c r="AB62" s="52">
        <v>1</v>
      </c>
      <c r="AC62" s="52"/>
      <c r="AD62" s="52"/>
      <c r="AE62" s="122">
        <f t="shared" si="1"/>
        <v>0</v>
      </c>
      <c r="AF62" s="52"/>
      <c r="AG62" s="19" t="s">
        <v>59</v>
      </c>
      <c r="AH62" s="19">
        <v>360</v>
      </c>
      <c r="AI62" s="19">
        <v>1043926</v>
      </c>
      <c r="AJ62" s="19">
        <v>1043926</v>
      </c>
      <c r="AK62" s="47">
        <v>0.75</v>
      </c>
      <c r="AL62" s="29" t="s">
        <v>51</v>
      </c>
      <c r="AM62" s="20" t="s">
        <v>160</v>
      </c>
      <c r="AN62" s="20"/>
      <c r="AO62" s="20"/>
      <c r="AP62" s="20"/>
      <c r="AQ62" s="20"/>
      <c r="AR62" s="20"/>
      <c r="AS62" s="20"/>
      <c r="AT62" s="21" t="s">
        <v>141</v>
      </c>
      <c r="AU62" s="37">
        <v>157000000</v>
      </c>
      <c r="AV62" s="21" t="s">
        <v>108</v>
      </c>
      <c r="AW62" s="20" t="s">
        <v>142</v>
      </c>
      <c r="AX62" s="287"/>
      <c r="AY62" s="20" t="s">
        <v>143</v>
      </c>
      <c r="AZ62" s="24">
        <v>0.56000000000000005</v>
      </c>
      <c r="BA62" s="41" t="s">
        <v>61</v>
      </c>
      <c r="BB62" s="41" t="s">
        <v>136</v>
      </c>
      <c r="BC62" s="41" t="s">
        <v>136</v>
      </c>
      <c r="BD62" s="97" t="s">
        <v>228</v>
      </c>
    </row>
    <row r="63" spans="1:56" ht="220.5" x14ac:dyDescent="0.25">
      <c r="A63" s="21" t="s">
        <v>39</v>
      </c>
      <c r="B63" s="21" t="s">
        <v>40</v>
      </c>
      <c r="C63" s="27"/>
      <c r="D63" s="27"/>
      <c r="E63" s="27"/>
      <c r="F63" s="27"/>
      <c r="G63" s="27"/>
      <c r="H63" s="27"/>
      <c r="I63" s="27"/>
      <c r="J63" s="28"/>
      <c r="K63" s="41"/>
      <c r="L63" s="30"/>
      <c r="M63" s="41"/>
      <c r="N63" s="42"/>
      <c r="O63" s="42"/>
      <c r="P63" s="42"/>
      <c r="Q63" s="42"/>
      <c r="R63" s="42"/>
      <c r="S63" s="42"/>
      <c r="T63" s="42"/>
      <c r="U63" s="43" t="s">
        <v>161</v>
      </c>
      <c r="V63" s="44" t="s">
        <v>136</v>
      </c>
      <c r="W63" s="45" t="s">
        <v>138</v>
      </c>
      <c r="X63" s="46" t="s">
        <v>162</v>
      </c>
      <c r="Y63" s="19">
        <v>1</v>
      </c>
      <c r="Z63" s="52">
        <v>1</v>
      </c>
      <c r="AA63" s="52">
        <v>1</v>
      </c>
      <c r="AB63" s="52">
        <v>1</v>
      </c>
      <c r="AC63" s="52"/>
      <c r="AD63" s="52"/>
      <c r="AE63" s="122">
        <f t="shared" si="1"/>
        <v>0</v>
      </c>
      <c r="AF63" s="52"/>
      <c r="AG63" s="19" t="s">
        <v>59</v>
      </c>
      <c r="AH63" s="19">
        <v>360</v>
      </c>
      <c r="AI63" s="19">
        <v>1043926</v>
      </c>
      <c r="AJ63" s="19">
        <v>1043926</v>
      </c>
      <c r="AK63" s="47">
        <v>0.75</v>
      </c>
      <c r="AL63" s="29" t="s">
        <v>51</v>
      </c>
      <c r="AM63" s="20" t="s">
        <v>163</v>
      </c>
      <c r="AN63" s="20"/>
      <c r="AO63" s="20"/>
      <c r="AP63" s="20"/>
      <c r="AQ63" s="20"/>
      <c r="AR63" s="20"/>
      <c r="AS63" s="20"/>
      <c r="AT63" s="21" t="s">
        <v>141</v>
      </c>
      <c r="AU63" s="37">
        <v>0</v>
      </c>
      <c r="AV63" s="21" t="s">
        <v>108</v>
      </c>
      <c r="AW63" s="20" t="s">
        <v>142</v>
      </c>
      <c r="AX63" s="287"/>
      <c r="AY63" s="20" t="s">
        <v>143</v>
      </c>
      <c r="AZ63" s="32"/>
      <c r="BA63" s="41" t="s">
        <v>61</v>
      </c>
      <c r="BB63" s="41" t="s">
        <v>136</v>
      </c>
      <c r="BC63" s="41" t="s">
        <v>136</v>
      </c>
      <c r="BD63" s="97" t="s">
        <v>229</v>
      </c>
    </row>
    <row r="64" spans="1:56" ht="204.75" x14ac:dyDescent="0.25">
      <c r="A64" s="21" t="s">
        <v>39</v>
      </c>
      <c r="B64" s="21" t="s">
        <v>40</v>
      </c>
      <c r="C64" s="27"/>
      <c r="D64" s="27"/>
      <c r="E64" s="27"/>
      <c r="F64" s="27"/>
      <c r="G64" s="27"/>
      <c r="H64" s="27"/>
      <c r="I64" s="27"/>
      <c r="J64" s="28"/>
      <c r="K64" s="41"/>
      <c r="L64" s="30"/>
      <c r="M64" s="41"/>
      <c r="N64" s="42"/>
      <c r="O64" s="42"/>
      <c r="P64" s="42"/>
      <c r="Q64" s="42"/>
      <c r="R64" s="42"/>
      <c r="S64" s="42"/>
      <c r="T64" s="42"/>
      <c r="U64" s="43" t="s">
        <v>164</v>
      </c>
      <c r="V64" s="44" t="s">
        <v>136</v>
      </c>
      <c r="W64" s="45" t="s">
        <v>138</v>
      </c>
      <c r="X64" s="46" t="s">
        <v>165</v>
      </c>
      <c r="Y64" s="19">
        <v>1</v>
      </c>
      <c r="Z64" s="52">
        <v>1</v>
      </c>
      <c r="AA64" s="52">
        <v>1</v>
      </c>
      <c r="AB64" s="52">
        <v>1</v>
      </c>
      <c r="AC64" s="52"/>
      <c r="AD64" s="52"/>
      <c r="AE64" s="122">
        <f t="shared" si="1"/>
        <v>0</v>
      </c>
      <c r="AF64" s="52"/>
      <c r="AG64" s="19" t="s">
        <v>59</v>
      </c>
      <c r="AH64" s="19">
        <v>360</v>
      </c>
      <c r="AI64" s="19">
        <v>1043926</v>
      </c>
      <c r="AJ64" s="19">
        <v>1043926</v>
      </c>
      <c r="AK64" s="47">
        <v>0.75</v>
      </c>
      <c r="AL64" s="29" t="s">
        <v>51</v>
      </c>
      <c r="AM64" s="20" t="s">
        <v>179</v>
      </c>
      <c r="AN64" s="20"/>
      <c r="AO64" s="20"/>
      <c r="AP64" s="20"/>
      <c r="AQ64" s="20"/>
      <c r="AR64" s="20"/>
      <c r="AS64" s="20"/>
      <c r="AT64" s="21" t="s">
        <v>141</v>
      </c>
      <c r="AU64" s="37">
        <v>0</v>
      </c>
      <c r="AV64" s="21" t="s">
        <v>108</v>
      </c>
      <c r="AW64" s="20" t="s">
        <v>142</v>
      </c>
      <c r="AX64" s="287"/>
      <c r="AY64" s="20" t="s">
        <v>143</v>
      </c>
      <c r="AZ64" s="32"/>
      <c r="BA64" s="41" t="s">
        <v>61</v>
      </c>
      <c r="BB64" s="41" t="s">
        <v>136</v>
      </c>
      <c r="BC64" s="41" t="s">
        <v>136</v>
      </c>
      <c r="BD64" s="97" t="s">
        <v>230</v>
      </c>
    </row>
    <row r="65" spans="1:56" ht="267.75" x14ac:dyDescent="0.25">
      <c r="A65" s="21" t="s">
        <v>39</v>
      </c>
      <c r="B65" s="21" t="s">
        <v>40</v>
      </c>
      <c r="C65" s="27"/>
      <c r="D65" s="27"/>
      <c r="E65" s="27"/>
      <c r="F65" s="27"/>
      <c r="G65" s="27"/>
      <c r="H65" s="27"/>
      <c r="I65" s="27"/>
      <c r="J65" s="28"/>
      <c r="K65" s="41"/>
      <c r="L65" s="30"/>
      <c r="M65" s="41"/>
      <c r="N65" s="42"/>
      <c r="O65" s="42"/>
      <c r="P65" s="42"/>
      <c r="Q65" s="42"/>
      <c r="R65" s="42"/>
      <c r="S65" s="42"/>
      <c r="T65" s="42"/>
      <c r="U65" s="43" t="s">
        <v>166</v>
      </c>
      <c r="V65" s="44" t="s">
        <v>136</v>
      </c>
      <c r="W65" s="45" t="s">
        <v>138</v>
      </c>
      <c r="X65" s="46" t="s">
        <v>167</v>
      </c>
      <c r="Y65" s="19">
        <v>1</v>
      </c>
      <c r="Z65" s="52">
        <v>1</v>
      </c>
      <c r="AA65" s="52">
        <v>1</v>
      </c>
      <c r="AB65" s="52">
        <v>1</v>
      </c>
      <c r="AC65" s="52"/>
      <c r="AD65" s="52"/>
      <c r="AE65" s="122">
        <f t="shared" si="1"/>
        <v>0</v>
      </c>
      <c r="AF65" s="52"/>
      <c r="AG65" s="19" t="s">
        <v>59</v>
      </c>
      <c r="AH65" s="19">
        <v>360</v>
      </c>
      <c r="AI65" s="19">
        <v>1043926</v>
      </c>
      <c r="AJ65" s="19">
        <v>1043926</v>
      </c>
      <c r="AK65" s="47">
        <v>0.75</v>
      </c>
      <c r="AL65" s="29" t="s">
        <v>51</v>
      </c>
      <c r="AM65" s="20" t="s">
        <v>179</v>
      </c>
      <c r="AN65" s="20"/>
      <c r="AO65" s="20"/>
      <c r="AP65" s="20"/>
      <c r="AQ65" s="20"/>
      <c r="AR65" s="20"/>
      <c r="AS65" s="20"/>
      <c r="AT65" s="21" t="s">
        <v>141</v>
      </c>
      <c r="AU65" s="37">
        <v>0</v>
      </c>
      <c r="AV65" s="21" t="s">
        <v>108</v>
      </c>
      <c r="AW65" s="20" t="s">
        <v>142</v>
      </c>
      <c r="AX65" s="287"/>
      <c r="AY65" s="20" t="s">
        <v>143</v>
      </c>
      <c r="AZ65" s="32"/>
      <c r="BA65" s="41" t="s">
        <v>61</v>
      </c>
      <c r="BB65" s="41" t="s">
        <v>136</v>
      </c>
      <c r="BC65" s="41" t="s">
        <v>136</v>
      </c>
      <c r="BD65" s="97" t="s">
        <v>231</v>
      </c>
    </row>
    <row r="66" spans="1:56" ht="236.25" x14ac:dyDescent="0.25">
      <c r="A66" s="21" t="s">
        <v>39</v>
      </c>
      <c r="B66" s="21" t="s">
        <v>40</v>
      </c>
      <c r="C66" s="27"/>
      <c r="D66" s="27"/>
      <c r="E66" s="27"/>
      <c r="F66" s="27"/>
      <c r="G66" s="27"/>
      <c r="H66" s="27"/>
      <c r="I66" s="27"/>
      <c r="J66" s="28"/>
      <c r="K66" s="41"/>
      <c r="L66" s="30"/>
      <c r="M66" s="41"/>
      <c r="N66" s="42"/>
      <c r="O66" s="42"/>
      <c r="P66" s="42"/>
      <c r="Q66" s="42"/>
      <c r="R66" s="42"/>
      <c r="S66" s="42"/>
      <c r="T66" s="42"/>
      <c r="U66" s="43" t="s">
        <v>168</v>
      </c>
      <c r="V66" s="44" t="s">
        <v>136</v>
      </c>
      <c r="W66" s="45" t="s">
        <v>138</v>
      </c>
      <c r="X66" s="46" t="s">
        <v>169</v>
      </c>
      <c r="Y66" s="19">
        <v>1</v>
      </c>
      <c r="Z66" s="52">
        <v>1</v>
      </c>
      <c r="AA66" s="52">
        <v>1</v>
      </c>
      <c r="AB66" s="52">
        <v>1</v>
      </c>
      <c r="AC66" s="52"/>
      <c r="AD66" s="52"/>
      <c r="AE66" s="122">
        <f t="shared" si="1"/>
        <v>0</v>
      </c>
      <c r="AF66" s="52"/>
      <c r="AG66" s="19" t="s">
        <v>59</v>
      </c>
      <c r="AH66" s="19">
        <v>360</v>
      </c>
      <c r="AI66" s="19">
        <v>1043926</v>
      </c>
      <c r="AJ66" s="19">
        <v>1043926</v>
      </c>
      <c r="AK66" s="47">
        <v>0.75</v>
      </c>
      <c r="AL66" s="29" t="s">
        <v>51</v>
      </c>
      <c r="AM66" s="20" t="s">
        <v>179</v>
      </c>
      <c r="AN66" s="20"/>
      <c r="AO66" s="20"/>
      <c r="AP66" s="20"/>
      <c r="AQ66" s="20"/>
      <c r="AR66" s="20"/>
      <c r="AS66" s="20"/>
      <c r="AT66" s="21" t="s">
        <v>141</v>
      </c>
      <c r="AU66" s="37">
        <v>0</v>
      </c>
      <c r="AV66" s="21" t="s">
        <v>108</v>
      </c>
      <c r="AW66" s="20" t="s">
        <v>142</v>
      </c>
      <c r="AX66" s="287"/>
      <c r="AY66" s="20" t="s">
        <v>143</v>
      </c>
      <c r="AZ66" s="32"/>
      <c r="BA66" s="41" t="s">
        <v>61</v>
      </c>
      <c r="BB66" s="41" t="s">
        <v>136</v>
      </c>
      <c r="BC66" s="41" t="s">
        <v>136</v>
      </c>
      <c r="BD66" s="97" t="s">
        <v>232</v>
      </c>
    </row>
    <row r="67" spans="1:56" ht="204.75" x14ac:dyDescent="0.25">
      <c r="A67" s="21" t="s">
        <v>39</v>
      </c>
      <c r="B67" s="21" t="s">
        <v>40</v>
      </c>
      <c r="C67" s="27"/>
      <c r="D67" s="27"/>
      <c r="E67" s="27"/>
      <c r="F67" s="27"/>
      <c r="G67" s="27"/>
      <c r="H67" s="27"/>
      <c r="I67" s="27"/>
      <c r="J67" s="28"/>
      <c r="K67" s="41"/>
      <c r="L67" s="30"/>
      <c r="M67" s="41"/>
      <c r="N67" s="42"/>
      <c r="O67" s="42"/>
      <c r="P67" s="42"/>
      <c r="Q67" s="42"/>
      <c r="R67" s="42"/>
      <c r="S67" s="42"/>
      <c r="T67" s="42"/>
      <c r="U67" s="43" t="s">
        <v>170</v>
      </c>
      <c r="V67" s="44" t="s">
        <v>136</v>
      </c>
      <c r="W67" s="45" t="s">
        <v>138</v>
      </c>
      <c r="X67" s="46" t="s">
        <v>171</v>
      </c>
      <c r="Y67" s="19">
        <v>1</v>
      </c>
      <c r="Z67" s="52">
        <v>1</v>
      </c>
      <c r="AA67" s="52">
        <v>1</v>
      </c>
      <c r="AB67" s="52">
        <v>1</v>
      </c>
      <c r="AC67" s="52"/>
      <c r="AD67" s="52"/>
      <c r="AE67" s="52"/>
      <c r="AF67" s="52"/>
      <c r="AG67" s="19" t="s">
        <v>59</v>
      </c>
      <c r="AH67" s="19">
        <v>360</v>
      </c>
      <c r="AI67" s="19">
        <v>1043926</v>
      </c>
      <c r="AJ67" s="19">
        <v>1043926</v>
      </c>
      <c r="AK67" s="47">
        <v>0.75</v>
      </c>
      <c r="AL67" s="29" t="s">
        <v>51</v>
      </c>
      <c r="AM67" s="20" t="s">
        <v>179</v>
      </c>
      <c r="AN67" s="20"/>
      <c r="AO67" s="20"/>
      <c r="AP67" s="20"/>
      <c r="AQ67" s="20"/>
      <c r="AR67" s="20"/>
      <c r="AS67" s="20"/>
      <c r="AT67" s="21" t="s">
        <v>141</v>
      </c>
      <c r="AU67" s="37">
        <v>0</v>
      </c>
      <c r="AV67" s="21" t="s">
        <v>108</v>
      </c>
      <c r="AW67" s="20" t="s">
        <v>142</v>
      </c>
      <c r="AX67" s="287"/>
      <c r="AY67" s="20" t="s">
        <v>143</v>
      </c>
      <c r="AZ67" s="32"/>
      <c r="BA67" s="41" t="s">
        <v>61</v>
      </c>
      <c r="BB67" s="41" t="s">
        <v>136</v>
      </c>
      <c r="BC67" s="41" t="s">
        <v>136</v>
      </c>
      <c r="BD67" s="97" t="s">
        <v>233</v>
      </c>
    </row>
    <row r="68" spans="1:56" ht="31.5" customHeight="1" x14ac:dyDescent="0.25">
      <c r="N68" s="421" t="s">
        <v>261</v>
      </c>
      <c r="O68" s="422"/>
      <c r="P68" s="422"/>
      <c r="Q68" s="422"/>
      <c r="R68" s="422"/>
      <c r="S68" s="424">
        <f>SUM(S19+S41+S51+S55)/(4)</f>
        <v>0.6875</v>
      </c>
      <c r="T68" s="424">
        <f>(T19+T41+T51+T55)/(4)</f>
        <v>0.70833333333333326</v>
      </c>
      <c r="X68" s="2"/>
      <c r="AB68" s="421" t="s">
        <v>262</v>
      </c>
      <c r="AC68" s="422"/>
      <c r="AD68" s="422"/>
      <c r="AE68" s="422"/>
      <c r="AF68" s="424">
        <f>SUM(AF19+AF41+AF51+AF55)/(4)</f>
        <v>0.69010673234811171</v>
      </c>
      <c r="AK68" s="421" t="s">
        <v>263</v>
      </c>
      <c r="AL68" s="422"/>
      <c r="AM68" s="422"/>
      <c r="AN68" s="422"/>
      <c r="AO68" s="426">
        <f>(AO20+AO42+AO52+AO55)</f>
        <v>7425146947.8800001</v>
      </c>
      <c r="AP68" s="426">
        <f>(AP20+AP42+AP52+AP55)</f>
        <v>4269295728.6300001</v>
      </c>
      <c r="AQ68" s="426">
        <f>(AQ20+AQ42+AQ52+AQ55)</f>
        <v>4269295728.6300001</v>
      </c>
      <c r="AR68" s="419">
        <f>AQ68/AO68</f>
        <v>0.5749779443555596</v>
      </c>
      <c r="AY68" s="3"/>
      <c r="AZ68" s="4"/>
    </row>
    <row r="69" spans="1:56" ht="15" customHeight="1" x14ac:dyDescent="0.25">
      <c r="N69" s="423"/>
      <c r="O69" s="423"/>
      <c r="P69" s="423"/>
      <c r="Q69" s="423"/>
      <c r="R69" s="423"/>
      <c r="S69" s="425"/>
      <c r="T69" s="425"/>
      <c r="X69" s="2"/>
      <c r="AB69" s="423"/>
      <c r="AC69" s="423"/>
      <c r="AD69" s="423"/>
      <c r="AE69" s="423"/>
      <c r="AF69" s="425"/>
      <c r="AK69" s="423"/>
      <c r="AL69" s="423"/>
      <c r="AM69" s="423"/>
      <c r="AN69" s="423"/>
      <c r="AO69" s="427"/>
      <c r="AP69" s="427"/>
      <c r="AQ69" s="427"/>
      <c r="AR69" s="420"/>
      <c r="AY69" s="3"/>
      <c r="AZ69" s="4"/>
    </row>
    <row r="70" spans="1:56" ht="15" customHeight="1" x14ac:dyDescent="0.25">
      <c r="N70" s="423"/>
      <c r="O70" s="423"/>
      <c r="P70" s="423"/>
      <c r="Q70" s="423"/>
      <c r="R70" s="423"/>
      <c r="S70" s="425"/>
      <c r="T70" s="425"/>
      <c r="X70" s="2"/>
      <c r="AB70" s="423"/>
      <c r="AC70" s="423"/>
      <c r="AD70" s="423"/>
      <c r="AE70" s="423"/>
      <c r="AF70" s="425"/>
      <c r="AK70" s="423"/>
      <c r="AL70" s="423"/>
      <c r="AM70" s="423"/>
      <c r="AN70" s="423"/>
      <c r="AO70" s="427"/>
      <c r="AP70" s="427"/>
      <c r="AQ70" s="427"/>
      <c r="AR70" s="420"/>
      <c r="AY70" s="3"/>
      <c r="AZ70" s="4"/>
    </row>
    <row r="71" spans="1:56" ht="15" customHeight="1" x14ac:dyDescent="0.25">
      <c r="N71" s="423"/>
      <c r="O71" s="423"/>
      <c r="P71" s="423"/>
      <c r="Q71" s="423"/>
      <c r="R71" s="423"/>
      <c r="S71" s="425"/>
      <c r="T71" s="425"/>
      <c r="X71" s="2"/>
      <c r="AB71" s="423"/>
      <c r="AC71" s="423"/>
      <c r="AD71" s="423"/>
      <c r="AE71" s="423"/>
      <c r="AF71" s="425"/>
      <c r="AK71" s="423"/>
      <c r="AL71" s="423"/>
      <c r="AM71" s="423"/>
      <c r="AN71" s="423"/>
      <c r="AO71" s="427"/>
      <c r="AP71" s="427"/>
      <c r="AQ71" s="427"/>
      <c r="AR71" s="420"/>
      <c r="AY71" s="3"/>
      <c r="AZ71" s="4"/>
    </row>
    <row r="72" spans="1:56" ht="15" customHeight="1" x14ac:dyDescent="0.25">
      <c r="N72" s="423"/>
      <c r="O72" s="423"/>
      <c r="P72" s="423"/>
      <c r="Q72" s="423"/>
      <c r="R72" s="423"/>
      <c r="S72" s="425"/>
      <c r="T72" s="425"/>
      <c r="X72" s="2"/>
      <c r="AB72" s="423"/>
      <c r="AC72" s="423"/>
      <c r="AD72" s="423"/>
      <c r="AE72" s="423"/>
      <c r="AF72" s="425"/>
      <c r="AK72" s="423"/>
      <c r="AL72" s="423"/>
      <c r="AM72" s="423"/>
      <c r="AN72" s="423"/>
      <c r="AO72" s="427"/>
      <c r="AP72" s="427"/>
      <c r="AQ72" s="427"/>
      <c r="AR72" s="420"/>
      <c r="AY72" s="3"/>
      <c r="AZ72" s="4"/>
    </row>
    <row r="73" spans="1:56" ht="15" customHeight="1" x14ac:dyDescent="0.25">
      <c r="X73" s="2"/>
      <c r="AK73" s="423"/>
      <c r="AL73" s="423"/>
      <c r="AM73" s="423"/>
      <c r="AN73" s="423"/>
      <c r="AO73" s="427"/>
      <c r="AP73" s="427"/>
      <c r="AQ73" s="427"/>
      <c r="AR73" s="420"/>
      <c r="AY73" s="3"/>
      <c r="AZ73" s="4"/>
    </row>
    <row r="74" spans="1:56" x14ac:dyDescent="0.25">
      <c r="X74" s="2"/>
      <c r="AY74" s="3"/>
      <c r="AZ74" s="4"/>
    </row>
    <row r="75" spans="1:56" x14ac:dyDescent="0.25">
      <c r="X75" s="2"/>
      <c r="AY75" s="3"/>
      <c r="AZ75" s="4"/>
    </row>
    <row r="76" spans="1:56" x14ac:dyDescent="0.25">
      <c r="X76" s="2"/>
      <c r="AY76" s="3"/>
      <c r="AZ76" s="4"/>
    </row>
    <row r="77" spans="1:56" x14ac:dyDescent="0.25">
      <c r="X77" s="2"/>
      <c r="AY77" s="3"/>
      <c r="AZ77" s="4"/>
    </row>
    <row r="78" spans="1:56" x14ac:dyDescent="0.25">
      <c r="X78" s="2"/>
      <c r="AY78" s="3"/>
      <c r="AZ78" s="4"/>
    </row>
    <row r="79" spans="1:56" x14ac:dyDescent="0.25">
      <c r="X79" s="2"/>
      <c r="AY79" s="3"/>
      <c r="AZ79" s="4"/>
    </row>
    <row r="80" spans="1:56" x14ac:dyDescent="0.25">
      <c r="X80" s="2"/>
      <c r="AY80" s="3"/>
      <c r="AZ80" s="4"/>
    </row>
    <row r="81" spans="24:52" x14ac:dyDescent="0.25">
      <c r="X81" s="2"/>
      <c r="AY81" s="3"/>
      <c r="AZ81" s="4"/>
    </row>
    <row r="82" spans="24:52" x14ac:dyDescent="0.25">
      <c r="X82" s="2"/>
      <c r="AY82" s="3"/>
      <c r="AZ82" s="4"/>
    </row>
    <row r="83" spans="24:52" x14ac:dyDescent="0.25">
      <c r="X83" s="2"/>
      <c r="AY83" s="3"/>
      <c r="AZ83" s="4"/>
    </row>
    <row r="84" spans="24:52" x14ac:dyDescent="0.25">
      <c r="X84" s="2"/>
      <c r="AY84" s="3"/>
      <c r="AZ84" s="4"/>
    </row>
    <row r="85" spans="24:52" x14ac:dyDescent="0.25">
      <c r="X85" s="2"/>
      <c r="AY85" s="3"/>
      <c r="AZ85" s="4"/>
    </row>
    <row r="86" spans="24:52" x14ac:dyDescent="0.25">
      <c r="X86" s="2"/>
      <c r="AY86" s="3"/>
      <c r="AZ86" s="4"/>
    </row>
    <row r="87" spans="24:52" x14ac:dyDescent="0.25">
      <c r="X87" s="2"/>
      <c r="AY87" s="3"/>
      <c r="AZ87" s="4"/>
    </row>
    <row r="88" spans="24:52" x14ac:dyDescent="0.25">
      <c r="X88" s="2"/>
      <c r="AY88" s="3"/>
      <c r="AZ88" s="4"/>
    </row>
    <row r="89" spans="24:52" x14ac:dyDescent="0.25">
      <c r="X89" s="2"/>
      <c r="AY89" s="3"/>
      <c r="AZ89" s="4"/>
    </row>
    <row r="90" spans="24:52" x14ac:dyDescent="0.25">
      <c r="X90" s="2"/>
      <c r="AY90" s="3"/>
      <c r="AZ90" s="4"/>
    </row>
    <row r="91" spans="24:52" x14ac:dyDescent="0.25">
      <c r="X91" s="2"/>
      <c r="AY91" s="3"/>
      <c r="AZ91" s="4"/>
    </row>
    <row r="92" spans="24:52" x14ac:dyDescent="0.25">
      <c r="X92" s="2"/>
      <c r="AY92" s="3"/>
      <c r="AZ92" s="4"/>
    </row>
    <row r="93" spans="24:52" x14ac:dyDescent="0.25">
      <c r="X93" s="2"/>
      <c r="AY93" s="3"/>
      <c r="AZ93" s="4"/>
    </row>
    <row r="94" spans="24:52" x14ac:dyDescent="0.25">
      <c r="X94" s="2"/>
      <c r="AY94" s="3"/>
      <c r="AZ94" s="4"/>
    </row>
    <row r="95" spans="24:52" x14ac:dyDescent="0.25">
      <c r="X95" s="2"/>
      <c r="AY95" s="3"/>
      <c r="AZ95" s="4"/>
    </row>
    <row r="96" spans="24:52" x14ac:dyDescent="0.25">
      <c r="X96" s="2"/>
      <c r="AY96" s="3"/>
      <c r="AZ96" s="4"/>
    </row>
    <row r="97" spans="24:52" x14ac:dyDescent="0.25">
      <c r="X97" s="2"/>
      <c r="AY97" s="3"/>
      <c r="AZ97" s="4"/>
    </row>
    <row r="98" spans="24:52" x14ac:dyDescent="0.25">
      <c r="X98" s="2"/>
      <c r="AY98" s="3"/>
      <c r="AZ98" s="4"/>
    </row>
    <row r="99" spans="24:52" x14ac:dyDescent="0.25">
      <c r="X99" s="2"/>
      <c r="AY99" s="3"/>
      <c r="AZ99" s="4"/>
    </row>
    <row r="100" spans="24:52" x14ac:dyDescent="0.25">
      <c r="X100" s="2"/>
      <c r="AY100" s="3"/>
      <c r="AZ100" s="4"/>
    </row>
    <row r="101" spans="24:52" x14ac:dyDescent="0.25">
      <c r="X101" s="2"/>
      <c r="AY101" s="3"/>
      <c r="AZ101" s="4"/>
    </row>
    <row r="102" spans="24:52" x14ac:dyDescent="0.25">
      <c r="X102" s="2"/>
      <c r="AY102" s="3"/>
      <c r="AZ102" s="4"/>
    </row>
    <row r="103" spans="24:52" x14ac:dyDescent="0.25">
      <c r="X103" s="2"/>
      <c r="AY103" s="3"/>
      <c r="AZ103" s="4"/>
    </row>
    <row r="104" spans="24:52" x14ac:dyDescent="0.25">
      <c r="X104" s="2"/>
      <c r="AY104" s="3"/>
      <c r="AZ104" s="4"/>
    </row>
    <row r="105" spans="24:52" x14ac:dyDescent="0.25">
      <c r="X105" s="2"/>
      <c r="AY105" s="3"/>
      <c r="AZ105" s="4"/>
    </row>
    <row r="106" spans="24:52" x14ac:dyDescent="0.25">
      <c r="X106" s="2"/>
      <c r="AY106" s="3"/>
      <c r="AZ106" s="4"/>
    </row>
    <row r="107" spans="24:52" x14ac:dyDescent="0.25">
      <c r="X107" s="2"/>
      <c r="AY107" s="3"/>
      <c r="AZ107" s="4"/>
    </row>
    <row r="108" spans="24:52" x14ac:dyDescent="0.25">
      <c r="X108" s="2"/>
      <c r="AY108" s="3"/>
      <c r="AZ108" s="4"/>
    </row>
    <row r="109" spans="24:52" x14ac:dyDescent="0.25">
      <c r="X109" s="2"/>
      <c r="AY109" s="3"/>
      <c r="AZ109" s="4"/>
    </row>
    <row r="110" spans="24:52" x14ac:dyDescent="0.25">
      <c r="X110" s="2"/>
      <c r="AY110" s="3"/>
      <c r="AZ110" s="4"/>
    </row>
    <row r="111" spans="24:52" x14ac:dyDescent="0.25">
      <c r="X111" s="2"/>
      <c r="AY111" s="3"/>
      <c r="AZ111" s="4"/>
    </row>
    <row r="112" spans="24:52" x14ac:dyDescent="0.25">
      <c r="X112" s="2"/>
      <c r="AY112" s="3"/>
      <c r="AZ112" s="4"/>
    </row>
    <row r="113" spans="24:52" x14ac:dyDescent="0.25">
      <c r="X113" s="2"/>
      <c r="AY113" s="3"/>
      <c r="AZ113" s="4"/>
    </row>
    <row r="114" spans="24:52" x14ac:dyDescent="0.25">
      <c r="X114" s="2"/>
      <c r="AY114" s="3"/>
      <c r="AZ114" s="4"/>
    </row>
    <row r="115" spans="24:52" x14ac:dyDescent="0.25">
      <c r="X115" s="2"/>
      <c r="AY115" s="3"/>
      <c r="AZ115" s="4"/>
    </row>
    <row r="116" spans="24:52" x14ac:dyDescent="0.25">
      <c r="X116" s="2"/>
      <c r="AY116" s="3"/>
      <c r="AZ116" s="4"/>
    </row>
    <row r="117" spans="24:52" x14ac:dyDescent="0.25">
      <c r="X117" s="2"/>
      <c r="AY117" s="3"/>
      <c r="AZ117" s="4"/>
    </row>
  </sheetData>
  <mergeCells count="406">
    <mergeCell ref="AR68:AR73"/>
    <mergeCell ref="N68:R72"/>
    <mergeCell ref="S68:S72"/>
    <mergeCell ref="T68:T72"/>
    <mergeCell ref="AB68:AE72"/>
    <mergeCell ref="AF68:AF72"/>
    <mergeCell ref="AK68:AN73"/>
    <mergeCell ref="AO68:AO73"/>
    <mergeCell ref="AP68:AP73"/>
    <mergeCell ref="AQ68:AQ73"/>
    <mergeCell ref="BD42:BD44"/>
    <mergeCell ref="AB39:AB40"/>
    <mergeCell ref="BB36:BB38"/>
    <mergeCell ref="BC36:BC38"/>
    <mergeCell ref="BD36:BD38"/>
    <mergeCell ref="AI36:AI38"/>
    <mergeCell ref="AT46:AT48"/>
    <mergeCell ref="BA46:BA48"/>
    <mergeCell ref="BB46:BB48"/>
    <mergeCell ref="BC46:BC48"/>
    <mergeCell ref="BD46:BD48"/>
    <mergeCell ref="BB42:BB44"/>
    <mergeCell ref="AC42:AC44"/>
    <mergeCell ref="AX42:AX50"/>
    <mergeCell ref="BB39:BB40"/>
    <mergeCell ref="BC39:BC40"/>
    <mergeCell ref="BA36:BA38"/>
    <mergeCell ref="BA39:BA40"/>
    <mergeCell ref="BD25:BD27"/>
    <mergeCell ref="BB25:BB27"/>
    <mergeCell ref="BC25:BC27"/>
    <mergeCell ref="BA28:BA30"/>
    <mergeCell ref="BB28:BB30"/>
    <mergeCell ref="BC28:BC30"/>
    <mergeCell ref="AH36:AH38"/>
    <mergeCell ref="AK23:AK24"/>
    <mergeCell ref="Y42:Y44"/>
    <mergeCell ref="Z42:Z44"/>
    <mergeCell ref="AA42:AA44"/>
    <mergeCell ref="AB42:AB44"/>
    <mergeCell ref="AG42:AG44"/>
    <mergeCell ref="AH42:AH44"/>
    <mergeCell ref="AI42:AI44"/>
    <mergeCell ref="AJ42:AJ44"/>
    <mergeCell ref="AK42:AK44"/>
    <mergeCell ref="AJ39:AJ40"/>
    <mergeCell ref="AK39:AK40"/>
    <mergeCell ref="AL42:AL44"/>
    <mergeCell ref="AM42:AM44"/>
    <mergeCell ref="AT42:AT44"/>
    <mergeCell ref="BA42:BA44"/>
    <mergeCell ref="BC42:BC44"/>
    <mergeCell ref="AT8:AT9"/>
    <mergeCell ref="AT10:AT11"/>
    <mergeCell ref="AL23:AL24"/>
    <mergeCell ref="AM23:AM24"/>
    <mergeCell ref="AT23:AT24"/>
    <mergeCell ref="BA23:BA24"/>
    <mergeCell ref="AH13:AH15"/>
    <mergeCell ref="AI25:AI27"/>
    <mergeCell ref="AI21:AI22"/>
    <mergeCell ref="AJ21:AJ22"/>
    <mergeCell ref="AK21:AK22"/>
    <mergeCell ref="AL21:AL22"/>
    <mergeCell ref="AM21:AM22"/>
    <mergeCell ref="AT21:AT22"/>
    <mergeCell ref="AW21:AW22"/>
    <mergeCell ref="AT17:AT18"/>
    <mergeCell ref="AM25:AM27"/>
    <mergeCell ref="AL8:AL9"/>
    <mergeCell ref="AM8:AM9"/>
    <mergeCell ref="AK10:AK11"/>
    <mergeCell ref="AL10:AL11"/>
    <mergeCell ref="AM10:AM11"/>
    <mergeCell ref="BA25:BA27"/>
    <mergeCell ref="AK17:AK18"/>
    <mergeCell ref="BB17:BB18"/>
    <mergeCell ref="BC17:BC18"/>
    <mergeCell ref="AC17:AC18"/>
    <mergeCell ref="BB23:BB24"/>
    <mergeCell ref="BC23:BC24"/>
    <mergeCell ref="BD23:BD24"/>
    <mergeCell ref="BD17:BD18"/>
    <mergeCell ref="BB4:BB7"/>
    <mergeCell ref="BC4:BC7"/>
    <mergeCell ref="BD4:BD7"/>
    <mergeCell ref="AX4:AX18"/>
    <mergeCell ref="BB8:BB9"/>
    <mergeCell ref="BC8:BC9"/>
    <mergeCell ref="BC10:BC11"/>
    <mergeCell ref="BD13:BD15"/>
    <mergeCell ref="BB13:BB15"/>
    <mergeCell ref="BC13:BC15"/>
    <mergeCell ref="AZ21:AZ22"/>
    <mergeCell ref="BA21:BA22"/>
    <mergeCell ref="BB21:BB22"/>
    <mergeCell ref="BC21:BC22"/>
    <mergeCell ref="BD21:BD22"/>
    <mergeCell ref="AG23:AG24"/>
    <mergeCell ref="AI4:AI7"/>
    <mergeCell ref="AJ4:AJ7"/>
    <mergeCell ref="AK4:AK7"/>
    <mergeCell ref="AL4:AL7"/>
    <mergeCell ref="AM4:AM7"/>
    <mergeCell ref="AT4:AT7"/>
    <mergeCell ref="BA4:BA7"/>
    <mergeCell ref="U4:U18"/>
    <mergeCell ref="V4:V18"/>
    <mergeCell ref="W4:W18"/>
    <mergeCell ref="X4:X7"/>
    <mergeCell ref="Y4:Y7"/>
    <mergeCell ref="Z4:Z7"/>
    <mergeCell ref="AA4:AA7"/>
    <mergeCell ref="AB4:AB7"/>
    <mergeCell ref="AG4:AG7"/>
    <mergeCell ref="BA13:BA15"/>
    <mergeCell ref="X17:X18"/>
    <mergeCell ref="Y17:Y18"/>
    <mergeCell ref="Z17:Z18"/>
    <mergeCell ref="AA17:AA18"/>
    <mergeCell ref="AB17:AB18"/>
    <mergeCell ref="AG17:AG18"/>
    <mergeCell ref="AJ17:AJ18"/>
    <mergeCell ref="AK8:AK9"/>
    <mergeCell ref="AH4:AH7"/>
    <mergeCell ref="N17:N18"/>
    <mergeCell ref="O17:O18"/>
    <mergeCell ref="Q4:Q11"/>
    <mergeCell ref="Q13:Q16"/>
    <mergeCell ref="Q17:Q18"/>
    <mergeCell ref="AC4:AC7"/>
    <mergeCell ref="AC8:AC9"/>
    <mergeCell ref="AC10:AC11"/>
    <mergeCell ref="AC13:AC15"/>
    <mergeCell ref="AB13:AB15"/>
    <mergeCell ref="AA13:AA15"/>
    <mergeCell ref="AG8:AG9"/>
    <mergeCell ref="AH8:AH9"/>
    <mergeCell ref="AG10:AG11"/>
    <mergeCell ref="AH10:AH11"/>
    <mergeCell ref="AB8:AB9"/>
    <mergeCell ref="P4:P11"/>
    <mergeCell ref="X10:X11"/>
    <mergeCell ref="Y10:Y11"/>
    <mergeCell ref="Z10:Z11"/>
    <mergeCell ref="AB10:AB11"/>
    <mergeCell ref="O4:O11"/>
    <mergeCell ref="AH17:AH18"/>
    <mergeCell ref="J17:J18"/>
    <mergeCell ref="K17:K18"/>
    <mergeCell ref="P13:P16"/>
    <mergeCell ref="O13:O16"/>
    <mergeCell ref="I20:I33"/>
    <mergeCell ref="H20:H33"/>
    <mergeCell ref="G20:G33"/>
    <mergeCell ref="J4:J11"/>
    <mergeCell ref="K4:K11"/>
    <mergeCell ref="L4:L11"/>
    <mergeCell ref="N13:N16"/>
    <mergeCell ref="L17:L18"/>
    <mergeCell ref="M17:M18"/>
    <mergeCell ref="M4:M11"/>
    <mergeCell ref="N4:N11"/>
    <mergeCell ref="L20:L33"/>
    <mergeCell ref="J20:J33"/>
    <mergeCell ref="O20:O33"/>
    <mergeCell ref="N20:N33"/>
    <mergeCell ref="M20:M33"/>
    <mergeCell ref="X8:X9"/>
    <mergeCell ref="Y8:Y9"/>
    <mergeCell ref="Z8:Z9"/>
    <mergeCell ref="Q20:Q30"/>
    <mergeCell ref="Y23:Y24"/>
    <mergeCell ref="P45:P48"/>
    <mergeCell ref="P49:P50"/>
    <mergeCell ref="X23:X24"/>
    <mergeCell ref="X25:X27"/>
    <mergeCell ref="X46:X48"/>
    <mergeCell ref="Y46:Y48"/>
    <mergeCell ref="Z46:Z48"/>
    <mergeCell ref="U19:Y19"/>
    <mergeCell ref="P34:P40"/>
    <mergeCell ref="AC31:AC33"/>
    <mergeCell ref="AB28:AB30"/>
    <mergeCell ref="AB23:AB24"/>
    <mergeCell ref="AB36:AB38"/>
    <mergeCell ref="AG36:AG38"/>
    <mergeCell ref="AJ36:AJ38"/>
    <mergeCell ref="AC23:AC24"/>
    <mergeCell ref="O49:O50"/>
    <mergeCell ref="AA8:AA9"/>
    <mergeCell ref="AA10:AA11"/>
    <mergeCell ref="AA25:AA27"/>
    <mergeCell ref="AA28:AA30"/>
    <mergeCell ref="AA39:AA40"/>
    <mergeCell ref="P17:P18"/>
    <mergeCell ref="X36:X38"/>
    <mergeCell ref="Y36:Y38"/>
    <mergeCell ref="Z36:Z38"/>
    <mergeCell ref="AA36:AA38"/>
    <mergeCell ref="P42:P44"/>
    <mergeCell ref="Q34:Q40"/>
    <mergeCell ref="Q42:Q44"/>
    <mergeCell ref="Q45:Q48"/>
    <mergeCell ref="Q49:Q50"/>
    <mergeCell ref="X42:X44"/>
    <mergeCell ref="AM17:AM18"/>
    <mergeCell ref="AH23:AH24"/>
    <mergeCell ref="AI23:AI24"/>
    <mergeCell ref="AJ23:AJ24"/>
    <mergeCell ref="AK46:AK48"/>
    <mergeCell ref="AL46:AL48"/>
    <mergeCell ref="AM46:AM48"/>
    <mergeCell ref="AL19:AM19"/>
    <mergeCell ref="AI17:AI18"/>
    <mergeCell ref="P20:P33"/>
    <mergeCell ref="AA46:AA48"/>
    <mergeCell ref="AB46:AB48"/>
    <mergeCell ref="AM13:AM15"/>
    <mergeCell ref="AT28:AT30"/>
    <mergeCell ref="AT39:AT40"/>
    <mergeCell ref="N49:N50"/>
    <mergeCell ref="AL28:AL30"/>
    <mergeCell ref="AM28:AM30"/>
    <mergeCell ref="AG21:AG22"/>
    <mergeCell ref="AH21:AH22"/>
    <mergeCell ref="AC25:AC27"/>
    <mergeCell ref="AC28:AC30"/>
    <mergeCell ref="X31:X33"/>
    <mergeCell ref="Y31:Y33"/>
    <mergeCell ref="Z31:Z33"/>
    <mergeCell ref="AA31:AA33"/>
    <mergeCell ref="AB31:AB33"/>
    <mergeCell ref="AG31:AG33"/>
    <mergeCell ref="AH31:AH33"/>
    <mergeCell ref="O34:O40"/>
    <mergeCell ref="Y25:Y27"/>
    <mergeCell ref="AB25:AB27"/>
    <mergeCell ref="AL17:AL18"/>
    <mergeCell ref="Y13:Y15"/>
    <mergeCell ref="Z13:Z15"/>
    <mergeCell ref="X13:X15"/>
    <mergeCell ref="V42:V50"/>
    <mergeCell ref="AI39:AI40"/>
    <mergeCell ref="K34:K40"/>
    <mergeCell ref="L34:L40"/>
    <mergeCell ref="W20:W40"/>
    <mergeCell ref="Y39:Y40"/>
    <mergeCell ref="Y28:Y30"/>
    <mergeCell ref="X28:X30"/>
    <mergeCell ref="X39:X40"/>
    <mergeCell ref="Z39:Z40"/>
    <mergeCell ref="N34:N40"/>
    <mergeCell ref="U20:U40"/>
    <mergeCell ref="Z28:Z30"/>
    <mergeCell ref="A19:K19"/>
    <mergeCell ref="AG25:AG27"/>
    <mergeCell ref="AH25:AH27"/>
    <mergeCell ref="J34:J40"/>
    <mergeCell ref="D20:D40"/>
    <mergeCell ref="E20:E40"/>
    <mergeCell ref="M13:M16"/>
    <mergeCell ref="AA23:AA24"/>
    <mergeCell ref="BD28:BD30"/>
    <mergeCell ref="AT25:AT27"/>
    <mergeCell ref="AI8:AI9"/>
    <mergeCell ref="AJ8:AJ9"/>
    <mergeCell ref="AI10:AI11"/>
    <mergeCell ref="AJ10:AJ11"/>
    <mergeCell ref="AL25:AL27"/>
    <mergeCell ref="AI28:AI30"/>
    <mergeCell ref="AK25:AK27"/>
    <mergeCell ref="AK28:AK30"/>
    <mergeCell ref="AJ13:AJ15"/>
    <mergeCell ref="AJ28:AJ30"/>
    <mergeCell ref="AT13:AT15"/>
    <mergeCell ref="AI13:AI15"/>
    <mergeCell ref="AK13:AK15"/>
    <mergeCell ref="AL13:AL15"/>
    <mergeCell ref="BA8:BA9"/>
    <mergeCell ref="BD8:BD9"/>
    <mergeCell ref="BD10:BD11"/>
    <mergeCell ref="BA10:BA11"/>
    <mergeCell ref="BB10:BB11"/>
    <mergeCell ref="AJ25:AJ27"/>
    <mergeCell ref="AX20:AX40"/>
    <mergeCell ref="AT36:AT38"/>
    <mergeCell ref="E2:AM2"/>
    <mergeCell ref="H34:H40"/>
    <mergeCell ref="I34:I40"/>
    <mergeCell ref="F42:F50"/>
    <mergeCell ref="F52:F54"/>
    <mergeCell ref="G34:G40"/>
    <mergeCell ref="F20:F40"/>
    <mergeCell ref="K45:K48"/>
    <mergeCell ref="K49:K50"/>
    <mergeCell ref="L45:L48"/>
    <mergeCell ref="L49:L50"/>
    <mergeCell ref="M45:M48"/>
    <mergeCell ref="M49:M50"/>
    <mergeCell ref="N45:N48"/>
    <mergeCell ref="M34:M40"/>
    <mergeCell ref="W42:W50"/>
    <mergeCell ref="AG13:AG15"/>
    <mergeCell ref="AG28:AG30"/>
    <mergeCell ref="AG39:AG40"/>
    <mergeCell ref="AH39:AH40"/>
    <mergeCell ref="J13:J16"/>
    <mergeCell ref="K13:K16"/>
    <mergeCell ref="L13:L16"/>
    <mergeCell ref="K20:K33"/>
    <mergeCell ref="A4:A18"/>
    <mergeCell ref="B4:B18"/>
    <mergeCell ref="C4:C18"/>
    <mergeCell ref="D4:D18"/>
    <mergeCell ref="E4:E18"/>
    <mergeCell ref="F4:F18"/>
    <mergeCell ref="G4:G11"/>
    <mergeCell ref="H4:H11"/>
    <mergeCell ref="I4:I11"/>
    <mergeCell ref="G17:G18"/>
    <mergeCell ref="H17:H18"/>
    <mergeCell ref="I17:I18"/>
    <mergeCell ref="G13:G16"/>
    <mergeCell ref="H13:H16"/>
    <mergeCell ref="I13:I16"/>
    <mergeCell ref="N42:N44"/>
    <mergeCell ref="O42:O44"/>
    <mergeCell ref="J45:J48"/>
    <mergeCell ref="O45:O48"/>
    <mergeCell ref="A52:A54"/>
    <mergeCell ref="A42:A50"/>
    <mergeCell ref="B42:B50"/>
    <mergeCell ref="C42:C50"/>
    <mergeCell ref="B52:B54"/>
    <mergeCell ref="C52:C54"/>
    <mergeCell ref="A51:M51"/>
    <mergeCell ref="D52:D54"/>
    <mergeCell ref="E52:E54"/>
    <mergeCell ref="I49:I50"/>
    <mergeCell ref="G45:G48"/>
    <mergeCell ref="H45:H48"/>
    <mergeCell ref="J42:J44"/>
    <mergeCell ref="K42:K44"/>
    <mergeCell ref="L42:L44"/>
    <mergeCell ref="M42:M44"/>
    <mergeCell ref="I45:I48"/>
    <mergeCell ref="J49:J50"/>
    <mergeCell ref="A20:A40"/>
    <mergeCell ref="B20:B40"/>
    <mergeCell ref="G49:G50"/>
    <mergeCell ref="H49:H50"/>
    <mergeCell ref="D42:D50"/>
    <mergeCell ref="E42:E50"/>
    <mergeCell ref="G42:G44"/>
    <mergeCell ref="H42:H44"/>
    <mergeCell ref="I42:I44"/>
    <mergeCell ref="A41:M41"/>
    <mergeCell ref="AX56:AX67"/>
    <mergeCell ref="V20:V40"/>
    <mergeCell ref="U52:U54"/>
    <mergeCell ref="V52:V54"/>
    <mergeCell ref="U42:U50"/>
    <mergeCell ref="AM39:AM40"/>
    <mergeCell ref="AH28:AH30"/>
    <mergeCell ref="AX52:AX54"/>
    <mergeCell ref="AL39:AL40"/>
    <mergeCell ref="AG46:AG48"/>
    <mergeCell ref="AH46:AH48"/>
    <mergeCell ref="AI46:AI48"/>
    <mergeCell ref="AJ46:AJ48"/>
    <mergeCell ref="AC46:AC48"/>
    <mergeCell ref="U41:Z41"/>
    <mergeCell ref="AA21:AA22"/>
    <mergeCell ref="AB21:AB22"/>
    <mergeCell ref="AC21:AC22"/>
    <mergeCell ref="W52:W54"/>
    <mergeCell ref="Z25:Z27"/>
    <mergeCell ref="X21:X22"/>
    <mergeCell ref="Y21:Y22"/>
    <mergeCell ref="Z21:Z22"/>
    <mergeCell ref="Z23:Z24"/>
    <mergeCell ref="U51:Y51"/>
    <mergeCell ref="A55:H55"/>
    <mergeCell ref="U55:X55"/>
    <mergeCell ref="BD31:BD33"/>
    <mergeCell ref="AI31:AI33"/>
    <mergeCell ref="AJ31:AJ33"/>
    <mergeCell ref="AK31:AK33"/>
    <mergeCell ref="AC39:AC40"/>
    <mergeCell ref="AC36:AC38"/>
    <mergeCell ref="AL31:AL33"/>
    <mergeCell ref="AM31:AM33"/>
    <mergeCell ref="AT31:AT33"/>
    <mergeCell ref="AW31:AW33"/>
    <mergeCell ref="BA31:BA33"/>
    <mergeCell ref="BB31:BB33"/>
    <mergeCell ref="BC31:BC33"/>
    <mergeCell ref="BD39:BD40"/>
    <mergeCell ref="AK36:AK38"/>
    <mergeCell ref="AL36:AL38"/>
    <mergeCell ref="AM36:AM38"/>
    <mergeCell ref="AL41:AM41"/>
    <mergeCell ref="AL51:AM51"/>
    <mergeCell ref="AL55:AM55"/>
    <mergeCell ref="C20:C40"/>
  </mergeCells>
  <phoneticPr fontId="24" type="noConversion"/>
  <pageMargins left="0.7" right="0.7" top="0.75" bottom="0.7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60"/>
  <sheetViews>
    <sheetView tabSelected="1" zoomScale="70" zoomScaleNormal="70" workbookViewId="0">
      <selection sqref="A1:A4"/>
    </sheetView>
  </sheetViews>
  <sheetFormatPr baseColWidth="10" defaultRowHeight="15" x14ac:dyDescent="0.25"/>
  <cols>
    <col min="1" max="1" width="21.28515625" style="157" customWidth="1"/>
    <col min="2" max="2" width="18.42578125" style="157" customWidth="1"/>
    <col min="3" max="3" width="19.7109375" style="157" customWidth="1"/>
    <col min="4" max="4" width="18.28515625" style="157" customWidth="1"/>
    <col min="5" max="5" width="14.140625" style="157" customWidth="1"/>
    <col min="6" max="7" width="13.7109375" style="157" customWidth="1"/>
    <col min="8" max="8" width="18.85546875" style="157" customWidth="1"/>
    <col min="9" max="9" width="19.28515625" style="157" customWidth="1"/>
    <col min="10" max="10" width="17.85546875" style="157" customWidth="1"/>
    <col min="11" max="11" width="15.7109375" style="157" customWidth="1"/>
    <col min="12" max="12" width="34.42578125" style="157" customWidth="1"/>
    <col min="13" max="13" width="12.140625" style="157" customWidth="1"/>
    <col min="14" max="15" width="12.5703125" style="157" customWidth="1"/>
    <col min="16" max="16" width="15.28515625" style="157" customWidth="1"/>
    <col min="17" max="17" width="14.7109375" style="157" customWidth="1"/>
    <col min="18" max="18" width="22.7109375" style="157" customWidth="1"/>
    <col min="19" max="19" width="8.140625" style="157" customWidth="1"/>
    <col min="20" max="20" width="8" style="157" customWidth="1"/>
    <col min="21" max="21" width="17.85546875" style="157" customWidth="1"/>
    <col min="22" max="23" width="35.140625" style="157" customWidth="1"/>
    <col min="24" max="24" width="28" style="157" customWidth="1"/>
    <col min="25" max="25" width="8.7109375" style="157" customWidth="1"/>
    <col min="26" max="26" width="7.85546875" style="157" customWidth="1"/>
    <col min="27" max="27" width="25.140625" style="157" customWidth="1"/>
    <col min="28" max="28" width="7.140625" style="157" customWidth="1"/>
    <col min="29" max="29" width="8" style="157" customWidth="1"/>
    <col min="30" max="30" width="16.7109375" style="157" customWidth="1"/>
    <col min="31" max="31" width="7.85546875" style="157" customWidth="1"/>
    <col min="32" max="32" width="9.7109375" style="157" customWidth="1"/>
    <col min="33" max="33" width="15.7109375" style="157" customWidth="1"/>
    <col min="34" max="34" width="10.5703125" style="157" customWidth="1"/>
    <col min="35" max="35" width="9.5703125" style="157" customWidth="1"/>
    <col min="36" max="36" width="42.42578125" style="157" customWidth="1"/>
    <col min="37" max="37" width="26" style="157" customWidth="1"/>
    <col min="38" max="38" width="26.42578125" style="157" customWidth="1"/>
    <col min="39" max="39" width="27.7109375" style="157" customWidth="1"/>
    <col min="40" max="40" width="20.140625" style="157" customWidth="1"/>
    <col min="41" max="41" width="23.85546875" style="157" customWidth="1"/>
    <col min="42" max="42" width="20.7109375" style="157" customWidth="1"/>
    <col min="43" max="43" width="22" style="157" customWidth="1"/>
    <col min="44" max="44" width="15" style="157" customWidth="1"/>
    <col min="45" max="45" width="22" style="157" customWidth="1"/>
    <col min="46" max="47" width="22.42578125" style="157" customWidth="1"/>
    <col min="48" max="48" width="20.85546875" style="157" customWidth="1"/>
    <col min="49" max="49" width="24.42578125" style="157" customWidth="1"/>
    <col min="50" max="50" width="20.140625" style="157" customWidth="1"/>
    <col min="51" max="51" width="20.5703125" style="157" customWidth="1"/>
    <col min="52" max="52" width="22" style="157" customWidth="1"/>
    <col min="53" max="54" width="21.42578125" style="157" customWidth="1"/>
    <col min="55" max="56" width="22" style="157" bestFit="1" customWidth="1"/>
    <col min="57" max="59" width="20.5703125" style="157" customWidth="1"/>
    <col min="60" max="60" width="27.85546875" style="157" customWidth="1"/>
    <col min="61" max="61" width="26.5703125" style="157" customWidth="1"/>
    <col min="62" max="62" width="27.28515625" style="157" customWidth="1"/>
    <col min="63" max="16381" width="11.42578125" style="157"/>
    <col min="16382" max="16382" width="11.42578125" style="157" customWidth="1"/>
    <col min="16383" max="16383" width="11.42578125" style="157" hidden="1" customWidth="1"/>
    <col min="16384" max="16384" width="7.85546875" style="157" hidden="1" customWidth="1"/>
  </cols>
  <sheetData>
    <row r="1" spans="1:62 16383:16383" x14ac:dyDescent="0.25">
      <c r="A1" s="609"/>
      <c r="B1" s="612" t="s">
        <v>266</v>
      </c>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c r="AW1" s="613"/>
      <c r="AX1" s="613"/>
      <c r="AY1" s="613"/>
      <c r="AZ1" s="613"/>
      <c r="BA1" s="613"/>
      <c r="BB1" s="613"/>
      <c r="BC1" s="613"/>
      <c r="BD1" s="613"/>
      <c r="BE1" s="613"/>
      <c r="BF1" s="613"/>
      <c r="BG1" s="613"/>
      <c r="BH1" s="613"/>
      <c r="BI1" s="614"/>
      <c r="BJ1" s="156" t="s">
        <v>267</v>
      </c>
    </row>
    <row r="2" spans="1:62 16383:16383" ht="15" customHeight="1" x14ac:dyDescent="0.25">
      <c r="A2" s="610"/>
      <c r="B2" s="612" t="s">
        <v>268</v>
      </c>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c r="AK2" s="613"/>
      <c r="AL2" s="613"/>
      <c r="AM2" s="613"/>
      <c r="AN2" s="613"/>
      <c r="AO2" s="613"/>
      <c r="AP2" s="613"/>
      <c r="AQ2" s="613"/>
      <c r="AR2" s="613"/>
      <c r="AS2" s="613"/>
      <c r="AT2" s="613"/>
      <c r="AU2" s="613"/>
      <c r="AV2" s="613"/>
      <c r="AW2" s="613"/>
      <c r="AX2" s="613"/>
      <c r="AY2" s="613"/>
      <c r="AZ2" s="613"/>
      <c r="BA2" s="613"/>
      <c r="BB2" s="613"/>
      <c r="BC2" s="613"/>
      <c r="BD2" s="613"/>
      <c r="BE2" s="613"/>
      <c r="BF2" s="613"/>
      <c r="BG2" s="613"/>
      <c r="BH2" s="613"/>
      <c r="BI2" s="614"/>
      <c r="BJ2" s="158" t="s">
        <v>269</v>
      </c>
    </row>
    <row r="3" spans="1:62 16383:16383" ht="15" customHeight="1" x14ac:dyDescent="0.25">
      <c r="A3" s="610"/>
      <c r="B3" s="615" t="s">
        <v>270</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c r="BA3" s="616"/>
      <c r="BB3" s="616"/>
      <c r="BC3" s="616"/>
      <c r="BD3" s="616"/>
      <c r="BE3" s="616"/>
      <c r="BF3" s="616"/>
      <c r="BG3" s="616"/>
      <c r="BH3" s="616"/>
      <c r="BI3" s="617"/>
      <c r="BJ3" s="158" t="s">
        <v>271</v>
      </c>
    </row>
    <row r="4" spans="1:62 16383:16383" ht="15.75" customHeight="1" thickBot="1" x14ac:dyDescent="0.3">
      <c r="A4" s="611"/>
      <c r="B4" s="618" t="s">
        <v>272</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9"/>
      <c r="AO4" s="619"/>
      <c r="AP4" s="619"/>
      <c r="AQ4" s="619"/>
      <c r="AR4" s="619"/>
      <c r="AS4" s="619"/>
      <c r="AT4" s="619"/>
      <c r="AU4" s="619"/>
      <c r="AV4" s="619"/>
      <c r="AW4" s="619"/>
      <c r="AX4" s="619"/>
      <c r="AY4" s="619"/>
      <c r="AZ4" s="619"/>
      <c r="BA4" s="619"/>
      <c r="BB4" s="619"/>
      <c r="BC4" s="619"/>
      <c r="BD4" s="619"/>
      <c r="BE4" s="619"/>
      <c r="BF4" s="619"/>
      <c r="BG4" s="619"/>
      <c r="BH4" s="619"/>
      <c r="BI4" s="620"/>
      <c r="BJ4" s="159" t="s">
        <v>273</v>
      </c>
    </row>
    <row r="5" spans="1:62 16383:16383" ht="15.75" thickBot="1" x14ac:dyDescent="0.3">
      <c r="A5" s="621" t="s">
        <v>274</v>
      </c>
      <c r="B5" s="622"/>
      <c r="C5" s="622"/>
      <c r="D5" s="622"/>
      <c r="E5" s="622"/>
      <c r="F5" s="622"/>
      <c r="G5" s="622"/>
      <c r="H5" s="622"/>
      <c r="I5" s="622"/>
      <c r="J5" s="622"/>
      <c r="K5" s="622"/>
      <c r="L5" s="622"/>
      <c r="M5" s="622"/>
      <c r="N5" s="622"/>
      <c r="O5" s="623"/>
      <c r="P5" s="623"/>
      <c r="Q5" s="623"/>
      <c r="R5" s="624"/>
      <c r="S5" s="625" t="s">
        <v>275</v>
      </c>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626"/>
      <c r="BH5" s="626"/>
      <c r="BI5" s="626"/>
      <c r="BJ5" s="627"/>
    </row>
    <row r="6" spans="1:62 16383:16383" s="161" customFormat="1" ht="25.5" customHeight="1" thickBot="1" x14ac:dyDescent="0.3">
      <c r="A6" s="606" t="s">
        <v>276</v>
      </c>
      <c r="B6" s="600" t="s">
        <v>277</v>
      </c>
      <c r="C6" s="600" t="s">
        <v>278</v>
      </c>
      <c r="D6" s="600" t="s">
        <v>279</v>
      </c>
      <c r="E6" s="600" t="s">
        <v>280</v>
      </c>
      <c r="F6" s="600" t="s">
        <v>281</v>
      </c>
      <c r="G6" s="600" t="s">
        <v>282</v>
      </c>
      <c r="H6" s="600" t="s">
        <v>283</v>
      </c>
      <c r="I6" s="600" t="s">
        <v>284</v>
      </c>
      <c r="J6" s="600" t="s">
        <v>285</v>
      </c>
      <c r="K6" s="600" t="s">
        <v>286</v>
      </c>
      <c r="L6" s="600" t="s">
        <v>287</v>
      </c>
      <c r="M6" s="600" t="s">
        <v>288</v>
      </c>
      <c r="N6" s="600" t="s">
        <v>289</v>
      </c>
      <c r="O6" s="600" t="s">
        <v>290</v>
      </c>
      <c r="P6" s="600" t="s">
        <v>291</v>
      </c>
      <c r="Q6" s="600" t="s">
        <v>292</v>
      </c>
      <c r="R6" s="603" t="s">
        <v>293</v>
      </c>
      <c r="S6" s="581" t="s">
        <v>294</v>
      </c>
      <c r="T6" s="582"/>
      <c r="U6" s="582"/>
      <c r="V6" s="582"/>
      <c r="W6" s="582"/>
      <c r="X6" s="582"/>
      <c r="Y6" s="582"/>
      <c r="Z6" s="582"/>
      <c r="AA6" s="582"/>
      <c r="AB6" s="582"/>
      <c r="AC6" s="582"/>
      <c r="AD6" s="582"/>
      <c r="AE6" s="582"/>
      <c r="AF6" s="582"/>
      <c r="AG6" s="582"/>
      <c r="AH6" s="582"/>
      <c r="AI6" s="582"/>
      <c r="AJ6" s="582"/>
      <c r="AK6" s="582"/>
      <c r="AL6" s="582"/>
      <c r="AM6" s="582"/>
      <c r="AN6" s="582"/>
      <c r="AO6" s="583" t="s">
        <v>295</v>
      </c>
      <c r="AP6" s="584"/>
      <c r="AQ6" s="584"/>
      <c r="AR6" s="585"/>
      <c r="AS6" s="586" t="s">
        <v>296</v>
      </c>
      <c r="AT6" s="586"/>
      <c r="AU6" s="587"/>
      <c r="AV6" s="588" t="s">
        <v>297</v>
      </c>
      <c r="AW6" s="589"/>
      <c r="AX6" s="589"/>
      <c r="AY6" s="589"/>
      <c r="AZ6" s="589"/>
      <c r="BA6" s="589"/>
      <c r="BB6" s="589"/>
      <c r="BC6" s="589"/>
      <c r="BD6" s="589"/>
      <c r="BE6" s="589"/>
      <c r="BF6" s="589"/>
      <c r="BG6" s="590"/>
      <c r="BH6" s="566" t="s">
        <v>298</v>
      </c>
      <c r="BI6" s="591"/>
      <c r="BJ6" s="594" t="s">
        <v>299</v>
      </c>
      <c r="XFC6" s="160" t="s">
        <v>300</v>
      </c>
    </row>
    <row r="7" spans="1:62 16383:16383" s="161" customFormat="1" ht="44.25" customHeight="1" thickBot="1" x14ac:dyDescent="0.3">
      <c r="A7" s="607"/>
      <c r="B7" s="601"/>
      <c r="C7" s="601"/>
      <c r="D7" s="601"/>
      <c r="E7" s="601"/>
      <c r="F7" s="601"/>
      <c r="G7" s="601"/>
      <c r="H7" s="601"/>
      <c r="I7" s="601"/>
      <c r="J7" s="601"/>
      <c r="K7" s="601"/>
      <c r="L7" s="601"/>
      <c r="M7" s="601"/>
      <c r="N7" s="601"/>
      <c r="O7" s="601"/>
      <c r="P7" s="601"/>
      <c r="Q7" s="601"/>
      <c r="R7" s="604"/>
      <c r="S7" s="597" t="s">
        <v>301</v>
      </c>
      <c r="T7" s="598"/>
      <c r="U7" s="598"/>
      <c r="V7" s="599" t="s">
        <v>302</v>
      </c>
      <c r="W7" s="599"/>
      <c r="X7" s="599"/>
      <c r="Y7" s="599" t="s">
        <v>303</v>
      </c>
      <c r="Z7" s="599"/>
      <c r="AA7" s="599"/>
      <c r="AB7" s="574" t="s">
        <v>304</v>
      </c>
      <c r="AC7" s="575"/>
      <c r="AD7" s="576"/>
      <c r="AE7" s="574" t="s">
        <v>305</v>
      </c>
      <c r="AF7" s="575"/>
      <c r="AG7" s="576"/>
      <c r="AH7" s="574" t="s">
        <v>306</v>
      </c>
      <c r="AI7" s="575"/>
      <c r="AJ7" s="576"/>
      <c r="AK7" s="577" t="s">
        <v>307</v>
      </c>
      <c r="AL7" s="577" t="s">
        <v>308</v>
      </c>
      <c r="AM7" s="577" t="s">
        <v>309</v>
      </c>
      <c r="AN7" s="579" t="s">
        <v>310</v>
      </c>
      <c r="AO7" s="570" t="s">
        <v>311</v>
      </c>
      <c r="AP7" s="572" t="s">
        <v>28</v>
      </c>
      <c r="AQ7" s="572" t="s">
        <v>312</v>
      </c>
      <c r="AR7" s="572" t="s">
        <v>313</v>
      </c>
      <c r="AS7" s="572" t="s">
        <v>314</v>
      </c>
      <c r="AT7" s="572" t="s">
        <v>315</v>
      </c>
      <c r="AU7" s="559" t="s">
        <v>316</v>
      </c>
      <c r="AV7" s="561" t="s">
        <v>317</v>
      </c>
      <c r="AW7" s="562"/>
      <c r="AX7" s="563"/>
      <c r="AY7" s="564" t="s">
        <v>318</v>
      </c>
      <c r="AZ7" s="564"/>
      <c r="BA7" s="565"/>
      <c r="BB7" s="566" t="s">
        <v>319</v>
      </c>
      <c r="BC7" s="564"/>
      <c r="BD7" s="565"/>
      <c r="BE7" s="566" t="s">
        <v>320</v>
      </c>
      <c r="BF7" s="564"/>
      <c r="BG7" s="565"/>
      <c r="BH7" s="592"/>
      <c r="BI7" s="593"/>
      <c r="BJ7" s="595"/>
    </row>
    <row r="8" spans="1:62 16383:16383" s="175" customFormat="1" ht="159" customHeight="1" thickBot="1" x14ac:dyDescent="0.3">
      <c r="A8" s="608"/>
      <c r="B8" s="602"/>
      <c r="C8" s="602"/>
      <c r="D8" s="602"/>
      <c r="E8" s="602"/>
      <c r="F8" s="602"/>
      <c r="G8" s="602"/>
      <c r="H8" s="602"/>
      <c r="I8" s="602"/>
      <c r="J8" s="602"/>
      <c r="K8" s="602"/>
      <c r="L8" s="602"/>
      <c r="M8" s="602"/>
      <c r="N8" s="602"/>
      <c r="O8" s="602"/>
      <c r="P8" s="602"/>
      <c r="Q8" s="602"/>
      <c r="R8" s="605"/>
      <c r="S8" s="162" t="s">
        <v>55</v>
      </c>
      <c r="T8" s="163" t="s">
        <v>321</v>
      </c>
      <c r="U8" s="163" t="s">
        <v>322</v>
      </c>
      <c r="V8" s="164" t="s">
        <v>323</v>
      </c>
      <c r="W8" s="164" t="s">
        <v>324</v>
      </c>
      <c r="X8" s="164" t="s">
        <v>325</v>
      </c>
      <c r="Y8" s="165" t="s">
        <v>55</v>
      </c>
      <c r="Z8" s="163" t="s">
        <v>321</v>
      </c>
      <c r="AA8" s="163" t="s">
        <v>322</v>
      </c>
      <c r="AB8" s="163" t="s">
        <v>55</v>
      </c>
      <c r="AC8" s="163" t="s">
        <v>321</v>
      </c>
      <c r="AD8" s="163" t="s">
        <v>322</v>
      </c>
      <c r="AE8" s="166" t="s">
        <v>55</v>
      </c>
      <c r="AF8" s="166" t="s">
        <v>321</v>
      </c>
      <c r="AG8" s="163" t="s">
        <v>322</v>
      </c>
      <c r="AH8" s="163" t="s">
        <v>55</v>
      </c>
      <c r="AI8" s="163" t="s">
        <v>321</v>
      </c>
      <c r="AJ8" s="163" t="s">
        <v>322</v>
      </c>
      <c r="AK8" s="578"/>
      <c r="AL8" s="578"/>
      <c r="AM8" s="578"/>
      <c r="AN8" s="580"/>
      <c r="AO8" s="571"/>
      <c r="AP8" s="573"/>
      <c r="AQ8" s="573"/>
      <c r="AR8" s="573"/>
      <c r="AS8" s="573"/>
      <c r="AT8" s="573"/>
      <c r="AU8" s="560"/>
      <c r="AV8" s="167" t="s">
        <v>326</v>
      </c>
      <c r="AW8" s="168" t="s">
        <v>327</v>
      </c>
      <c r="AX8" s="169" t="s">
        <v>328</v>
      </c>
      <c r="AY8" s="170" t="s">
        <v>326</v>
      </c>
      <c r="AZ8" s="171" t="s">
        <v>327</v>
      </c>
      <c r="BA8" s="172" t="s">
        <v>328</v>
      </c>
      <c r="BB8" s="170" t="s">
        <v>326</v>
      </c>
      <c r="BC8" s="171" t="s">
        <v>327</v>
      </c>
      <c r="BD8" s="172" t="s">
        <v>328</v>
      </c>
      <c r="BE8" s="170" t="s">
        <v>326</v>
      </c>
      <c r="BF8" s="171" t="s">
        <v>327</v>
      </c>
      <c r="BG8" s="172" t="s">
        <v>328</v>
      </c>
      <c r="BH8" s="173" t="s">
        <v>329</v>
      </c>
      <c r="BI8" s="174" t="s">
        <v>330</v>
      </c>
      <c r="BJ8" s="596"/>
      <c r="XFC8" s="157" t="s">
        <v>57</v>
      </c>
    </row>
    <row r="9" spans="1:62 16383:16383" ht="48" customHeight="1" x14ac:dyDescent="0.25">
      <c r="A9" s="567" t="s">
        <v>39</v>
      </c>
      <c r="B9" s="567" t="s">
        <v>40</v>
      </c>
      <c r="C9" s="557" t="s">
        <v>44</v>
      </c>
      <c r="D9" s="569" t="s">
        <v>47</v>
      </c>
      <c r="E9" s="554">
        <f>37+33</f>
        <v>70</v>
      </c>
      <c r="F9" s="554">
        <v>0</v>
      </c>
      <c r="G9" s="555">
        <v>0</v>
      </c>
      <c r="H9" s="555">
        <v>0</v>
      </c>
      <c r="I9" s="557" t="s">
        <v>48</v>
      </c>
      <c r="J9" s="558">
        <v>2021130010181</v>
      </c>
      <c r="K9" s="557" t="s">
        <v>49</v>
      </c>
      <c r="L9" s="547" t="s">
        <v>204</v>
      </c>
      <c r="M9" s="549">
        <v>44893</v>
      </c>
      <c r="N9" s="549">
        <v>44926</v>
      </c>
      <c r="O9" s="550">
        <f>(N9-M9)+1</f>
        <v>34</v>
      </c>
      <c r="P9" s="552">
        <v>609</v>
      </c>
      <c r="Q9" s="539">
        <v>0.37</v>
      </c>
      <c r="R9" s="534">
        <v>0.68965517241379315</v>
      </c>
      <c r="S9" s="534" t="s">
        <v>300</v>
      </c>
      <c r="T9" s="534"/>
      <c r="U9" s="534"/>
      <c r="V9" s="545" t="s">
        <v>204</v>
      </c>
      <c r="W9" s="545" t="s">
        <v>204</v>
      </c>
      <c r="X9" s="543"/>
      <c r="Y9" s="534" t="s">
        <v>300</v>
      </c>
      <c r="Z9" s="534"/>
      <c r="AA9" s="534"/>
      <c r="AB9" s="534" t="s">
        <v>300</v>
      </c>
      <c r="AC9" s="534"/>
      <c r="AD9" s="534"/>
      <c r="AE9" s="534" t="s">
        <v>300</v>
      </c>
      <c r="AF9" s="534"/>
      <c r="AG9" s="534"/>
      <c r="AH9" s="534" t="s">
        <v>300</v>
      </c>
      <c r="AI9" s="534"/>
      <c r="AJ9" s="532"/>
      <c r="AK9" s="534">
        <v>0.68965517241379315</v>
      </c>
      <c r="AL9" s="536">
        <f>SUMPRODUCT(Q9:Q23,R9:R23)</f>
        <v>0.42177241379310348</v>
      </c>
      <c r="AM9" s="538">
        <v>0</v>
      </c>
      <c r="AN9" s="539">
        <f>+R9-Q9</f>
        <v>0.31965517241379315</v>
      </c>
      <c r="AO9" s="541" t="s">
        <v>54</v>
      </c>
      <c r="AP9" s="176" t="s">
        <v>53</v>
      </c>
      <c r="AQ9" s="177">
        <v>749068033.49000001</v>
      </c>
      <c r="AR9" s="178">
        <v>0.99999999934585382</v>
      </c>
      <c r="AS9" s="179">
        <f>+AQ9</f>
        <v>749068033.49000001</v>
      </c>
      <c r="AT9" s="180">
        <f>+AQ9</f>
        <v>749068033.49000001</v>
      </c>
      <c r="AU9" s="181">
        <f>+AT9-AS9</f>
        <v>0</v>
      </c>
      <c r="AV9" s="182">
        <v>749068033.49000001</v>
      </c>
      <c r="AW9" s="183">
        <v>0</v>
      </c>
      <c r="AX9" s="184">
        <v>0</v>
      </c>
      <c r="AY9" s="182">
        <v>749068033.49000001</v>
      </c>
      <c r="AZ9" s="183">
        <v>682078364.55135286</v>
      </c>
      <c r="BA9" s="184">
        <f>+((AV9/1722633834)*1568577506.56)</f>
        <v>682078364.55135286</v>
      </c>
      <c r="BB9" s="182">
        <v>749068033.49000001</v>
      </c>
      <c r="BC9" s="183">
        <v>682078364.55135298</v>
      </c>
      <c r="BD9" s="184">
        <f>+((AY9/1722633834)*1568577506.56)</f>
        <v>682078364.55135286</v>
      </c>
      <c r="BE9" s="182">
        <v>749068033.49000001</v>
      </c>
      <c r="BF9" s="183">
        <v>737089841.629758</v>
      </c>
      <c r="BG9" s="184">
        <f>+((BB9/1722633834)*1695087552.96)</f>
        <v>737089841.62975836</v>
      </c>
      <c r="BH9" s="185" t="s">
        <v>57</v>
      </c>
      <c r="BI9" s="186">
        <f>AL9-((BG9/BE9))</f>
        <v>-0.56223679321519215</v>
      </c>
      <c r="BJ9" s="187"/>
      <c r="XFC9" s="157" t="s">
        <v>61</v>
      </c>
    </row>
    <row r="10" spans="1:62 16383:16383" ht="82.5" customHeight="1" x14ac:dyDescent="0.25">
      <c r="A10" s="568"/>
      <c r="B10" s="568"/>
      <c r="C10" s="428"/>
      <c r="D10" s="452"/>
      <c r="E10" s="500"/>
      <c r="F10" s="500"/>
      <c r="G10" s="556"/>
      <c r="H10" s="556"/>
      <c r="I10" s="428"/>
      <c r="J10" s="430"/>
      <c r="K10" s="428"/>
      <c r="L10" s="548"/>
      <c r="M10" s="548"/>
      <c r="N10" s="548"/>
      <c r="O10" s="551"/>
      <c r="P10" s="552"/>
      <c r="Q10" s="539"/>
      <c r="R10" s="534"/>
      <c r="S10" s="534"/>
      <c r="T10" s="534"/>
      <c r="U10" s="534"/>
      <c r="V10" s="546"/>
      <c r="W10" s="546"/>
      <c r="X10" s="544"/>
      <c r="Y10" s="534"/>
      <c r="Z10" s="534"/>
      <c r="AA10" s="534"/>
      <c r="AB10" s="534"/>
      <c r="AC10" s="534"/>
      <c r="AD10" s="534"/>
      <c r="AE10" s="534"/>
      <c r="AF10" s="534"/>
      <c r="AG10" s="534"/>
      <c r="AH10" s="534"/>
      <c r="AI10" s="534"/>
      <c r="AJ10" s="532"/>
      <c r="AK10" s="534"/>
      <c r="AL10" s="537"/>
      <c r="AM10" s="498"/>
      <c r="AN10" s="539"/>
      <c r="AO10" s="541"/>
      <c r="AP10" s="188" t="s">
        <v>66</v>
      </c>
      <c r="AQ10" s="189">
        <v>425000000</v>
      </c>
      <c r="AR10" s="190">
        <v>1</v>
      </c>
      <c r="AS10" s="191">
        <f t="shared" ref="AS10:AS58" si="0">+AQ10</f>
        <v>425000000</v>
      </c>
      <c r="AT10" s="192">
        <f t="shared" ref="AT10:AT11" si="1">+AQ10</f>
        <v>425000000</v>
      </c>
      <c r="AU10" s="193">
        <f t="shared" ref="AU10:AU58" si="2">+AT10-AS10</f>
        <v>0</v>
      </c>
      <c r="AV10" s="194">
        <v>425000000</v>
      </c>
      <c r="AW10" s="195">
        <v>0</v>
      </c>
      <c r="AX10" s="196">
        <v>0</v>
      </c>
      <c r="AY10" s="194">
        <v>425000000</v>
      </c>
      <c r="AZ10" s="195">
        <v>334217685.02499998</v>
      </c>
      <c r="BA10" s="196">
        <f>+((AV10/500000000)*393197276.5)</f>
        <v>334217685.02499998</v>
      </c>
      <c r="BB10" s="194">
        <v>425000000</v>
      </c>
      <c r="BC10" s="195">
        <f>+BD10</f>
        <v>334217685.02499998</v>
      </c>
      <c r="BD10" s="196">
        <f>+((AV10/500000000)*393197276.5)</f>
        <v>334217685.02499998</v>
      </c>
      <c r="BE10" s="194">
        <v>425000000</v>
      </c>
      <c r="BF10" s="195">
        <v>425000000</v>
      </c>
      <c r="BG10" s="196">
        <f>+((AV10/500000000)*500000000)</f>
        <v>425000000</v>
      </c>
      <c r="BH10" s="197" t="s">
        <v>57</v>
      </c>
      <c r="BI10" s="187">
        <f t="shared" ref="BI10:BI58" si="3">AL10-((BG10/BE10))</f>
        <v>-1</v>
      </c>
      <c r="BJ10" s="187"/>
    </row>
    <row r="11" spans="1:62 16383:16383" ht="45" x14ac:dyDescent="0.25">
      <c r="A11" s="568"/>
      <c r="B11" s="568"/>
      <c r="C11" s="428"/>
      <c r="D11" s="452"/>
      <c r="E11" s="500"/>
      <c r="F11" s="500"/>
      <c r="G11" s="556"/>
      <c r="H11" s="556"/>
      <c r="I11" s="428"/>
      <c r="J11" s="430"/>
      <c r="K11" s="428"/>
      <c r="L11" s="548"/>
      <c r="M11" s="548"/>
      <c r="N11" s="548"/>
      <c r="O11" s="551"/>
      <c r="P11" s="552"/>
      <c r="Q11" s="539"/>
      <c r="R11" s="534"/>
      <c r="S11" s="534"/>
      <c r="T11" s="534"/>
      <c r="U11" s="534"/>
      <c r="V11" s="546"/>
      <c r="W11" s="546"/>
      <c r="X11" s="544"/>
      <c r="Y11" s="534"/>
      <c r="Z11" s="534"/>
      <c r="AA11" s="534"/>
      <c r="AB11" s="534"/>
      <c r="AC11" s="534"/>
      <c r="AD11" s="534"/>
      <c r="AE11" s="534"/>
      <c r="AF11" s="534"/>
      <c r="AG11" s="534"/>
      <c r="AH11" s="534"/>
      <c r="AI11" s="534"/>
      <c r="AJ11" s="532"/>
      <c r="AK11" s="534"/>
      <c r="AL11" s="537"/>
      <c r="AM11" s="498"/>
      <c r="AN11" s="539"/>
      <c r="AO11" s="541"/>
      <c r="AP11" s="188" t="s">
        <v>60</v>
      </c>
      <c r="AQ11" s="189">
        <v>53623127.25</v>
      </c>
      <c r="AR11" s="190">
        <v>0.99999999533783257</v>
      </c>
      <c r="AS11" s="191">
        <f t="shared" si="0"/>
        <v>53623127.25</v>
      </c>
      <c r="AT11" s="192">
        <f t="shared" si="1"/>
        <v>53623127.25</v>
      </c>
      <c r="AU11" s="193">
        <f t="shared" si="2"/>
        <v>0</v>
      </c>
      <c r="AV11" s="194">
        <v>53623127.25</v>
      </c>
      <c r="AW11" s="195">
        <v>0</v>
      </c>
      <c r="AX11" s="196">
        <v>0</v>
      </c>
      <c r="AY11" s="194">
        <v>53623127.25</v>
      </c>
      <c r="AZ11" s="195">
        <v>23574877.608459931</v>
      </c>
      <c r="BA11" s="196">
        <f>+((AV11/305165968)*134163200)</f>
        <v>23574877.608459931</v>
      </c>
      <c r="BB11" s="194">
        <v>53623127.25</v>
      </c>
      <c r="BC11" s="195">
        <v>23574877.608459931</v>
      </c>
      <c r="BD11" s="196">
        <f>+BA11</f>
        <v>23574877.608459931</v>
      </c>
      <c r="BE11" s="194">
        <v>53623127.25</v>
      </c>
      <c r="BF11" s="195">
        <f>+BG11</f>
        <v>53623127.25</v>
      </c>
      <c r="BG11" s="196">
        <f>+((AV11/305165968)*305165968)</f>
        <v>53623127.25</v>
      </c>
      <c r="BH11" s="197" t="s">
        <v>57</v>
      </c>
      <c r="BI11" s="187">
        <f t="shared" si="3"/>
        <v>-1</v>
      </c>
      <c r="BJ11" s="187"/>
    </row>
    <row r="12" spans="1:62 16383:16383" ht="60" x14ac:dyDescent="0.25">
      <c r="A12" s="568"/>
      <c r="B12" s="568"/>
      <c r="C12" s="428"/>
      <c r="D12" s="452"/>
      <c r="E12" s="500"/>
      <c r="F12" s="500"/>
      <c r="G12" s="556"/>
      <c r="H12" s="556"/>
      <c r="I12" s="428"/>
      <c r="J12" s="430"/>
      <c r="K12" s="428"/>
      <c r="L12" s="548"/>
      <c r="M12" s="548"/>
      <c r="N12" s="548"/>
      <c r="O12" s="551"/>
      <c r="P12" s="553"/>
      <c r="Q12" s="540"/>
      <c r="R12" s="535"/>
      <c r="S12" s="535"/>
      <c r="T12" s="535"/>
      <c r="U12" s="535"/>
      <c r="V12" s="546"/>
      <c r="W12" s="546"/>
      <c r="X12" s="544"/>
      <c r="Y12" s="535"/>
      <c r="Z12" s="535"/>
      <c r="AA12" s="535"/>
      <c r="AB12" s="535"/>
      <c r="AC12" s="535"/>
      <c r="AD12" s="535"/>
      <c r="AE12" s="535"/>
      <c r="AF12" s="535"/>
      <c r="AG12" s="535"/>
      <c r="AH12" s="535"/>
      <c r="AI12" s="535"/>
      <c r="AJ12" s="533"/>
      <c r="AK12" s="535"/>
      <c r="AL12" s="537"/>
      <c r="AM12" s="498"/>
      <c r="AN12" s="540"/>
      <c r="AO12" s="542"/>
      <c r="AP12" s="198" t="s">
        <v>185</v>
      </c>
      <c r="AQ12" s="189">
        <v>355904776</v>
      </c>
      <c r="AR12" s="187">
        <v>0.99999991008830968</v>
      </c>
      <c r="AS12" s="191">
        <f t="shared" si="0"/>
        <v>355904776</v>
      </c>
      <c r="AT12" s="192">
        <f>+AQ12</f>
        <v>355904776</v>
      </c>
      <c r="AU12" s="193">
        <f t="shared" si="2"/>
        <v>0</v>
      </c>
      <c r="AV12" s="194">
        <v>0</v>
      </c>
      <c r="AW12" s="195">
        <v>0</v>
      </c>
      <c r="AX12" s="196">
        <v>0</v>
      </c>
      <c r="AY12" s="194">
        <v>0</v>
      </c>
      <c r="AZ12" s="195">
        <v>0</v>
      </c>
      <c r="BA12" s="196">
        <v>0</v>
      </c>
      <c r="BB12" s="194">
        <f>+AS12</f>
        <v>355904776</v>
      </c>
      <c r="BC12" s="195">
        <v>355904776</v>
      </c>
      <c r="BD12" s="196">
        <v>355904776</v>
      </c>
      <c r="BE12" s="194">
        <v>355904776</v>
      </c>
      <c r="BF12" s="195">
        <v>355904776</v>
      </c>
      <c r="BG12" s="196">
        <v>355904776</v>
      </c>
      <c r="BH12" s="197" t="s">
        <v>57</v>
      </c>
      <c r="BI12" s="187">
        <f t="shared" si="3"/>
        <v>-1</v>
      </c>
      <c r="BJ12" s="187"/>
    </row>
    <row r="13" spans="1:62 16383:16383" ht="45" x14ac:dyDescent="0.25">
      <c r="A13" s="568"/>
      <c r="B13" s="568"/>
      <c r="C13" s="428"/>
      <c r="D13" s="452"/>
      <c r="E13" s="500"/>
      <c r="F13" s="500"/>
      <c r="G13" s="556"/>
      <c r="H13" s="556"/>
      <c r="I13" s="428"/>
      <c r="J13" s="430"/>
      <c r="K13" s="428"/>
      <c r="L13" s="473" t="s">
        <v>58</v>
      </c>
      <c r="M13" s="530">
        <v>44562</v>
      </c>
      <c r="N13" s="530">
        <v>44926</v>
      </c>
      <c r="O13" s="531">
        <f>+(N13-M13)+1</f>
        <v>365</v>
      </c>
      <c r="P13" s="529">
        <v>12</v>
      </c>
      <c r="Q13" s="519">
        <v>0.05</v>
      </c>
      <c r="R13" s="519">
        <v>1</v>
      </c>
      <c r="S13" s="519" t="s">
        <v>300</v>
      </c>
      <c r="T13" s="519"/>
      <c r="U13" s="519"/>
      <c r="V13" s="466" t="s">
        <v>58</v>
      </c>
      <c r="W13" s="466" t="s">
        <v>58</v>
      </c>
      <c r="X13" s="466"/>
      <c r="Y13" s="522" t="s">
        <v>300</v>
      </c>
      <c r="Z13" s="522"/>
      <c r="AA13" s="522"/>
      <c r="AB13" s="522" t="s">
        <v>300</v>
      </c>
      <c r="AC13" s="522"/>
      <c r="AD13" s="522"/>
      <c r="AE13" s="522" t="s">
        <v>300</v>
      </c>
      <c r="AF13" s="522"/>
      <c r="AG13" s="522"/>
      <c r="AH13" s="522" t="s">
        <v>300</v>
      </c>
      <c r="AI13" s="522"/>
      <c r="AJ13" s="524"/>
      <c r="AK13" s="519">
        <v>1</v>
      </c>
      <c r="AL13" s="537"/>
      <c r="AM13" s="498"/>
      <c r="AN13" s="519">
        <f>+R13-Q13</f>
        <v>0.95</v>
      </c>
      <c r="AO13" s="520" t="str">
        <f>+AO9</f>
        <v>IMPLEMENTACIÓN Y SOSTENIMIENTO DE HERRAMIENTAS TECNOLÓGICAS PARA LA SEGURIDAD Y SOCORRO EN CARTAGENA DE INDIAS</v>
      </c>
      <c r="AP13" s="199" t="s">
        <v>60</v>
      </c>
      <c r="AQ13" s="200">
        <v>126000000</v>
      </c>
      <c r="AR13" s="187">
        <v>0.32530222222222221</v>
      </c>
      <c r="AS13" s="191">
        <f t="shared" si="0"/>
        <v>126000000</v>
      </c>
      <c r="AT13" s="192">
        <f t="shared" ref="AT13:AT58" si="4">+AQ13</f>
        <v>126000000</v>
      </c>
      <c r="AU13" s="193">
        <f t="shared" si="2"/>
        <v>0</v>
      </c>
      <c r="AV13" s="194">
        <v>126000000</v>
      </c>
      <c r="AW13" s="195">
        <v>0</v>
      </c>
      <c r="AX13" s="196">
        <v>0</v>
      </c>
      <c r="AY13" s="194">
        <v>126000000</v>
      </c>
      <c r="AZ13" s="195">
        <v>55394653.967443697</v>
      </c>
      <c r="BA13" s="196">
        <f>+((AV13/305165968)*134163200)</f>
        <v>55394653.967443712</v>
      </c>
      <c r="BB13" s="194">
        <v>126000000</v>
      </c>
      <c r="BC13" s="195">
        <v>55394653.967443712</v>
      </c>
      <c r="BD13" s="196">
        <f>+BA13</f>
        <v>55394653.967443712</v>
      </c>
      <c r="BE13" s="194">
        <v>126000000</v>
      </c>
      <c r="BF13" s="195">
        <f>+BG13</f>
        <v>126000000</v>
      </c>
      <c r="BG13" s="196">
        <f>+((AV13/305165968)*305165968)</f>
        <v>126000000</v>
      </c>
      <c r="BH13" s="197" t="s">
        <v>57</v>
      </c>
      <c r="BI13" s="187">
        <f t="shared" si="3"/>
        <v>-1</v>
      </c>
      <c r="BJ13" s="187"/>
    </row>
    <row r="14" spans="1:62 16383:16383" ht="30" x14ac:dyDescent="0.25">
      <c r="A14" s="568"/>
      <c r="B14" s="568"/>
      <c r="C14" s="428"/>
      <c r="D14" s="452"/>
      <c r="E14" s="500"/>
      <c r="F14" s="500"/>
      <c r="G14" s="556"/>
      <c r="H14" s="556"/>
      <c r="I14" s="428"/>
      <c r="J14" s="430"/>
      <c r="K14" s="428"/>
      <c r="L14" s="495"/>
      <c r="M14" s="495"/>
      <c r="N14" s="495"/>
      <c r="O14" s="531"/>
      <c r="P14" s="496"/>
      <c r="Q14" s="496"/>
      <c r="R14" s="496"/>
      <c r="S14" s="496"/>
      <c r="T14" s="496"/>
      <c r="U14" s="496"/>
      <c r="V14" s="495"/>
      <c r="W14" s="495"/>
      <c r="X14" s="495"/>
      <c r="Y14" s="523"/>
      <c r="Z14" s="523"/>
      <c r="AA14" s="523"/>
      <c r="AB14" s="523"/>
      <c r="AC14" s="523"/>
      <c r="AD14" s="523"/>
      <c r="AE14" s="523"/>
      <c r="AF14" s="523"/>
      <c r="AG14" s="523"/>
      <c r="AH14" s="523"/>
      <c r="AI14" s="523"/>
      <c r="AJ14" s="525"/>
      <c r="AK14" s="496"/>
      <c r="AL14" s="537"/>
      <c r="AM14" s="498"/>
      <c r="AN14" s="496"/>
      <c r="AO14" s="521"/>
      <c r="AP14" s="199" t="s">
        <v>53</v>
      </c>
      <c r="AQ14" s="200">
        <v>73565800.510000005</v>
      </c>
      <c r="AR14" s="187">
        <v>0.89541158450448566</v>
      </c>
      <c r="AS14" s="191">
        <f t="shared" si="0"/>
        <v>73565800.510000005</v>
      </c>
      <c r="AT14" s="192">
        <f t="shared" si="4"/>
        <v>73565800.510000005</v>
      </c>
      <c r="AU14" s="193">
        <f t="shared" si="2"/>
        <v>0</v>
      </c>
      <c r="AV14" s="194">
        <v>73565800.510000005</v>
      </c>
      <c r="AW14" s="195">
        <v>0</v>
      </c>
      <c r="AX14" s="196">
        <v>0</v>
      </c>
      <c r="AY14" s="194">
        <v>73565800.510000005</v>
      </c>
      <c r="AZ14" s="195">
        <v>66986760.421464115</v>
      </c>
      <c r="BA14" s="196">
        <f>+((AV14/1722633834)*1568577506.56)</f>
        <v>66986760.421464115</v>
      </c>
      <c r="BB14" s="194">
        <v>73565800.510000005</v>
      </c>
      <c r="BC14" s="195">
        <f>+BD14</f>
        <v>66986760.421464115</v>
      </c>
      <c r="BD14" s="196">
        <f>+((AY14/1722633834)*1568577506.56)</f>
        <v>66986760.421464115</v>
      </c>
      <c r="BE14" s="194">
        <v>73565800.510000005</v>
      </c>
      <c r="BF14" s="195">
        <v>72389425.022775576</v>
      </c>
      <c r="BG14" s="196">
        <f>+((BB14/1722633834)*1695087552.96)</f>
        <v>72389425.022775576</v>
      </c>
      <c r="BH14" s="197" t="s">
        <v>57</v>
      </c>
      <c r="BI14" s="187">
        <f t="shared" si="3"/>
        <v>-0.98400920700829564</v>
      </c>
      <c r="BJ14" s="187"/>
    </row>
    <row r="15" spans="1:62 16383:16383" ht="61.5" customHeight="1" x14ac:dyDescent="0.25">
      <c r="A15" s="568"/>
      <c r="B15" s="568"/>
      <c r="C15" s="428"/>
      <c r="D15" s="452"/>
      <c r="E15" s="500"/>
      <c r="F15" s="500"/>
      <c r="G15" s="556"/>
      <c r="H15" s="556"/>
      <c r="I15" s="428"/>
      <c r="J15" s="430"/>
      <c r="K15" s="428"/>
      <c r="L15" s="473" t="s">
        <v>62</v>
      </c>
      <c r="M15" s="530">
        <f>+M13</f>
        <v>44562</v>
      </c>
      <c r="N15" s="530">
        <f>+N13</f>
        <v>44926</v>
      </c>
      <c r="O15" s="531">
        <f>+(N15-M15)+1</f>
        <v>365</v>
      </c>
      <c r="P15" s="529">
        <v>12</v>
      </c>
      <c r="Q15" s="519">
        <v>0.02</v>
      </c>
      <c r="R15" s="519">
        <v>1</v>
      </c>
      <c r="S15" s="519" t="s">
        <v>300</v>
      </c>
      <c r="T15" s="519"/>
      <c r="U15" s="519"/>
      <c r="V15" s="466" t="s">
        <v>62</v>
      </c>
      <c r="W15" s="466" t="s">
        <v>62</v>
      </c>
      <c r="X15" s="466"/>
      <c r="Y15" s="522" t="s">
        <v>300</v>
      </c>
      <c r="Z15" s="522"/>
      <c r="AA15" s="522"/>
      <c r="AB15" s="522" t="s">
        <v>300</v>
      </c>
      <c r="AC15" s="522"/>
      <c r="AD15" s="522"/>
      <c r="AE15" s="522" t="s">
        <v>300</v>
      </c>
      <c r="AF15" s="522"/>
      <c r="AG15" s="522"/>
      <c r="AH15" s="522" t="s">
        <v>300</v>
      </c>
      <c r="AI15" s="522"/>
      <c r="AJ15" s="524"/>
      <c r="AK15" s="519">
        <v>1</v>
      </c>
      <c r="AL15" s="537"/>
      <c r="AM15" s="498"/>
      <c r="AN15" s="519">
        <f>+R15-Q15</f>
        <v>0.98</v>
      </c>
      <c r="AO15" s="520" t="str">
        <f>+AO13</f>
        <v>IMPLEMENTACIÓN Y SOSTENIMIENTO DE HERRAMIENTAS TECNOLÓGICAS PARA LA SEGURIDAD Y SOCORRO EN CARTAGENA DE INDIAS</v>
      </c>
      <c r="AP15" s="188" t="s">
        <v>60</v>
      </c>
      <c r="AQ15" s="200">
        <v>90556957.749999896</v>
      </c>
      <c r="AR15" s="201">
        <v>0.92728815196974856</v>
      </c>
      <c r="AS15" s="191">
        <f t="shared" si="0"/>
        <v>90556957.749999896</v>
      </c>
      <c r="AT15" s="192">
        <f t="shared" si="4"/>
        <v>90556957.749999896</v>
      </c>
      <c r="AU15" s="193">
        <f t="shared" si="2"/>
        <v>0</v>
      </c>
      <c r="AV15" s="194">
        <v>90556957.749999896</v>
      </c>
      <c r="AW15" s="195">
        <v>0</v>
      </c>
      <c r="AX15" s="196">
        <v>0</v>
      </c>
      <c r="AY15" s="194">
        <v>90556957.749999896</v>
      </c>
      <c r="AZ15" s="195">
        <v>39812470.943695746</v>
      </c>
      <c r="BA15" s="196">
        <f>+((AV15/305165968)*134163200)</f>
        <v>39812470.943695746</v>
      </c>
      <c r="BB15" s="194">
        <v>90556957.749999896</v>
      </c>
      <c r="BC15" s="195">
        <v>39812470.943695746</v>
      </c>
      <c r="BD15" s="196">
        <f>+BA15</f>
        <v>39812470.943695746</v>
      </c>
      <c r="BE15" s="194">
        <v>90556957.749999896</v>
      </c>
      <c r="BF15" s="195">
        <f>+BG15</f>
        <v>90556957.749999896</v>
      </c>
      <c r="BG15" s="196">
        <f>+((AV15/305165968)*305165968)</f>
        <v>90556957.749999896</v>
      </c>
      <c r="BH15" s="197" t="s">
        <v>57</v>
      </c>
      <c r="BI15" s="187">
        <f t="shared" si="3"/>
        <v>-1</v>
      </c>
      <c r="BJ15" s="187"/>
    </row>
    <row r="16" spans="1:62 16383:16383" ht="61.5" customHeight="1" x14ac:dyDescent="0.25">
      <c r="A16" s="568"/>
      <c r="B16" s="568"/>
      <c r="C16" s="428"/>
      <c r="D16" s="452"/>
      <c r="E16" s="500"/>
      <c r="F16" s="500"/>
      <c r="G16" s="556"/>
      <c r="H16" s="556"/>
      <c r="I16" s="428"/>
      <c r="J16" s="430"/>
      <c r="K16" s="428"/>
      <c r="L16" s="495"/>
      <c r="M16" s="495"/>
      <c r="N16" s="495"/>
      <c r="O16" s="531"/>
      <c r="P16" s="496"/>
      <c r="Q16" s="496"/>
      <c r="R16" s="496"/>
      <c r="S16" s="496"/>
      <c r="T16" s="496"/>
      <c r="U16" s="496"/>
      <c r="V16" s="495"/>
      <c r="W16" s="495"/>
      <c r="X16" s="495"/>
      <c r="Y16" s="523"/>
      <c r="Z16" s="523"/>
      <c r="AA16" s="523"/>
      <c r="AB16" s="523"/>
      <c r="AC16" s="523"/>
      <c r="AD16" s="523"/>
      <c r="AE16" s="523"/>
      <c r="AF16" s="523"/>
      <c r="AG16" s="523"/>
      <c r="AH16" s="523"/>
      <c r="AI16" s="523"/>
      <c r="AJ16" s="525"/>
      <c r="AK16" s="496"/>
      <c r="AL16" s="537"/>
      <c r="AM16" s="498"/>
      <c r="AN16" s="496"/>
      <c r="AO16" s="521"/>
      <c r="AP16" s="188" t="s">
        <v>331</v>
      </c>
      <c r="AQ16" s="200">
        <v>1307002</v>
      </c>
      <c r="AR16" s="201">
        <v>1</v>
      </c>
      <c r="AS16" s="191">
        <f t="shared" si="0"/>
        <v>1307002</v>
      </c>
      <c r="AT16" s="192">
        <f t="shared" si="4"/>
        <v>1307002</v>
      </c>
      <c r="AU16" s="193">
        <f t="shared" si="2"/>
        <v>0</v>
      </c>
      <c r="AV16" s="194">
        <v>1307002</v>
      </c>
      <c r="AW16" s="195">
        <v>0</v>
      </c>
      <c r="AX16" s="196">
        <v>0</v>
      </c>
      <c r="AY16" s="194">
        <v>1307002</v>
      </c>
      <c r="AZ16" s="195">
        <v>1307002</v>
      </c>
      <c r="BA16" s="196">
        <v>1307002</v>
      </c>
      <c r="BB16" s="194">
        <v>1307002</v>
      </c>
      <c r="BC16" s="195">
        <v>1307002</v>
      </c>
      <c r="BD16" s="196">
        <v>1307002</v>
      </c>
      <c r="BE16" s="194">
        <v>1307002</v>
      </c>
      <c r="BF16" s="195">
        <v>1307002</v>
      </c>
      <c r="BG16" s="196">
        <v>1307002</v>
      </c>
      <c r="BH16" s="197" t="s">
        <v>57</v>
      </c>
      <c r="BI16" s="187">
        <f t="shared" si="3"/>
        <v>-1</v>
      </c>
      <c r="BJ16" s="187"/>
    </row>
    <row r="17" spans="1:62" ht="120" x14ac:dyDescent="0.25">
      <c r="A17" s="568"/>
      <c r="B17" s="568"/>
      <c r="C17" s="428"/>
      <c r="D17" s="202" t="s">
        <v>68</v>
      </c>
      <c r="E17" s="203">
        <f>195*2</f>
        <v>390</v>
      </c>
      <c r="F17" s="203">
        <v>0</v>
      </c>
      <c r="G17" s="204">
        <v>0</v>
      </c>
      <c r="H17" s="204">
        <v>0.33333333333333331</v>
      </c>
      <c r="I17" s="428"/>
      <c r="J17" s="430"/>
      <c r="K17" s="428"/>
      <c r="L17" s="205"/>
      <c r="M17" s="206"/>
      <c r="N17" s="206"/>
      <c r="O17" s="207"/>
      <c r="P17" s="208"/>
      <c r="Q17" s="209"/>
      <c r="R17" s="209"/>
      <c r="S17" s="209" t="s">
        <v>300</v>
      </c>
      <c r="T17" s="209"/>
      <c r="U17" s="209"/>
      <c r="V17" s="210"/>
      <c r="W17" s="210"/>
      <c r="X17" s="210"/>
      <c r="Y17" s="211" t="s">
        <v>300</v>
      </c>
      <c r="Z17" s="211"/>
      <c r="AA17" s="211"/>
      <c r="AB17" s="211" t="s">
        <v>300</v>
      </c>
      <c r="AC17" s="211"/>
      <c r="AD17" s="211"/>
      <c r="AE17" s="211" t="s">
        <v>300</v>
      </c>
      <c r="AF17" s="211"/>
      <c r="AG17" s="211"/>
      <c r="AH17" s="211"/>
      <c r="AI17" s="211"/>
      <c r="AJ17" s="212"/>
      <c r="AK17" s="209"/>
      <c r="AL17" s="537"/>
      <c r="AM17" s="213">
        <v>0.33</v>
      </c>
      <c r="AN17" s="209">
        <v>0</v>
      </c>
      <c r="AO17" s="214"/>
      <c r="AP17" s="215"/>
      <c r="AQ17" s="216"/>
      <c r="AR17" s="215"/>
      <c r="AS17" s="191"/>
      <c r="AT17" s="192">
        <f t="shared" si="4"/>
        <v>0</v>
      </c>
      <c r="AU17" s="193">
        <f t="shared" si="2"/>
        <v>0</v>
      </c>
      <c r="AV17" s="194"/>
      <c r="AW17" s="195"/>
      <c r="AX17" s="196"/>
      <c r="AY17" s="194"/>
      <c r="AZ17" s="195"/>
      <c r="BA17" s="196"/>
      <c r="BB17" s="194"/>
      <c r="BC17" s="195"/>
      <c r="BD17" s="196"/>
      <c r="BE17" s="194"/>
      <c r="BF17" s="195"/>
      <c r="BG17" s="196"/>
      <c r="BH17" s="197" t="s">
        <v>57</v>
      </c>
      <c r="BI17" s="187" t="e">
        <f t="shared" si="3"/>
        <v>#DIV/0!</v>
      </c>
      <c r="BJ17" s="187"/>
    </row>
    <row r="18" spans="1:62" ht="43.5" customHeight="1" x14ac:dyDescent="0.25">
      <c r="A18" s="568"/>
      <c r="B18" s="568"/>
      <c r="C18" s="428"/>
      <c r="D18" s="470" t="s">
        <v>72</v>
      </c>
      <c r="E18" s="454">
        <v>75</v>
      </c>
      <c r="F18" s="454">
        <v>0</v>
      </c>
      <c r="G18" s="455">
        <v>0</v>
      </c>
      <c r="H18" s="455">
        <v>0</v>
      </c>
      <c r="I18" s="428"/>
      <c r="J18" s="430"/>
      <c r="K18" s="428"/>
      <c r="L18" s="473" t="s">
        <v>174</v>
      </c>
      <c r="M18" s="526">
        <v>44853</v>
      </c>
      <c r="N18" s="526">
        <v>44926</v>
      </c>
      <c r="O18" s="449">
        <f t="shared" ref="O18" si="5">+(N18-M18)+1</f>
        <v>74</v>
      </c>
      <c r="P18" s="529">
        <v>35</v>
      </c>
      <c r="Q18" s="519">
        <v>0.14000000000000001</v>
      </c>
      <c r="R18" s="519">
        <v>0</v>
      </c>
      <c r="S18" s="519" t="s">
        <v>300</v>
      </c>
      <c r="T18" s="519"/>
      <c r="U18" s="519"/>
      <c r="V18" s="466" t="s">
        <v>174</v>
      </c>
      <c r="W18" s="466" t="s">
        <v>174</v>
      </c>
      <c r="X18" s="466"/>
      <c r="Y18" s="522" t="s">
        <v>300</v>
      </c>
      <c r="Z18" s="522"/>
      <c r="AA18" s="522"/>
      <c r="AB18" s="522" t="s">
        <v>300</v>
      </c>
      <c r="AC18" s="522"/>
      <c r="AD18" s="522"/>
      <c r="AE18" s="522" t="s">
        <v>300</v>
      </c>
      <c r="AF18" s="522"/>
      <c r="AG18" s="522"/>
      <c r="AH18" s="522"/>
      <c r="AI18" s="522" t="s">
        <v>300</v>
      </c>
      <c r="AJ18" s="524" t="s">
        <v>332</v>
      </c>
      <c r="AK18" s="519">
        <v>0</v>
      </c>
      <c r="AL18" s="537"/>
      <c r="AM18" s="471">
        <v>0</v>
      </c>
      <c r="AN18" s="519">
        <v>0</v>
      </c>
      <c r="AO18" s="520" t="str">
        <f>+AO15</f>
        <v>IMPLEMENTACIÓN Y SOSTENIMIENTO DE HERRAMIENTAS TECNOLÓGICAS PARA LA SEGURIDAD Y SOCORRO EN CARTAGENA DE INDIAS</v>
      </c>
      <c r="AP18" s="188" t="s">
        <v>60</v>
      </c>
      <c r="AQ18" s="200">
        <v>34985883.000000097</v>
      </c>
      <c r="AR18" s="201">
        <v>0.99999999999999722</v>
      </c>
      <c r="AS18" s="191">
        <f t="shared" si="0"/>
        <v>34985883.000000097</v>
      </c>
      <c r="AT18" s="192">
        <f t="shared" si="4"/>
        <v>34985883.000000097</v>
      </c>
      <c r="AU18" s="193">
        <f t="shared" si="2"/>
        <v>0</v>
      </c>
      <c r="AV18" s="194">
        <f>+AT18</f>
        <v>34985883.000000097</v>
      </c>
      <c r="AW18" s="195">
        <v>0</v>
      </c>
      <c r="AX18" s="196">
        <v>0</v>
      </c>
      <c r="AY18" s="194">
        <v>34985883.000000097</v>
      </c>
      <c r="AZ18" s="195">
        <v>15381197.4804006</v>
      </c>
      <c r="BA18" s="196">
        <f>+((AV18/305165968)*134163200)</f>
        <v>15381197.480400609</v>
      </c>
      <c r="BB18" s="194">
        <v>34985883.000000097</v>
      </c>
      <c r="BC18" s="195">
        <v>15381197.4804006</v>
      </c>
      <c r="BD18" s="196">
        <f>+BA18</f>
        <v>15381197.480400609</v>
      </c>
      <c r="BE18" s="194">
        <v>34985883.000000097</v>
      </c>
      <c r="BF18" s="195">
        <f>+BG18</f>
        <v>34985883.000000097</v>
      </c>
      <c r="BG18" s="196">
        <f>+((AV18/305165968)*305165968)</f>
        <v>34985883.000000097</v>
      </c>
      <c r="BH18" s="197" t="s">
        <v>57</v>
      </c>
      <c r="BI18" s="187">
        <f t="shared" si="3"/>
        <v>-1</v>
      </c>
      <c r="BJ18" s="187"/>
    </row>
    <row r="19" spans="1:62" ht="43.5" customHeight="1" x14ac:dyDescent="0.25">
      <c r="A19" s="568"/>
      <c r="B19" s="568"/>
      <c r="C19" s="428"/>
      <c r="D19" s="470"/>
      <c r="E19" s="454"/>
      <c r="F19" s="454"/>
      <c r="G19" s="455"/>
      <c r="H19" s="455"/>
      <c r="I19" s="428"/>
      <c r="J19" s="430"/>
      <c r="K19" s="428"/>
      <c r="L19" s="495"/>
      <c r="M19" s="527"/>
      <c r="N19" s="527"/>
      <c r="O19" s="450"/>
      <c r="P19" s="496"/>
      <c r="Q19" s="496"/>
      <c r="R19" s="496"/>
      <c r="S19" s="496"/>
      <c r="T19" s="496"/>
      <c r="U19" s="496"/>
      <c r="V19" s="495"/>
      <c r="W19" s="495"/>
      <c r="X19" s="495"/>
      <c r="Y19" s="523"/>
      <c r="Z19" s="523"/>
      <c r="AA19" s="523"/>
      <c r="AB19" s="523"/>
      <c r="AC19" s="523"/>
      <c r="AD19" s="523"/>
      <c r="AE19" s="523"/>
      <c r="AF19" s="523"/>
      <c r="AG19" s="523"/>
      <c r="AH19" s="523"/>
      <c r="AI19" s="523"/>
      <c r="AJ19" s="525"/>
      <c r="AK19" s="496"/>
      <c r="AL19" s="537"/>
      <c r="AM19" s="479"/>
      <c r="AN19" s="496"/>
      <c r="AO19" s="521"/>
      <c r="AP19" s="188" t="s">
        <v>53</v>
      </c>
      <c r="AQ19" s="200">
        <v>500000000</v>
      </c>
      <c r="AR19" s="201">
        <v>0.997678234</v>
      </c>
      <c r="AS19" s="191">
        <f t="shared" si="0"/>
        <v>500000000</v>
      </c>
      <c r="AT19" s="192">
        <f t="shared" si="4"/>
        <v>500000000</v>
      </c>
      <c r="AU19" s="193">
        <f t="shared" si="2"/>
        <v>0</v>
      </c>
      <c r="AV19" s="194">
        <v>500000000</v>
      </c>
      <c r="AW19" s="195">
        <v>0</v>
      </c>
      <c r="AX19" s="196">
        <v>0</v>
      </c>
      <c r="AY19" s="194">
        <v>500000000</v>
      </c>
      <c r="AZ19" s="195">
        <v>455284656.43732387</v>
      </c>
      <c r="BA19" s="196">
        <f>+((AV19/1722633834)*1568577506.56)</f>
        <v>455284656.43732387</v>
      </c>
      <c r="BB19" s="194">
        <v>500000000</v>
      </c>
      <c r="BC19" s="195">
        <f>+BD19</f>
        <v>455284656.43732387</v>
      </c>
      <c r="BD19" s="196">
        <f>+((AY19/1722633834)*1568577506.56)</f>
        <v>455284656.43732387</v>
      </c>
      <c r="BE19" s="194">
        <v>500000000</v>
      </c>
      <c r="BF19" s="195">
        <v>492004603.50414801</v>
      </c>
      <c r="BG19" s="196">
        <f>+((BB19/1722633834)*1695087552.96)</f>
        <v>492004603.50414789</v>
      </c>
      <c r="BH19" s="197" t="s">
        <v>57</v>
      </c>
      <c r="BI19" s="187">
        <f t="shared" si="3"/>
        <v>-0.98400920700829575</v>
      </c>
      <c r="BJ19" s="187"/>
    </row>
    <row r="20" spans="1:62" ht="43.5" customHeight="1" x14ac:dyDescent="0.25">
      <c r="A20" s="568"/>
      <c r="B20" s="568"/>
      <c r="C20" s="428"/>
      <c r="D20" s="470"/>
      <c r="E20" s="454"/>
      <c r="F20" s="454"/>
      <c r="G20" s="455"/>
      <c r="H20" s="455"/>
      <c r="I20" s="428"/>
      <c r="J20" s="430"/>
      <c r="K20" s="428"/>
      <c r="L20" s="495"/>
      <c r="M20" s="528"/>
      <c r="N20" s="528"/>
      <c r="O20" s="451"/>
      <c r="P20" s="496"/>
      <c r="Q20" s="496"/>
      <c r="R20" s="496"/>
      <c r="S20" s="496"/>
      <c r="T20" s="496"/>
      <c r="U20" s="496"/>
      <c r="V20" s="495"/>
      <c r="W20" s="495"/>
      <c r="X20" s="495"/>
      <c r="Y20" s="523"/>
      <c r="Z20" s="523"/>
      <c r="AA20" s="523"/>
      <c r="AB20" s="523"/>
      <c r="AC20" s="523"/>
      <c r="AD20" s="523"/>
      <c r="AE20" s="523"/>
      <c r="AF20" s="523"/>
      <c r="AG20" s="523"/>
      <c r="AH20" s="523"/>
      <c r="AI20" s="523"/>
      <c r="AJ20" s="525"/>
      <c r="AK20" s="496"/>
      <c r="AL20" s="537"/>
      <c r="AM20" s="479"/>
      <c r="AN20" s="496"/>
      <c r="AO20" s="521"/>
      <c r="AP20" s="188" t="s">
        <v>66</v>
      </c>
      <c r="AQ20" s="200">
        <v>75000000</v>
      </c>
      <c r="AR20" s="201">
        <v>1</v>
      </c>
      <c r="AS20" s="191">
        <f t="shared" si="0"/>
        <v>75000000</v>
      </c>
      <c r="AT20" s="192">
        <f t="shared" si="4"/>
        <v>75000000</v>
      </c>
      <c r="AU20" s="193">
        <f t="shared" si="2"/>
        <v>0</v>
      </c>
      <c r="AV20" s="194">
        <f>+AT20</f>
        <v>75000000</v>
      </c>
      <c r="AW20" s="195">
        <v>0</v>
      </c>
      <c r="AX20" s="196">
        <v>0</v>
      </c>
      <c r="AY20" s="194">
        <v>75000000</v>
      </c>
      <c r="AZ20" s="195">
        <v>58979591.475000001</v>
      </c>
      <c r="BA20" s="196">
        <f>+((AV20/500000000)*393197276.5)</f>
        <v>58979591.475000001</v>
      </c>
      <c r="BB20" s="194">
        <v>75000000</v>
      </c>
      <c r="BC20" s="195">
        <f>+BD20</f>
        <v>58979591.475000001</v>
      </c>
      <c r="BD20" s="196">
        <f>+((AV20/500000000)*393197276.5)</f>
        <v>58979591.475000001</v>
      </c>
      <c r="BE20" s="194">
        <v>75000000</v>
      </c>
      <c r="BF20" s="195">
        <f>+BG20</f>
        <v>75000000</v>
      </c>
      <c r="BG20" s="196">
        <f>+((AV20/500000000)*500000000)</f>
        <v>75000000</v>
      </c>
      <c r="BH20" s="197" t="s">
        <v>57</v>
      </c>
      <c r="BI20" s="187">
        <f t="shared" si="3"/>
        <v>-1</v>
      </c>
      <c r="BJ20" s="187"/>
    </row>
    <row r="21" spans="1:62" ht="203.25" customHeight="1" x14ac:dyDescent="0.25">
      <c r="A21" s="568"/>
      <c r="B21" s="568"/>
      <c r="C21" s="428"/>
      <c r="D21" s="470"/>
      <c r="E21" s="454"/>
      <c r="F21" s="454"/>
      <c r="G21" s="455"/>
      <c r="H21" s="455"/>
      <c r="I21" s="428"/>
      <c r="J21" s="430"/>
      <c r="K21" s="428"/>
      <c r="L21" s="205" t="s">
        <v>183</v>
      </c>
      <c r="M21" s="217">
        <v>44883</v>
      </c>
      <c r="N21" s="217">
        <v>44926</v>
      </c>
      <c r="O21" s="207">
        <f>+(N21-M21)+1</f>
        <v>44</v>
      </c>
      <c r="P21" s="218">
        <v>60</v>
      </c>
      <c r="Q21" s="219">
        <v>0.28000000000000003</v>
      </c>
      <c r="R21" s="219">
        <v>0</v>
      </c>
      <c r="S21" s="219" t="s">
        <v>300</v>
      </c>
      <c r="T21" s="219"/>
      <c r="U21" s="219"/>
      <c r="V21" s="210" t="s">
        <v>183</v>
      </c>
      <c r="W21" s="210" t="s">
        <v>183</v>
      </c>
      <c r="X21" s="210"/>
      <c r="Y21" s="220" t="s">
        <v>300</v>
      </c>
      <c r="Z21" s="220"/>
      <c r="AA21" s="220"/>
      <c r="AB21" s="220" t="s">
        <v>300</v>
      </c>
      <c r="AC21" s="220"/>
      <c r="AD21" s="220"/>
      <c r="AE21" s="220" t="s">
        <v>300</v>
      </c>
      <c r="AF21" s="220"/>
      <c r="AG21" s="220"/>
      <c r="AH21" s="220"/>
      <c r="AI21" s="220" t="s">
        <v>300</v>
      </c>
      <c r="AJ21" s="221" t="s">
        <v>333</v>
      </c>
      <c r="AK21" s="219">
        <v>0</v>
      </c>
      <c r="AL21" s="537"/>
      <c r="AM21" s="479"/>
      <c r="AN21" s="219">
        <v>0</v>
      </c>
      <c r="AO21" s="222" t="str">
        <f>+AO18</f>
        <v>IMPLEMENTACIÓN Y SOSTENIMIENTO DE HERRAMIENTAS TECNOLÓGICAS PARA LA SEGURIDAD Y SOCORRO EN CARTAGENA DE INDIAS</v>
      </c>
      <c r="AP21" s="188" t="s">
        <v>185</v>
      </c>
      <c r="AQ21" s="200">
        <v>1220000000</v>
      </c>
      <c r="AR21" s="201">
        <v>0.99740704918032785</v>
      </c>
      <c r="AS21" s="191">
        <f t="shared" si="0"/>
        <v>1220000000</v>
      </c>
      <c r="AT21" s="192">
        <f t="shared" si="4"/>
        <v>1220000000</v>
      </c>
      <c r="AU21" s="193">
        <f t="shared" si="2"/>
        <v>0</v>
      </c>
      <c r="AV21" s="194">
        <v>0</v>
      </c>
      <c r="AW21" s="195">
        <v>0</v>
      </c>
      <c r="AX21" s="196">
        <v>0</v>
      </c>
      <c r="AY21" s="194">
        <v>0</v>
      </c>
      <c r="AZ21" s="195">
        <v>0</v>
      </c>
      <c r="BA21" s="196">
        <v>0</v>
      </c>
      <c r="BB21" s="194">
        <f>+AS21</f>
        <v>1220000000</v>
      </c>
      <c r="BC21" s="195">
        <v>1220000000</v>
      </c>
      <c r="BD21" s="196">
        <v>1220000000</v>
      </c>
      <c r="BE21" s="194">
        <v>1220000000</v>
      </c>
      <c r="BF21" s="195">
        <v>1220000000</v>
      </c>
      <c r="BG21" s="196">
        <v>1220000000</v>
      </c>
      <c r="BH21" s="197" t="s">
        <v>57</v>
      </c>
      <c r="BI21" s="187">
        <f t="shared" si="3"/>
        <v>-1</v>
      </c>
      <c r="BJ21" s="187"/>
    </row>
    <row r="22" spans="1:62" ht="60" x14ac:dyDescent="0.25">
      <c r="A22" s="568"/>
      <c r="B22" s="568"/>
      <c r="C22" s="428"/>
      <c r="D22" s="470" t="s">
        <v>76</v>
      </c>
      <c r="E22" s="454">
        <v>1</v>
      </c>
      <c r="F22" s="454">
        <v>1</v>
      </c>
      <c r="G22" s="455">
        <v>1</v>
      </c>
      <c r="H22" s="455">
        <v>1</v>
      </c>
      <c r="I22" s="428"/>
      <c r="J22" s="430"/>
      <c r="K22" s="428"/>
      <c r="L22" s="499" t="s">
        <v>173</v>
      </c>
      <c r="M22" s="515">
        <v>44854</v>
      </c>
      <c r="N22" s="515">
        <v>44926</v>
      </c>
      <c r="O22" s="449">
        <f>+(N22-M22)+1</f>
        <v>73</v>
      </c>
      <c r="P22" s="517">
        <v>1</v>
      </c>
      <c r="Q22" s="506">
        <v>0.14000000000000001</v>
      </c>
      <c r="R22" s="506">
        <v>0.69</v>
      </c>
      <c r="S22" s="506" t="s">
        <v>300</v>
      </c>
      <c r="T22" s="506"/>
      <c r="U22" s="506"/>
      <c r="V22" s="497" t="s">
        <v>173</v>
      </c>
      <c r="W22" s="497" t="s">
        <v>173</v>
      </c>
      <c r="X22" s="497"/>
      <c r="Y22" s="511" t="s">
        <v>300</v>
      </c>
      <c r="Z22" s="511"/>
      <c r="AA22" s="511"/>
      <c r="AB22" s="511" t="s">
        <v>300</v>
      </c>
      <c r="AC22" s="511"/>
      <c r="AD22" s="511"/>
      <c r="AE22" s="511" t="s">
        <v>300</v>
      </c>
      <c r="AF22" s="511"/>
      <c r="AG22" s="511"/>
      <c r="AH22" s="511" t="s">
        <v>300</v>
      </c>
      <c r="AI22" s="511"/>
      <c r="AJ22" s="513" t="s">
        <v>334</v>
      </c>
      <c r="AK22" s="506">
        <v>0.69</v>
      </c>
      <c r="AL22" s="537"/>
      <c r="AM22" s="471">
        <f>27%*AK22</f>
        <v>0.18629999999999999</v>
      </c>
      <c r="AN22" s="506">
        <f>+R22-Q22</f>
        <v>0.54999999999999993</v>
      </c>
      <c r="AO22" s="508" t="str">
        <f>+AO21</f>
        <v>IMPLEMENTACIÓN Y SOSTENIMIENTO DE HERRAMIENTAS TECNOLÓGICAS PARA LA SEGURIDAD Y SOCORRO EN CARTAGENA DE INDIAS</v>
      </c>
      <c r="AP22" s="188" t="s">
        <v>185</v>
      </c>
      <c r="AQ22" s="200">
        <v>190000000</v>
      </c>
      <c r="AR22" s="201">
        <v>1</v>
      </c>
      <c r="AS22" s="191">
        <f t="shared" si="0"/>
        <v>190000000</v>
      </c>
      <c r="AT22" s="192">
        <f t="shared" si="4"/>
        <v>190000000</v>
      </c>
      <c r="AU22" s="193">
        <f t="shared" si="2"/>
        <v>0</v>
      </c>
      <c r="AV22" s="194">
        <v>0</v>
      </c>
      <c r="AW22" s="195">
        <v>0</v>
      </c>
      <c r="AX22" s="196">
        <v>0</v>
      </c>
      <c r="AY22" s="194">
        <v>0</v>
      </c>
      <c r="AZ22" s="195">
        <v>0</v>
      </c>
      <c r="BA22" s="196">
        <v>0</v>
      </c>
      <c r="BB22" s="194">
        <f>+AS22</f>
        <v>190000000</v>
      </c>
      <c r="BC22" s="195">
        <v>190000000</v>
      </c>
      <c r="BD22" s="196">
        <v>190000000</v>
      </c>
      <c r="BE22" s="194">
        <v>190000000</v>
      </c>
      <c r="BF22" s="195">
        <v>190000000</v>
      </c>
      <c r="BG22" s="196">
        <v>190000000</v>
      </c>
      <c r="BH22" s="197" t="s">
        <v>57</v>
      </c>
      <c r="BI22" s="187">
        <f t="shared" si="3"/>
        <v>-1</v>
      </c>
      <c r="BJ22" s="187"/>
    </row>
    <row r="23" spans="1:62" ht="66.75" customHeight="1" x14ac:dyDescent="0.25">
      <c r="A23" s="568"/>
      <c r="B23" s="568"/>
      <c r="C23" s="428"/>
      <c r="D23" s="470"/>
      <c r="E23" s="454"/>
      <c r="F23" s="454"/>
      <c r="G23" s="455"/>
      <c r="H23" s="455"/>
      <c r="I23" s="428"/>
      <c r="J23" s="430"/>
      <c r="K23" s="428"/>
      <c r="L23" s="499"/>
      <c r="M23" s="516"/>
      <c r="N23" s="516"/>
      <c r="O23" s="451"/>
      <c r="P23" s="518"/>
      <c r="Q23" s="507"/>
      <c r="R23" s="507"/>
      <c r="S23" s="507"/>
      <c r="T23" s="507"/>
      <c r="U23" s="507"/>
      <c r="V23" s="497"/>
      <c r="W23" s="497"/>
      <c r="X23" s="497"/>
      <c r="Y23" s="512"/>
      <c r="Z23" s="512"/>
      <c r="AA23" s="512"/>
      <c r="AB23" s="512"/>
      <c r="AC23" s="512"/>
      <c r="AD23" s="512"/>
      <c r="AE23" s="512"/>
      <c r="AF23" s="512"/>
      <c r="AG23" s="512"/>
      <c r="AH23" s="512"/>
      <c r="AI23" s="512"/>
      <c r="AJ23" s="514"/>
      <c r="AK23" s="507"/>
      <c r="AL23" s="537"/>
      <c r="AM23" s="479"/>
      <c r="AN23" s="507"/>
      <c r="AO23" s="509"/>
      <c r="AP23" s="188" t="s">
        <v>53</v>
      </c>
      <c r="AQ23" s="200">
        <v>400000000</v>
      </c>
      <c r="AR23" s="201">
        <v>0.95769999750000001</v>
      </c>
      <c r="AS23" s="191">
        <f t="shared" si="0"/>
        <v>400000000</v>
      </c>
      <c r="AT23" s="192">
        <f t="shared" si="4"/>
        <v>400000000</v>
      </c>
      <c r="AU23" s="193">
        <f t="shared" si="2"/>
        <v>0</v>
      </c>
      <c r="AV23" s="194">
        <v>400000000</v>
      </c>
      <c r="AW23" s="195">
        <v>0</v>
      </c>
      <c r="AX23" s="196">
        <v>0</v>
      </c>
      <c r="AY23" s="194">
        <v>400000000</v>
      </c>
      <c r="AZ23" s="195">
        <v>364227725.14985901</v>
      </c>
      <c r="BA23" s="196">
        <f>+((AV23/1722633834)*1568577506.56)</f>
        <v>364227725.14985907</v>
      </c>
      <c r="BB23" s="194">
        <v>400000000</v>
      </c>
      <c r="BC23" s="195">
        <f>+BD23</f>
        <v>364227725.14985907</v>
      </c>
      <c r="BD23" s="196">
        <f>+((AY23/1722633834)*1568577506.56)</f>
        <v>364227725.14985907</v>
      </c>
      <c r="BE23" s="194">
        <v>400000000</v>
      </c>
      <c r="BF23" s="195">
        <v>393603682.80331826</v>
      </c>
      <c r="BG23" s="196">
        <f>+((BB23/1722633834)*1695087552.96)</f>
        <v>393603682.80331826</v>
      </c>
      <c r="BH23" s="197" t="s">
        <v>57</v>
      </c>
      <c r="BI23" s="187">
        <f t="shared" si="3"/>
        <v>-0.98400920700829564</v>
      </c>
      <c r="BJ23" s="187"/>
    </row>
    <row r="24" spans="1:62" ht="86.25" customHeight="1" x14ac:dyDescent="0.25">
      <c r="A24" s="568"/>
      <c r="B24" s="568"/>
      <c r="C24" s="510" t="s">
        <v>77</v>
      </c>
      <c r="D24" s="452" t="s">
        <v>79</v>
      </c>
      <c r="E24" s="454">
        <v>3</v>
      </c>
      <c r="F24" s="454">
        <v>3</v>
      </c>
      <c r="G24" s="455">
        <v>1</v>
      </c>
      <c r="H24" s="455">
        <f>+F24/4</f>
        <v>0.75</v>
      </c>
      <c r="I24" s="428" t="s">
        <v>80</v>
      </c>
      <c r="J24" s="430">
        <v>2021130010192</v>
      </c>
      <c r="K24" s="428" t="s">
        <v>81</v>
      </c>
      <c r="L24" s="223" t="s">
        <v>82</v>
      </c>
      <c r="M24" s="224">
        <v>44562</v>
      </c>
      <c r="N24" s="224">
        <v>44926</v>
      </c>
      <c r="O24" s="207">
        <f>+(N24-M24)+1</f>
        <v>365</v>
      </c>
      <c r="P24" s="218">
        <v>6</v>
      </c>
      <c r="Q24" s="225">
        <v>5.3999999999999999E-2</v>
      </c>
      <c r="R24" s="225">
        <v>1</v>
      </c>
      <c r="S24" s="225" t="s">
        <v>300</v>
      </c>
      <c r="T24" s="225"/>
      <c r="U24" s="225"/>
      <c r="V24" s="226" t="s">
        <v>82</v>
      </c>
      <c r="W24" s="226" t="s">
        <v>82</v>
      </c>
      <c r="X24" s="226"/>
      <c r="Y24" s="227" t="s">
        <v>300</v>
      </c>
      <c r="Z24" s="227"/>
      <c r="AA24" s="227"/>
      <c r="AB24" s="227" t="s">
        <v>300</v>
      </c>
      <c r="AC24" s="227"/>
      <c r="AD24" s="227"/>
      <c r="AE24" s="227" t="s">
        <v>300</v>
      </c>
      <c r="AF24" s="227"/>
      <c r="AG24" s="227"/>
      <c r="AH24" s="227" t="s">
        <v>300</v>
      </c>
      <c r="AI24" s="227"/>
      <c r="AJ24" s="228"/>
      <c r="AK24" s="225">
        <v>1</v>
      </c>
      <c r="AL24" s="502">
        <f>SUMPRODUCT(Q24:Q45,R24:R45)</f>
        <v>0.54828483169244846</v>
      </c>
      <c r="AM24" s="498">
        <v>0</v>
      </c>
      <c r="AN24" s="225">
        <f>+R24-Q24</f>
        <v>0.94599999999999995</v>
      </c>
      <c r="AO24" s="229" t="s">
        <v>80</v>
      </c>
      <c r="AP24" s="188" t="s">
        <v>53</v>
      </c>
      <c r="AQ24" s="200">
        <v>254062515.59999999</v>
      </c>
      <c r="AR24" s="201">
        <v>0.87533290172617662</v>
      </c>
      <c r="AS24" s="191">
        <f t="shared" si="0"/>
        <v>254062515.59999999</v>
      </c>
      <c r="AT24" s="192">
        <f t="shared" si="4"/>
        <v>254062515.59999999</v>
      </c>
      <c r="AU24" s="193">
        <f t="shared" si="2"/>
        <v>0</v>
      </c>
      <c r="AV24" s="194">
        <f>+AQ24</f>
        <v>254062515.59999999</v>
      </c>
      <c r="AW24" s="195">
        <v>29962138.52</v>
      </c>
      <c r="AX24" s="196">
        <v>12621357.92</v>
      </c>
      <c r="AY24" s="194">
        <v>254062515.59999999</v>
      </c>
      <c r="AZ24" s="195">
        <v>159875634.264153</v>
      </c>
      <c r="BA24" s="196">
        <f>+((AQ24/672057018)*422909856.5)</f>
        <v>159875634.26415259</v>
      </c>
      <c r="BB24" s="194">
        <v>254062515.59999999</v>
      </c>
      <c r="BC24" s="195">
        <v>159875634.26415259</v>
      </c>
      <c r="BD24" s="196">
        <v>159875634.26415259</v>
      </c>
      <c r="BE24" s="194">
        <v>254062515.59999999</v>
      </c>
      <c r="BF24" s="195">
        <v>195505346.66145</v>
      </c>
      <c r="BG24" s="196">
        <f>+((AQ24/672057018)*517159093.58)</f>
        <v>195505346.66145039</v>
      </c>
      <c r="BH24" s="197" t="s">
        <v>57</v>
      </c>
      <c r="BI24" s="187">
        <f t="shared" si="3"/>
        <v>-0.22123186068438794</v>
      </c>
      <c r="BJ24" s="187"/>
    </row>
    <row r="25" spans="1:62" ht="30" x14ac:dyDescent="0.25">
      <c r="A25" s="568"/>
      <c r="B25" s="568"/>
      <c r="C25" s="429"/>
      <c r="D25" s="452"/>
      <c r="E25" s="454"/>
      <c r="F25" s="454"/>
      <c r="G25" s="455"/>
      <c r="H25" s="455"/>
      <c r="I25" s="429"/>
      <c r="J25" s="431"/>
      <c r="K25" s="429"/>
      <c r="L25" s="473" t="s">
        <v>86</v>
      </c>
      <c r="M25" s="503">
        <v>44562</v>
      </c>
      <c r="N25" s="503">
        <v>44926</v>
      </c>
      <c r="O25" s="449">
        <f>+(N25-M25)+1</f>
        <v>365</v>
      </c>
      <c r="P25" s="467">
        <v>12</v>
      </c>
      <c r="Q25" s="437">
        <v>6.0000000000000001E-3</v>
      </c>
      <c r="R25" s="437">
        <v>1</v>
      </c>
      <c r="S25" s="437" t="s">
        <v>300</v>
      </c>
      <c r="T25" s="437"/>
      <c r="U25" s="437"/>
      <c r="V25" s="466" t="s">
        <v>86</v>
      </c>
      <c r="W25" s="466" t="s">
        <v>86</v>
      </c>
      <c r="X25" s="466"/>
      <c r="Y25" s="434" t="s">
        <v>300</v>
      </c>
      <c r="Z25" s="434"/>
      <c r="AA25" s="434"/>
      <c r="AB25" s="434" t="s">
        <v>300</v>
      </c>
      <c r="AC25" s="434"/>
      <c r="AD25" s="434"/>
      <c r="AE25" s="434" t="s">
        <v>300</v>
      </c>
      <c r="AF25" s="434"/>
      <c r="AG25" s="434"/>
      <c r="AH25" s="434" t="s">
        <v>300</v>
      </c>
      <c r="AI25" s="434"/>
      <c r="AJ25" s="460"/>
      <c r="AK25" s="437">
        <v>1</v>
      </c>
      <c r="AL25" s="433"/>
      <c r="AM25" s="498"/>
      <c r="AN25" s="437">
        <f>+R25-Q25</f>
        <v>0.99399999999999999</v>
      </c>
      <c r="AO25" s="463" t="str">
        <f>+AO24</f>
        <v>FORTALECIMIENTO LOGÍSTICO PARA LA SEGURIDAD, CONVIVENCIA, JUSTICIA Y SOCORRO EN  CARTAGENA DE INDIAS</v>
      </c>
      <c r="AP25" s="188" t="s">
        <v>53</v>
      </c>
      <c r="AQ25" s="200">
        <v>20000000</v>
      </c>
      <c r="AR25" s="201">
        <v>0.95764499999999997</v>
      </c>
      <c r="AS25" s="191">
        <f t="shared" si="0"/>
        <v>20000000</v>
      </c>
      <c r="AT25" s="192">
        <f t="shared" si="4"/>
        <v>20000000</v>
      </c>
      <c r="AU25" s="193">
        <f t="shared" si="2"/>
        <v>0</v>
      </c>
      <c r="AV25" s="194">
        <f>+AQ25</f>
        <v>20000000</v>
      </c>
      <c r="AW25" s="195">
        <v>0</v>
      </c>
      <c r="AX25" s="196">
        <v>0</v>
      </c>
      <c r="AY25" s="194">
        <v>20000000</v>
      </c>
      <c r="AZ25" s="195">
        <v>12585535.011852223</v>
      </c>
      <c r="BA25" s="196">
        <f>+((AQ25/672057018)*422909856.5)</f>
        <v>12585535.011852223</v>
      </c>
      <c r="BB25" s="194">
        <v>20000000</v>
      </c>
      <c r="BC25" s="195">
        <v>12585535.011852223</v>
      </c>
      <c r="BD25" s="196">
        <v>12585535.011852223</v>
      </c>
      <c r="BE25" s="194">
        <v>20000000</v>
      </c>
      <c r="BF25" s="195">
        <v>15390333.847536726</v>
      </c>
      <c r="BG25" s="196">
        <f>+((AQ25/672057018)*517159093.58)</f>
        <v>15390333.847536726</v>
      </c>
      <c r="BH25" s="197" t="s">
        <v>57</v>
      </c>
      <c r="BI25" s="187">
        <f t="shared" si="3"/>
        <v>-0.76951669237683629</v>
      </c>
      <c r="BJ25" s="187"/>
    </row>
    <row r="26" spans="1:62" ht="45" x14ac:dyDescent="0.25">
      <c r="A26" s="568"/>
      <c r="B26" s="568"/>
      <c r="C26" s="429"/>
      <c r="D26" s="452"/>
      <c r="E26" s="454"/>
      <c r="F26" s="454"/>
      <c r="G26" s="455"/>
      <c r="H26" s="455"/>
      <c r="I26" s="429"/>
      <c r="J26" s="431"/>
      <c r="K26" s="429"/>
      <c r="L26" s="473"/>
      <c r="M26" s="504"/>
      <c r="N26" s="504"/>
      <c r="O26" s="450"/>
      <c r="P26" s="468"/>
      <c r="Q26" s="438"/>
      <c r="R26" s="438"/>
      <c r="S26" s="438"/>
      <c r="T26" s="438"/>
      <c r="U26" s="438"/>
      <c r="V26" s="466"/>
      <c r="W26" s="466"/>
      <c r="X26" s="466"/>
      <c r="Y26" s="435"/>
      <c r="Z26" s="435"/>
      <c r="AA26" s="435"/>
      <c r="AB26" s="435"/>
      <c r="AC26" s="435"/>
      <c r="AD26" s="435"/>
      <c r="AE26" s="435"/>
      <c r="AF26" s="435"/>
      <c r="AG26" s="435"/>
      <c r="AH26" s="435"/>
      <c r="AI26" s="435"/>
      <c r="AJ26" s="461"/>
      <c r="AK26" s="438"/>
      <c r="AL26" s="433"/>
      <c r="AM26" s="498"/>
      <c r="AN26" s="438"/>
      <c r="AO26" s="464"/>
      <c r="AP26" s="188" t="s">
        <v>60</v>
      </c>
      <c r="AQ26" s="200">
        <v>17323550</v>
      </c>
      <c r="AR26" s="201">
        <v>1</v>
      </c>
      <c r="AS26" s="191">
        <f t="shared" si="0"/>
        <v>17323550</v>
      </c>
      <c r="AT26" s="192">
        <f t="shared" si="4"/>
        <v>17323550</v>
      </c>
      <c r="AU26" s="193">
        <f t="shared" si="2"/>
        <v>0</v>
      </c>
      <c r="AV26" s="194">
        <v>17323550</v>
      </c>
      <c r="AW26" s="195">
        <f>+((AQ26/218458917)*124345800)</f>
        <v>9860484.1275030226</v>
      </c>
      <c r="AX26" s="196">
        <v>9000000</v>
      </c>
      <c r="AY26" s="194">
        <f>+AV26</f>
        <v>17323550</v>
      </c>
      <c r="AZ26" s="195">
        <f>+((AQ26/218458917)*149936200)</f>
        <v>11889774.485653063</v>
      </c>
      <c r="BA26" s="196">
        <f>+((AQ26/218458917)*149936200)</f>
        <v>11889774.485653063</v>
      </c>
      <c r="BB26" s="194">
        <v>17323550</v>
      </c>
      <c r="BC26" s="195">
        <f>+((AQ26/218458917)*149936200)</f>
        <v>11889774.485653063</v>
      </c>
      <c r="BD26" s="196">
        <f>+((AQ26/218458917)*149936200)</f>
        <v>11889774.485653063</v>
      </c>
      <c r="BE26" s="194">
        <f>+BB26</f>
        <v>17323550</v>
      </c>
      <c r="BF26" s="195">
        <f>+((AQ26/218458917)*218458917)</f>
        <v>17323550</v>
      </c>
      <c r="BG26" s="196">
        <f>+((AQ26/218458917)*218458917)</f>
        <v>17323550</v>
      </c>
      <c r="BH26" s="197" t="s">
        <v>57</v>
      </c>
      <c r="BI26" s="187">
        <f t="shared" si="3"/>
        <v>-1</v>
      </c>
      <c r="BJ26" s="187"/>
    </row>
    <row r="27" spans="1:62" ht="90" customHeight="1" x14ac:dyDescent="0.25">
      <c r="A27" s="568"/>
      <c r="B27" s="568"/>
      <c r="C27" s="429"/>
      <c r="D27" s="452"/>
      <c r="E27" s="454"/>
      <c r="F27" s="454"/>
      <c r="G27" s="455"/>
      <c r="H27" s="455"/>
      <c r="I27" s="429"/>
      <c r="J27" s="431"/>
      <c r="K27" s="429"/>
      <c r="L27" s="473"/>
      <c r="M27" s="505"/>
      <c r="N27" s="505"/>
      <c r="O27" s="451"/>
      <c r="P27" s="469"/>
      <c r="Q27" s="439"/>
      <c r="R27" s="439"/>
      <c r="S27" s="439"/>
      <c r="T27" s="439"/>
      <c r="U27" s="439"/>
      <c r="V27" s="466"/>
      <c r="W27" s="466"/>
      <c r="X27" s="466"/>
      <c r="Y27" s="436"/>
      <c r="Z27" s="436"/>
      <c r="AA27" s="436"/>
      <c r="AB27" s="436"/>
      <c r="AC27" s="436"/>
      <c r="AD27" s="436"/>
      <c r="AE27" s="436"/>
      <c r="AF27" s="436"/>
      <c r="AG27" s="436"/>
      <c r="AH27" s="436"/>
      <c r="AI27" s="436"/>
      <c r="AJ27" s="462"/>
      <c r="AK27" s="439"/>
      <c r="AL27" s="433"/>
      <c r="AM27" s="498"/>
      <c r="AN27" s="439"/>
      <c r="AO27" s="465"/>
      <c r="AP27" s="188" t="s">
        <v>187</v>
      </c>
      <c r="AQ27" s="200">
        <v>6442756</v>
      </c>
      <c r="AR27" s="201">
        <v>0.78844519333030771</v>
      </c>
      <c r="AS27" s="191">
        <f t="shared" si="0"/>
        <v>6442756</v>
      </c>
      <c r="AT27" s="192">
        <f t="shared" si="4"/>
        <v>6442756</v>
      </c>
      <c r="AU27" s="193">
        <f t="shared" si="2"/>
        <v>0</v>
      </c>
      <c r="AV27" s="194">
        <v>0</v>
      </c>
      <c r="AW27" s="195">
        <v>0</v>
      </c>
      <c r="AX27" s="196">
        <v>0</v>
      </c>
      <c r="AY27" s="194">
        <v>0</v>
      </c>
      <c r="AZ27" s="195">
        <v>0</v>
      </c>
      <c r="BA27" s="196">
        <v>0</v>
      </c>
      <c r="BB27" s="194">
        <v>6442756</v>
      </c>
      <c r="BC27" s="195">
        <f>+BD27</f>
        <v>6442756</v>
      </c>
      <c r="BD27" s="196">
        <f>+((AQ27/1813487101)*1813487101)</f>
        <v>6442756</v>
      </c>
      <c r="BE27" s="194">
        <f>+BB27</f>
        <v>6442756</v>
      </c>
      <c r="BF27" s="195">
        <v>6442756</v>
      </c>
      <c r="BG27" s="196">
        <v>6442756</v>
      </c>
      <c r="BH27" s="197" t="s">
        <v>57</v>
      </c>
      <c r="BI27" s="187">
        <f t="shared" si="3"/>
        <v>-1</v>
      </c>
      <c r="BJ27" s="187"/>
    </row>
    <row r="28" spans="1:62" ht="90.75" customHeight="1" x14ac:dyDescent="0.25">
      <c r="A28" s="568"/>
      <c r="B28" s="568"/>
      <c r="C28" s="429"/>
      <c r="D28" s="452"/>
      <c r="E28" s="454"/>
      <c r="F28" s="454"/>
      <c r="G28" s="455"/>
      <c r="H28" s="455"/>
      <c r="I28" s="429"/>
      <c r="J28" s="431"/>
      <c r="K28" s="429"/>
      <c r="L28" s="473" t="s">
        <v>87</v>
      </c>
      <c r="M28" s="474">
        <v>44562</v>
      </c>
      <c r="N28" s="474">
        <v>44926</v>
      </c>
      <c r="O28" s="449">
        <f>+(N28-M28)+1</f>
        <v>365</v>
      </c>
      <c r="P28" s="467">
        <v>1</v>
      </c>
      <c r="Q28" s="437">
        <v>7.0000000000000001E-3</v>
      </c>
      <c r="R28" s="437">
        <v>0</v>
      </c>
      <c r="S28" s="437" t="s">
        <v>300</v>
      </c>
      <c r="T28" s="437"/>
      <c r="U28" s="437"/>
      <c r="V28" s="466" t="s">
        <v>87</v>
      </c>
      <c r="W28" s="466" t="s">
        <v>87</v>
      </c>
      <c r="X28" s="466"/>
      <c r="Y28" s="434" t="s">
        <v>300</v>
      </c>
      <c r="Z28" s="434"/>
      <c r="AA28" s="434"/>
      <c r="AB28" s="434" t="s">
        <v>300</v>
      </c>
      <c r="AC28" s="434"/>
      <c r="AD28" s="434"/>
      <c r="AE28" s="434" t="s">
        <v>300</v>
      </c>
      <c r="AF28" s="434"/>
      <c r="AG28" s="434"/>
      <c r="AH28" s="434"/>
      <c r="AI28" s="434" t="s">
        <v>300</v>
      </c>
      <c r="AJ28" s="460" t="s">
        <v>335</v>
      </c>
      <c r="AK28" s="437">
        <v>0</v>
      </c>
      <c r="AL28" s="433"/>
      <c r="AM28" s="498"/>
      <c r="AN28" s="437">
        <v>0</v>
      </c>
      <c r="AO28" s="463" t="str">
        <f>+AO25</f>
        <v>FORTALECIMIENTO LOGÍSTICO PARA LA SEGURIDAD, CONVIVENCIA, JUSTICIA Y SOCORRO EN  CARTAGENA DE INDIAS</v>
      </c>
      <c r="AP28" s="188" t="s">
        <v>187</v>
      </c>
      <c r="AQ28" s="200">
        <v>10000000</v>
      </c>
      <c r="AR28" s="201">
        <v>0</v>
      </c>
      <c r="AS28" s="191">
        <f t="shared" si="0"/>
        <v>10000000</v>
      </c>
      <c r="AT28" s="192">
        <f t="shared" si="4"/>
        <v>10000000</v>
      </c>
      <c r="AU28" s="193">
        <f t="shared" si="2"/>
        <v>0</v>
      </c>
      <c r="AV28" s="194">
        <v>0</v>
      </c>
      <c r="AW28" s="195">
        <v>0</v>
      </c>
      <c r="AX28" s="196">
        <v>0</v>
      </c>
      <c r="AY28" s="194">
        <v>0</v>
      </c>
      <c r="AZ28" s="195">
        <v>0</v>
      </c>
      <c r="BA28" s="196">
        <v>0</v>
      </c>
      <c r="BB28" s="194">
        <v>10000000</v>
      </c>
      <c r="BC28" s="195">
        <f>+BD28</f>
        <v>10000000</v>
      </c>
      <c r="BD28" s="196">
        <f>+((AQ28/1813487101)*1813487101)</f>
        <v>10000000</v>
      </c>
      <c r="BE28" s="194">
        <f>+BB28</f>
        <v>10000000</v>
      </c>
      <c r="BF28" s="195">
        <v>10000000</v>
      </c>
      <c r="BG28" s="196">
        <v>10000000</v>
      </c>
      <c r="BH28" s="197" t="s">
        <v>57</v>
      </c>
      <c r="BI28" s="187">
        <f t="shared" si="3"/>
        <v>-1</v>
      </c>
      <c r="BJ28" s="187"/>
    </row>
    <row r="29" spans="1:62" ht="81.75" customHeight="1" x14ac:dyDescent="0.25">
      <c r="A29" s="568"/>
      <c r="B29" s="568"/>
      <c r="C29" s="429"/>
      <c r="D29" s="452"/>
      <c r="E29" s="454"/>
      <c r="F29" s="454"/>
      <c r="G29" s="455"/>
      <c r="H29" s="455"/>
      <c r="I29" s="429"/>
      <c r="J29" s="431"/>
      <c r="K29" s="429"/>
      <c r="L29" s="473"/>
      <c r="M29" s="476"/>
      <c r="N29" s="476"/>
      <c r="O29" s="451"/>
      <c r="P29" s="469"/>
      <c r="Q29" s="439"/>
      <c r="R29" s="439"/>
      <c r="S29" s="439"/>
      <c r="T29" s="439"/>
      <c r="U29" s="439"/>
      <c r="V29" s="466"/>
      <c r="W29" s="466"/>
      <c r="X29" s="466"/>
      <c r="Y29" s="436"/>
      <c r="Z29" s="436"/>
      <c r="AA29" s="436"/>
      <c r="AB29" s="436"/>
      <c r="AC29" s="436"/>
      <c r="AD29" s="436"/>
      <c r="AE29" s="436"/>
      <c r="AF29" s="436"/>
      <c r="AG29" s="436"/>
      <c r="AH29" s="436"/>
      <c r="AI29" s="436"/>
      <c r="AJ29" s="462"/>
      <c r="AK29" s="439"/>
      <c r="AL29" s="433"/>
      <c r="AM29" s="498"/>
      <c r="AN29" s="439"/>
      <c r="AO29" s="465"/>
      <c r="AP29" s="188" t="s">
        <v>66</v>
      </c>
      <c r="AQ29" s="200">
        <v>24000000</v>
      </c>
      <c r="AR29" s="201">
        <v>0</v>
      </c>
      <c r="AS29" s="191">
        <f t="shared" si="0"/>
        <v>24000000</v>
      </c>
      <c r="AT29" s="192">
        <f t="shared" si="4"/>
        <v>24000000</v>
      </c>
      <c r="AU29" s="193">
        <f t="shared" si="2"/>
        <v>0</v>
      </c>
      <c r="AV29" s="194">
        <v>24000000</v>
      </c>
      <c r="AW29" s="195">
        <v>0</v>
      </c>
      <c r="AX29" s="196">
        <v>0</v>
      </c>
      <c r="AY29" s="194">
        <f>+AV29</f>
        <v>24000000</v>
      </c>
      <c r="AZ29" s="195">
        <f>+((AS29/767651)*415239756.05)</f>
        <v>12982141813.402184</v>
      </c>
      <c r="BA29" s="196">
        <f>+AZ29</f>
        <v>12982141813.402184</v>
      </c>
      <c r="BB29" s="194">
        <v>24000000</v>
      </c>
      <c r="BC29" s="195">
        <f>+((AS29/767651)*415239756.05)</f>
        <v>12982141813.402184</v>
      </c>
      <c r="BD29" s="196">
        <f>+BC29</f>
        <v>12982141813.402184</v>
      </c>
      <c r="BE29" s="194">
        <f>+BB29</f>
        <v>24000000</v>
      </c>
      <c r="BF29" s="195">
        <v>24000000</v>
      </c>
      <c r="BG29" s="196">
        <v>24000000</v>
      </c>
      <c r="BH29" s="197" t="s">
        <v>57</v>
      </c>
      <c r="BI29" s="187">
        <f t="shared" si="3"/>
        <v>-1</v>
      </c>
      <c r="BJ29" s="187"/>
    </row>
    <row r="30" spans="1:62" ht="30" x14ac:dyDescent="0.25">
      <c r="A30" s="568"/>
      <c r="B30" s="568"/>
      <c r="C30" s="429"/>
      <c r="D30" s="452"/>
      <c r="E30" s="454"/>
      <c r="F30" s="454"/>
      <c r="G30" s="455"/>
      <c r="H30" s="455"/>
      <c r="I30" s="429"/>
      <c r="J30" s="431"/>
      <c r="K30" s="429"/>
      <c r="L30" s="473" t="s">
        <v>88</v>
      </c>
      <c r="M30" s="474">
        <v>44562</v>
      </c>
      <c r="N30" s="474">
        <v>44926</v>
      </c>
      <c r="O30" s="449">
        <f>+(N30-M30)+1</f>
        <v>365</v>
      </c>
      <c r="P30" s="472">
        <v>1</v>
      </c>
      <c r="Q30" s="493">
        <v>6.2E-2</v>
      </c>
      <c r="R30" s="493">
        <v>1</v>
      </c>
      <c r="S30" s="493" t="s">
        <v>300</v>
      </c>
      <c r="T30" s="493"/>
      <c r="U30" s="493"/>
      <c r="V30" s="466" t="s">
        <v>88</v>
      </c>
      <c r="W30" s="466" t="s">
        <v>88</v>
      </c>
      <c r="X30" s="466"/>
      <c r="Y30" s="489" t="s">
        <v>300</v>
      </c>
      <c r="Z30" s="489"/>
      <c r="AA30" s="489"/>
      <c r="AB30" s="489" t="s">
        <v>300</v>
      </c>
      <c r="AC30" s="489"/>
      <c r="AD30" s="489"/>
      <c r="AE30" s="489" t="s">
        <v>300</v>
      </c>
      <c r="AF30" s="489"/>
      <c r="AG30" s="489"/>
      <c r="AH30" s="489" t="s">
        <v>300</v>
      </c>
      <c r="AI30" s="489"/>
      <c r="AJ30" s="491"/>
      <c r="AK30" s="493">
        <v>1</v>
      </c>
      <c r="AL30" s="433"/>
      <c r="AM30" s="498"/>
      <c r="AN30" s="493">
        <f>+R30-Q30</f>
        <v>0.93799999999999994</v>
      </c>
      <c r="AO30" s="484" t="str">
        <f>+AO28</f>
        <v>FORTALECIMIENTO LOGÍSTICO PARA LA SEGURIDAD, CONVIVENCIA, JUSTICIA Y SOCORRO EN  CARTAGENA DE INDIAS</v>
      </c>
      <c r="AP30" s="188" t="s">
        <v>53</v>
      </c>
      <c r="AQ30" s="200">
        <v>197464379.40000001</v>
      </c>
      <c r="AR30" s="201">
        <v>1.0000000030385201</v>
      </c>
      <c r="AS30" s="191">
        <f t="shared" si="0"/>
        <v>197464379.40000001</v>
      </c>
      <c r="AT30" s="192">
        <f t="shared" si="4"/>
        <v>197464379.40000001</v>
      </c>
      <c r="AU30" s="193">
        <f t="shared" si="2"/>
        <v>0</v>
      </c>
      <c r="AV30" s="194">
        <f>+AQ30</f>
        <v>197464379.40000001</v>
      </c>
      <c r="AW30" s="195">
        <v>0</v>
      </c>
      <c r="AX30" s="196">
        <v>0</v>
      </c>
      <c r="AY30" s="194">
        <v>197464379.40000001</v>
      </c>
      <c r="AZ30" s="195">
        <v>124259743.02661856</v>
      </c>
      <c r="BA30" s="196">
        <f>+((AQ30/672057018)*422909856.5)</f>
        <v>124259743.02661856</v>
      </c>
      <c r="BB30" s="194">
        <v>197464379.40000001</v>
      </c>
      <c r="BC30" s="195">
        <v>124259743.02661856</v>
      </c>
      <c r="BD30" s="196">
        <v>124259743.02661856</v>
      </c>
      <c r="BE30" s="194">
        <v>197464379.40000001</v>
      </c>
      <c r="BF30" s="195">
        <v>151952136.09813273</v>
      </c>
      <c r="BG30" s="196">
        <f>+((AQ30/672057018)*517159093.58)</f>
        <v>151952136.09813273</v>
      </c>
      <c r="BH30" s="197" t="s">
        <v>57</v>
      </c>
      <c r="BI30" s="187">
        <f t="shared" si="3"/>
        <v>-0.76951669237683651</v>
      </c>
      <c r="BJ30" s="187"/>
    </row>
    <row r="31" spans="1:62" ht="78.75" customHeight="1" x14ac:dyDescent="0.25">
      <c r="A31" s="568"/>
      <c r="B31" s="568"/>
      <c r="C31" s="429"/>
      <c r="D31" s="452"/>
      <c r="E31" s="454"/>
      <c r="F31" s="454"/>
      <c r="G31" s="455"/>
      <c r="H31" s="455"/>
      <c r="I31" s="429"/>
      <c r="J31" s="431"/>
      <c r="K31" s="429"/>
      <c r="L31" s="495"/>
      <c r="M31" s="475"/>
      <c r="N31" s="475"/>
      <c r="O31" s="450"/>
      <c r="P31" s="496"/>
      <c r="Q31" s="494"/>
      <c r="R31" s="494"/>
      <c r="S31" s="494"/>
      <c r="T31" s="494"/>
      <c r="U31" s="494"/>
      <c r="V31" s="495"/>
      <c r="W31" s="495"/>
      <c r="X31" s="495"/>
      <c r="Y31" s="490"/>
      <c r="Z31" s="490"/>
      <c r="AA31" s="490"/>
      <c r="AB31" s="490"/>
      <c r="AC31" s="490"/>
      <c r="AD31" s="490"/>
      <c r="AE31" s="490"/>
      <c r="AF31" s="490"/>
      <c r="AG31" s="490"/>
      <c r="AH31" s="490"/>
      <c r="AI31" s="490"/>
      <c r="AJ31" s="492"/>
      <c r="AK31" s="494"/>
      <c r="AL31" s="433"/>
      <c r="AM31" s="498"/>
      <c r="AN31" s="494"/>
      <c r="AO31" s="485"/>
      <c r="AP31" s="188" t="s">
        <v>66</v>
      </c>
      <c r="AQ31" s="200">
        <v>16000000</v>
      </c>
      <c r="AR31" s="201">
        <v>1</v>
      </c>
      <c r="AS31" s="191">
        <f t="shared" si="0"/>
        <v>16000000</v>
      </c>
      <c r="AT31" s="192">
        <f t="shared" si="4"/>
        <v>16000000</v>
      </c>
      <c r="AU31" s="193">
        <f t="shared" si="2"/>
        <v>0</v>
      </c>
      <c r="AV31" s="194">
        <v>16000000</v>
      </c>
      <c r="AW31" s="195">
        <v>0</v>
      </c>
      <c r="AX31" s="196">
        <v>0</v>
      </c>
      <c r="AY31" s="194">
        <f>+AV31</f>
        <v>16000000</v>
      </c>
      <c r="AZ31" s="195">
        <f>+((AS31/767651)*415239756.05)</f>
        <v>8654761208.9347897</v>
      </c>
      <c r="BA31" s="196">
        <f>+AZ31</f>
        <v>8654761208.9347897</v>
      </c>
      <c r="BB31" s="194">
        <v>16000000</v>
      </c>
      <c r="BC31" s="195">
        <f>+((AS31/767651)*415239756.05)</f>
        <v>8654761208.9347897</v>
      </c>
      <c r="BD31" s="196">
        <f>+BC31</f>
        <v>8654761208.9347897</v>
      </c>
      <c r="BE31" s="194">
        <f>+BB31</f>
        <v>16000000</v>
      </c>
      <c r="BF31" s="195">
        <v>16000000</v>
      </c>
      <c r="BG31" s="196">
        <v>16000000</v>
      </c>
      <c r="BH31" s="197" t="s">
        <v>57</v>
      </c>
      <c r="BI31" s="187">
        <f t="shared" si="3"/>
        <v>-1</v>
      </c>
      <c r="BJ31" s="187"/>
    </row>
    <row r="32" spans="1:62" ht="45" x14ac:dyDescent="0.25">
      <c r="A32" s="568"/>
      <c r="B32" s="568"/>
      <c r="C32" s="429"/>
      <c r="D32" s="452"/>
      <c r="E32" s="454"/>
      <c r="F32" s="454"/>
      <c r="G32" s="455"/>
      <c r="H32" s="455"/>
      <c r="I32" s="429"/>
      <c r="J32" s="431"/>
      <c r="K32" s="429"/>
      <c r="L32" s="495"/>
      <c r="M32" s="476"/>
      <c r="N32" s="476"/>
      <c r="O32" s="451"/>
      <c r="P32" s="496"/>
      <c r="Q32" s="494"/>
      <c r="R32" s="494"/>
      <c r="S32" s="494"/>
      <c r="T32" s="494"/>
      <c r="U32" s="494"/>
      <c r="V32" s="495"/>
      <c r="W32" s="495"/>
      <c r="X32" s="495"/>
      <c r="Y32" s="490"/>
      <c r="Z32" s="490"/>
      <c r="AA32" s="490"/>
      <c r="AB32" s="490"/>
      <c r="AC32" s="490"/>
      <c r="AD32" s="490"/>
      <c r="AE32" s="490"/>
      <c r="AF32" s="490"/>
      <c r="AG32" s="490"/>
      <c r="AH32" s="490"/>
      <c r="AI32" s="490"/>
      <c r="AJ32" s="492"/>
      <c r="AK32" s="494"/>
      <c r="AL32" s="433"/>
      <c r="AM32" s="498"/>
      <c r="AN32" s="494"/>
      <c r="AO32" s="485"/>
      <c r="AP32" s="188" t="s">
        <v>60</v>
      </c>
      <c r="AQ32" s="200">
        <v>59131075</v>
      </c>
      <c r="AR32" s="201">
        <v>0.25485662149724153</v>
      </c>
      <c r="AS32" s="191">
        <f t="shared" si="0"/>
        <v>59131075</v>
      </c>
      <c r="AT32" s="192">
        <f t="shared" si="4"/>
        <v>59131075</v>
      </c>
      <c r="AU32" s="193">
        <f t="shared" si="2"/>
        <v>0</v>
      </c>
      <c r="AV32" s="194">
        <v>59131075</v>
      </c>
      <c r="AW32" s="195">
        <f>+((AQ32/218458917)*124345800)</f>
        <v>33657133.00563053</v>
      </c>
      <c r="AX32" s="196">
        <v>0</v>
      </c>
      <c r="AY32" s="194">
        <f>+AQ32</f>
        <v>59131075</v>
      </c>
      <c r="AZ32" s="195">
        <f>+((AQ32/218458917)*149936200)</f>
        <v>40583780.278536312</v>
      </c>
      <c r="BA32" s="196">
        <f>+((AQ32/218458917)*149936200)</f>
        <v>40583780.278536312</v>
      </c>
      <c r="BB32" s="194">
        <v>59131075</v>
      </c>
      <c r="BC32" s="195">
        <f>+((AQ32/218458917)*149936200)</f>
        <v>40583780.278536312</v>
      </c>
      <c r="BD32" s="196">
        <f>+((AQ32/218458917)*149936200)</f>
        <v>40583780.278536312</v>
      </c>
      <c r="BE32" s="194">
        <f>+BB32</f>
        <v>59131075</v>
      </c>
      <c r="BF32" s="195">
        <f>+((AQ32/218458917)*218458917)</f>
        <v>59131075.000000007</v>
      </c>
      <c r="BG32" s="196">
        <f>+((AQ32/218458917)*218458917)</f>
        <v>59131075.000000007</v>
      </c>
      <c r="BH32" s="197" t="s">
        <v>57</v>
      </c>
      <c r="BI32" s="187">
        <f t="shared" si="3"/>
        <v>-1.0000000000000002</v>
      </c>
      <c r="BJ32" s="187"/>
    </row>
    <row r="33" spans="1:62" ht="44.25" customHeight="1" x14ac:dyDescent="0.25">
      <c r="A33" s="568"/>
      <c r="B33" s="568"/>
      <c r="C33" s="429"/>
      <c r="D33" s="452"/>
      <c r="E33" s="454"/>
      <c r="F33" s="454"/>
      <c r="G33" s="455"/>
      <c r="H33" s="455"/>
      <c r="I33" s="429"/>
      <c r="J33" s="431"/>
      <c r="K33" s="429"/>
      <c r="L33" s="499" t="s">
        <v>215</v>
      </c>
      <c r="M33" s="481">
        <v>44868</v>
      </c>
      <c r="N33" s="481">
        <v>44926</v>
      </c>
      <c r="O33" s="449">
        <f>+(N33-M33)+1</f>
        <v>59</v>
      </c>
      <c r="P33" s="472">
        <v>3</v>
      </c>
      <c r="Q33" s="493">
        <v>0.25847679653233202</v>
      </c>
      <c r="R33" s="493">
        <v>0</v>
      </c>
      <c r="S33" s="493" t="s">
        <v>300</v>
      </c>
      <c r="T33" s="493"/>
      <c r="U33" s="493"/>
      <c r="V33" s="497" t="s">
        <v>215</v>
      </c>
      <c r="W33" s="497" t="s">
        <v>215</v>
      </c>
      <c r="X33" s="497"/>
      <c r="Y33" s="489" t="s">
        <v>300</v>
      </c>
      <c r="Z33" s="489"/>
      <c r="AA33" s="489"/>
      <c r="AB33" s="489" t="s">
        <v>300</v>
      </c>
      <c r="AC33" s="489"/>
      <c r="AD33" s="489"/>
      <c r="AE33" s="489" t="s">
        <v>300</v>
      </c>
      <c r="AF33" s="489"/>
      <c r="AG33" s="489"/>
      <c r="AH33" s="489"/>
      <c r="AI33" s="489" t="s">
        <v>300</v>
      </c>
      <c r="AJ33" s="491" t="s">
        <v>336</v>
      </c>
      <c r="AK33" s="493">
        <v>0</v>
      </c>
      <c r="AL33" s="433"/>
      <c r="AM33" s="498"/>
      <c r="AN33" s="493">
        <v>0</v>
      </c>
      <c r="AO33" s="484" t="str">
        <f>+AO30</f>
        <v>FORTALECIMIENTO LOGÍSTICO PARA LA SEGURIDAD, CONVIVENCIA, JUSTICIA Y SOCORRO EN  CARTAGENA DE INDIAS</v>
      </c>
      <c r="AP33" s="188" t="s">
        <v>190</v>
      </c>
      <c r="AQ33" s="200">
        <v>25100000</v>
      </c>
      <c r="AR33" s="201">
        <v>1</v>
      </c>
      <c r="AS33" s="191">
        <f t="shared" si="0"/>
        <v>25100000</v>
      </c>
      <c r="AT33" s="192">
        <f t="shared" si="4"/>
        <v>25100000</v>
      </c>
      <c r="AU33" s="193">
        <f t="shared" si="2"/>
        <v>0</v>
      </c>
      <c r="AV33" s="194">
        <v>0</v>
      </c>
      <c r="AW33" s="195">
        <v>0</v>
      </c>
      <c r="AX33" s="196">
        <v>0</v>
      </c>
      <c r="AY33" s="194">
        <v>0</v>
      </c>
      <c r="AZ33" s="195">
        <v>0</v>
      </c>
      <c r="BA33" s="196">
        <v>0</v>
      </c>
      <c r="BB33" s="194">
        <v>25100000</v>
      </c>
      <c r="BC33" s="195">
        <v>25100000</v>
      </c>
      <c r="BD33" s="196">
        <v>25100000</v>
      </c>
      <c r="BE33" s="194">
        <v>25100000</v>
      </c>
      <c r="BF33" s="195">
        <v>25100000</v>
      </c>
      <c r="BG33" s="196">
        <v>25100000</v>
      </c>
      <c r="BH33" s="197" t="s">
        <v>57</v>
      </c>
      <c r="BI33" s="187">
        <f t="shared" si="3"/>
        <v>-1</v>
      </c>
      <c r="BJ33" s="187"/>
    </row>
    <row r="34" spans="1:62" ht="44.25" customHeight="1" x14ac:dyDescent="0.25">
      <c r="A34" s="568"/>
      <c r="B34" s="568"/>
      <c r="C34" s="429"/>
      <c r="D34" s="452"/>
      <c r="E34" s="454"/>
      <c r="F34" s="454"/>
      <c r="G34" s="455"/>
      <c r="H34" s="455"/>
      <c r="I34" s="429"/>
      <c r="J34" s="431"/>
      <c r="K34" s="429"/>
      <c r="L34" s="499"/>
      <c r="M34" s="482"/>
      <c r="N34" s="482"/>
      <c r="O34" s="450"/>
      <c r="P34" s="472"/>
      <c r="Q34" s="493"/>
      <c r="R34" s="493"/>
      <c r="S34" s="493"/>
      <c r="T34" s="493"/>
      <c r="U34" s="493"/>
      <c r="V34" s="497"/>
      <c r="W34" s="497"/>
      <c r="X34" s="497"/>
      <c r="Y34" s="489"/>
      <c r="Z34" s="489"/>
      <c r="AA34" s="489"/>
      <c r="AB34" s="489"/>
      <c r="AC34" s="489"/>
      <c r="AD34" s="489"/>
      <c r="AE34" s="489"/>
      <c r="AF34" s="489"/>
      <c r="AG34" s="489"/>
      <c r="AH34" s="489"/>
      <c r="AI34" s="489"/>
      <c r="AJ34" s="491"/>
      <c r="AK34" s="493"/>
      <c r="AL34" s="433"/>
      <c r="AM34" s="498"/>
      <c r="AN34" s="493"/>
      <c r="AO34" s="484"/>
      <c r="AP34" s="188" t="s">
        <v>191</v>
      </c>
      <c r="AQ34" s="200">
        <v>61574978</v>
      </c>
      <c r="AR34" s="201">
        <v>1</v>
      </c>
      <c r="AS34" s="191">
        <f t="shared" si="0"/>
        <v>61574978</v>
      </c>
      <c r="AT34" s="192">
        <f t="shared" si="4"/>
        <v>61574978</v>
      </c>
      <c r="AU34" s="193">
        <f t="shared" si="2"/>
        <v>0</v>
      </c>
      <c r="AV34" s="194">
        <v>0</v>
      </c>
      <c r="AW34" s="195">
        <v>0</v>
      </c>
      <c r="AX34" s="196">
        <v>0</v>
      </c>
      <c r="AY34" s="194">
        <v>0</v>
      </c>
      <c r="AZ34" s="195">
        <v>0</v>
      </c>
      <c r="BA34" s="196">
        <v>0</v>
      </c>
      <c r="BB34" s="194">
        <v>61574978</v>
      </c>
      <c r="BC34" s="195">
        <v>61574978</v>
      </c>
      <c r="BD34" s="196">
        <v>61574978</v>
      </c>
      <c r="BE34" s="194">
        <v>61574978</v>
      </c>
      <c r="BF34" s="195">
        <v>61574978</v>
      </c>
      <c r="BG34" s="196">
        <v>61574978</v>
      </c>
      <c r="BH34" s="197" t="s">
        <v>57</v>
      </c>
      <c r="BI34" s="187">
        <f t="shared" si="3"/>
        <v>-1</v>
      </c>
      <c r="BJ34" s="187"/>
    </row>
    <row r="35" spans="1:62" ht="59.25" customHeight="1" x14ac:dyDescent="0.25">
      <c r="A35" s="568"/>
      <c r="B35" s="568"/>
      <c r="C35" s="429"/>
      <c r="D35" s="452"/>
      <c r="E35" s="454"/>
      <c r="F35" s="454"/>
      <c r="G35" s="455"/>
      <c r="H35" s="455"/>
      <c r="I35" s="429"/>
      <c r="J35" s="431"/>
      <c r="K35" s="429"/>
      <c r="L35" s="499"/>
      <c r="M35" s="483"/>
      <c r="N35" s="483"/>
      <c r="O35" s="451"/>
      <c r="P35" s="472"/>
      <c r="Q35" s="493"/>
      <c r="R35" s="493"/>
      <c r="S35" s="493"/>
      <c r="T35" s="493"/>
      <c r="U35" s="493"/>
      <c r="V35" s="497"/>
      <c r="W35" s="497"/>
      <c r="X35" s="497"/>
      <c r="Y35" s="489"/>
      <c r="Z35" s="489"/>
      <c r="AA35" s="489"/>
      <c r="AB35" s="489"/>
      <c r="AC35" s="489"/>
      <c r="AD35" s="489"/>
      <c r="AE35" s="489"/>
      <c r="AF35" s="489"/>
      <c r="AG35" s="489"/>
      <c r="AH35" s="489"/>
      <c r="AI35" s="489"/>
      <c r="AJ35" s="491"/>
      <c r="AK35" s="493"/>
      <c r="AL35" s="433"/>
      <c r="AM35" s="498"/>
      <c r="AN35" s="493"/>
      <c r="AO35" s="484"/>
      <c r="AP35" s="188" t="s">
        <v>192</v>
      </c>
      <c r="AQ35" s="200">
        <v>1123458631</v>
      </c>
      <c r="AR35" s="201">
        <v>1</v>
      </c>
      <c r="AS35" s="191">
        <f t="shared" si="0"/>
        <v>1123458631</v>
      </c>
      <c r="AT35" s="192">
        <f t="shared" si="4"/>
        <v>1123458631</v>
      </c>
      <c r="AU35" s="193">
        <f t="shared" si="2"/>
        <v>0</v>
      </c>
      <c r="AV35" s="194">
        <v>0</v>
      </c>
      <c r="AW35" s="195">
        <v>0</v>
      </c>
      <c r="AX35" s="196">
        <v>0</v>
      </c>
      <c r="AY35" s="194">
        <v>0</v>
      </c>
      <c r="AZ35" s="195">
        <v>0</v>
      </c>
      <c r="BA35" s="196">
        <v>0</v>
      </c>
      <c r="BB35" s="194">
        <v>1123458631</v>
      </c>
      <c r="BC35" s="195">
        <v>1123458631</v>
      </c>
      <c r="BD35" s="196">
        <v>1123458631</v>
      </c>
      <c r="BE35" s="194">
        <v>1123458631</v>
      </c>
      <c r="BF35" s="195">
        <v>1123458631</v>
      </c>
      <c r="BG35" s="196">
        <v>1123458631</v>
      </c>
      <c r="BH35" s="197" t="s">
        <v>57</v>
      </c>
      <c r="BI35" s="187">
        <f t="shared" si="3"/>
        <v>-1</v>
      </c>
      <c r="BJ35" s="187"/>
    </row>
    <row r="36" spans="1:62" ht="81" customHeight="1" x14ac:dyDescent="0.25">
      <c r="A36" s="568"/>
      <c r="B36" s="568"/>
      <c r="C36" s="429"/>
      <c r="D36" s="452"/>
      <c r="E36" s="454"/>
      <c r="F36" s="454"/>
      <c r="G36" s="455"/>
      <c r="H36" s="455"/>
      <c r="I36" s="429"/>
      <c r="J36" s="431"/>
      <c r="K36" s="429"/>
      <c r="L36" s="499" t="s">
        <v>91</v>
      </c>
      <c r="M36" s="481">
        <v>44820</v>
      </c>
      <c r="N36" s="481">
        <v>44926</v>
      </c>
      <c r="O36" s="449">
        <f>+(N36-M36)+1</f>
        <v>107</v>
      </c>
      <c r="P36" s="467">
        <v>12</v>
      </c>
      <c r="Q36" s="437">
        <v>0.374569663384897</v>
      </c>
      <c r="R36" s="437">
        <v>0.5</v>
      </c>
      <c r="S36" s="437" t="s">
        <v>300</v>
      </c>
      <c r="T36" s="437"/>
      <c r="U36" s="437"/>
      <c r="V36" s="497" t="s">
        <v>91</v>
      </c>
      <c r="W36" s="497" t="s">
        <v>91</v>
      </c>
      <c r="X36" s="497"/>
      <c r="Y36" s="434" t="s">
        <v>300</v>
      </c>
      <c r="Z36" s="434"/>
      <c r="AA36" s="434"/>
      <c r="AB36" s="434" t="s">
        <v>300</v>
      </c>
      <c r="AC36" s="434"/>
      <c r="AD36" s="434"/>
      <c r="AE36" s="434" t="s">
        <v>300</v>
      </c>
      <c r="AF36" s="434"/>
      <c r="AG36" s="434"/>
      <c r="AH36" s="434" t="s">
        <v>300</v>
      </c>
      <c r="AI36" s="434"/>
      <c r="AJ36" s="460"/>
      <c r="AK36" s="437">
        <v>0.5</v>
      </c>
      <c r="AL36" s="433"/>
      <c r="AM36" s="498"/>
      <c r="AN36" s="437">
        <f>+R36-Q36</f>
        <v>0.125430336615103</v>
      </c>
      <c r="AO36" s="463" t="str">
        <f>+AO33</f>
        <v>FORTALECIMIENTO LOGÍSTICO PARA LA SEGURIDAD, CONVIVENCIA, JUSTICIA Y SOCORRO EN  CARTAGENA DE INDIAS</v>
      </c>
      <c r="AP36" s="188" t="s">
        <v>66</v>
      </c>
      <c r="AQ36" s="200">
        <v>227651528</v>
      </c>
      <c r="AR36" s="201">
        <v>1</v>
      </c>
      <c r="AS36" s="191">
        <f t="shared" si="0"/>
        <v>227651528</v>
      </c>
      <c r="AT36" s="192">
        <f t="shared" si="4"/>
        <v>227651528</v>
      </c>
      <c r="AU36" s="193">
        <f t="shared" si="2"/>
        <v>0</v>
      </c>
      <c r="AV36" s="194">
        <v>227651528</v>
      </c>
      <c r="AW36" s="195">
        <v>0</v>
      </c>
      <c r="AX36" s="196">
        <v>0</v>
      </c>
      <c r="AY36" s="194">
        <f>+AV36</f>
        <v>227651528</v>
      </c>
      <c r="AZ36" s="195">
        <f>+((AS36/767651)*415239756.05)</f>
        <v>123141850855.57077</v>
      </c>
      <c r="BA36" s="196">
        <f>+AZ36</f>
        <v>123141850855.57077</v>
      </c>
      <c r="BB36" s="194">
        <v>227651528</v>
      </c>
      <c r="BC36" s="195">
        <f>+((AS36/767651)*415239756.05)</f>
        <v>123141850855.57077</v>
      </c>
      <c r="BD36" s="196">
        <f>+BC36</f>
        <v>123141850855.57077</v>
      </c>
      <c r="BE36" s="194">
        <f>+BB36</f>
        <v>227651528</v>
      </c>
      <c r="BF36" s="195">
        <v>227651528</v>
      </c>
      <c r="BG36" s="196">
        <v>227651528</v>
      </c>
      <c r="BH36" s="197" t="s">
        <v>57</v>
      </c>
      <c r="BI36" s="187">
        <f t="shared" si="3"/>
        <v>-1</v>
      </c>
      <c r="BJ36" s="187"/>
    </row>
    <row r="37" spans="1:62" ht="45" x14ac:dyDescent="0.25">
      <c r="A37" s="568"/>
      <c r="B37" s="568"/>
      <c r="C37" s="429"/>
      <c r="D37" s="452"/>
      <c r="E37" s="454"/>
      <c r="F37" s="454"/>
      <c r="G37" s="455"/>
      <c r="H37" s="455"/>
      <c r="I37" s="429"/>
      <c r="J37" s="431"/>
      <c r="K37" s="429"/>
      <c r="L37" s="499"/>
      <c r="M37" s="482"/>
      <c r="N37" s="482"/>
      <c r="O37" s="450"/>
      <c r="P37" s="468"/>
      <c r="Q37" s="438"/>
      <c r="R37" s="438"/>
      <c r="S37" s="438"/>
      <c r="T37" s="438"/>
      <c r="U37" s="438"/>
      <c r="V37" s="497"/>
      <c r="W37" s="497"/>
      <c r="X37" s="497"/>
      <c r="Y37" s="435"/>
      <c r="Z37" s="435"/>
      <c r="AA37" s="435"/>
      <c r="AB37" s="435"/>
      <c r="AC37" s="435"/>
      <c r="AD37" s="435"/>
      <c r="AE37" s="435"/>
      <c r="AF37" s="435"/>
      <c r="AG37" s="435"/>
      <c r="AH37" s="435"/>
      <c r="AI37" s="435"/>
      <c r="AJ37" s="461"/>
      <c r="AK37" s="438"/>
      <c r="AL37" s="433"/>
      <c r="AM37" s="498"/>
      <c r="AN37" s="438"/>
      <c r="AO37" s="464"/>
      <c r="AP37" s="188" t="s">
        <v>60</v>
      </c>
      <c r="AQ37" s="200">
        <v>32004292</v>
      </c>
      <c r="AR37" s="201">
        <v>1</v>
      </c>
      <c r="AS37" s="191">
        <f t="shared" si="0"/>
        <v>32004292</v>
      </c>
      <c r="AT37" s="192">
        <f t="shared" si="4"/>
        <v>32004292</v>
      </c>
      <c r="AU37" s="193">
        <f t="shared" si="2"/>
        <v>0</v>
      </c>
      <c r="AV37" s="194">
        <f>+AQ37</f>
        <v>32004292</v>
      </c>
      <c r="AW37" s="195">
        <f>+((AQ37/218458917)*124345800)</f>
        <v>18216694.227105413</v>
      </c>
      <c r="AX37" s="196">
        <v>0</v>
      </c>
      <c r="AY37" s="194">
        <f>+AQ37</f>
        <v>32004292</v>
      </c>
      <c r="AZ37" s="195">
        <f>+((AQ37/218458917)*149936200)</f>
        <v>21965694.932793245</v>
      </c>
      <c r="BA37" s="196">
        <f>+((AQ37/218458917)*149936200)</f>
        <v>21965694.932793245</v>
      </c>
      <c r="BB37" s="194">
        <v>32004292</v>
      </c>
      <c r="BC37" s="195">
        <f>+((AQ37/218458917)*149936200)</f>
        <v>21965694.932793245</v>
      </c>
      <c r="BD37" s="196">
        <f>+((AQ37/218458917)*149936200)</f>
        <v>21965694.932793245</v>
      </c>
      <c r="BE37" s="194">
        <f>+BB37</f>
        <v>32004292</v>
      </c>
      <c r="BF37" s="195">
        <f>+((AQ37/218458917)*218458917)</f>
        <v>32004292</v>
      </c>
      <c r="BG37" s="196">
        <f>+((AQ37/218458917)*218458917)</f>
        <v>32004292</v>
      </c>
      <c r="BH37" s="197" t="s">
        <v>57</v>
      </c>
      <c r="BI37" s="187">
        <f t="shared" si="3"/>
        <v>-1</v>
      </c>
      <c r="BJ37" s="187"/>
    </row>
    <row r="38" spans="1:62" ht="89.25" customHeight="1" x14ac:dyDescent="0.25">
      <c r="A38" s="568"/>
      <c r="B38" s="568"/>
      <c r="C38" s="429"/>
      <c r="D38" s="452"/>
      <c r="E38" s="454"/>
      <c r="F38" s="454"/>
      <c r="G38" s="455"/>
      <c r="H38" s="455"/>
      <c r="I38" s="429"/>
      <c r="J38" s="431"/>
      <c r="K38" s="429"/>
      <c r="L38" s="499"/>
      <c r="M38" s="483"/>
      <c r="N38" s="483"/>
      <c r="O38" s="451"/>
      <c r="P38" s="469"/>
      <c r="Q38" s="439"/>
      <c r="R38" s="439"/>
      <c r="S38" s="439"/>
      <c r="T38" s="439"/>
      <c r="U38" s="439"/>
      <c r="V38" s="497"/>
      <c r="W38" s="497"/>
      <c r="X38" s="497"/>
      <c r="Y38" s="436"/>
      <c r="Z38" s="436"/>
      <c r="AA38" s="436"/>
      <c r="AB38" s="436"/>
      <c r="AC38" s="436"/>
      <c r="AD38" s="436"/>
      <c r="AE38" s="436"/>
      <c r="AF38" s="436"/>
      <c r="AG38" s="436"/>
      <c r="AH38" s="436"/>
      <c r="AI38" s="436"/>
      <c r="AJ38" s="462"/>
      <c r="AK38" s="439"/>
      <c r="AL38" s="433"/>
      <c r="AM38" s="498"/>
      <c r="AN38" s="439"/>
      <c r="AO38" s="465"/>
      <c r="AP38" s="188" t="s">
        <v>187</v>
      </c>
      <c r="AQ38" s="200">
        <v>1494000000</v>
      </c>
      <c r="AR38" s="201">
        <v>1</v>
      </c>
      <c r="AS38" s="191">
        <f t="shared" si="0"/>
        <v>1494000000</v>
      </c>
      <c r="AT38" s="192">
        <f t="shared" si="4"/>
        <v>1494000000</v>
      </c>
      <c r="AU38" s="193">
        <f t="shared" si="2"/>
        <v>0</v>
      </c>
      <c r="AV38" s="194">
        <v>0</v>
      </c>
      <c r="AW38" s="195">
        <v>0</v>
      </c>
      <c r="AX38" s="196">
        <v>0</v>
      </c>
      <c r="AY38" s="194">
        <v>0</v>
      </c>
      <c r="AZ38" s="195">
        <v>0</v>
      </c>
      <c r="BA38" s="196">
        <v>0</v>
      </c>
      <c r="BB38" s="194">
        <v>1494000000</v>
      </c>
      <c r="BC38" s="195">
        <f>+BD38</f>
        <v>1494000000</v>
      </c>
      <c r="BD38" s="196">
        <f>+((AQ38/1813487101)*1813487101)</f>
        <v>1494000000</v>
      </c>
      <c r="BE38" s="194">
        <f>+BB38</f>
        <v>1494000000</v>
      </c>
      <c r="BF38" s="195">
        <f>+BG38</f>
        <v>174720000</v>
      </c>
      <c r="BG38" s="196">
        <f>+((AQ49/1813487101)*1813487101)</f>
        <v>174720000</v>
      </c>
      <c r="BH38" s="197" t="s">
        <v>57</v>
      </c>
      <c r="BI38" s="187">
        <f t="shared" si="3"/>
        <v>-0.11694779116465863</v>
      </c>
      <c r="BJ38" s="187"/>
    </row>
    <row r="39" spans="1:62" ht="63.75" x14ac:dyDescent="0.25">
      <c r="A39" s="568"/>
      <c r="B39" s="568"/>
      <c r="C39" s="429"/>
      <c r="D39" s="452" t="s">
        <v>93</v>
      </c>
      <c r="E39" s="500">
        <v>12</v>
      </c>
      <c r="F39" s="500">
        <v>20</v>
      </c>
      <c r="G39" s="501">
        <v>1</v>
      </c>
      <c r="H39" s="501">
        <v>1</v>
      </c>
      <c r="I39" s="429"/>
      <c r="J39" s="431"/>
      <c r="K39" s="429"/>
      <c r="L39" s="223" t="s">
        <v>94</v>
      </c>
      <c r="M39" s="230">
        <v>44665</v>
      </c>
      <c r="N39" s="224">
        <v>44926</v>
      </c>
      <c r="O39" s="207">
        <f>+(N39-M39)+1</f>
        <v>262</v>
      </c>
      <c r="P39" s="218">
        <v>1</v>
      </c>
      <c r="Q39" s="225">
        <v>7.0000000000000001E-3</v>
      </c>
      <c r="R39" s="225">
        <v>1</v>
      </c>
      <c r="S39" s="225" t="s">
        <v>300</v>
      </c>
      <c r="T39" s="225"/>
      <c r="U39" s="225"/>
      <c r="V39" s="226" t="s">
        <v>94</v>
      </c>
      <c r="W39" s="226" t="s">
        <v>94</v>
      </c>
      <c r="X39" s="226"/>
      <c r="Y39" s="227" t="s">
        <v>300</v>
      </c>
      <c r="Z39" s="227"/>
      <c r="AA39" s="227"/>
      <c r="AB39" s="227" t="s">
        <v>300</v>
      </c>
      <c r="AC39" s="227"/>
      <c r="AD39" s="227"/>
      <c r="AE39" s="227" t="s">
        <v>300</v>
      </c>
      <c r="AF39" s="227"/>
      <c r="AG39" s="227"/>
      <c r="AH39" s="227" t="s">
        <v>300</v>
      </c>
      <c r="AI39" s="227"/>
      <c r="AJ39" s="228"/>
      <c r="AK39" s="225">
        <v>1</v>
      </c>
      <c r="AL39" s="433"/>
      <c r="AM39" s="480">
        <v>1</v>
      </c>
      <c r="AN39" s="225">
        <f>+R39-Q39</f>
        <v>0.99299999999999999</v>
      </c>
      <c r="AO39" s="229" t="str">
        <f>+AO36</f>
        <v>FORTALECIMIENTO LOGÍSTICO PARA LA SEGURIDAD, CONVIVENCIA, JUSTICIA Y SOCORRO EN  CARTAGENA DE INDIAS</v>
      </c>
      <c r="AP39" s="188" t="s">
        <v>53</v>
      </c>
      <c r="AQ39" s="200">
        <v>31446888</v>
      </c>
      <c r="AR39" s="201">
        <v>0.98569015795776038</v>
      </c>
      <c r="AS39" s="191">
        <f t="shared" si="0"/>
        <v>31446888</v>
      </c>
      <c r="AT39" s="192">
        <f t="shared" si="4"/>
        <v>31446888</v>
      </c>
      <c r="AU39" s="193">
        <f t="shared" si="2"/>
        <v>0</v>
      </c>
      <c r="AV39" s="194">
        <f>+AQ39</f>
        <v>31446888</v>
      </c>
      <c r="AW39" s="195">
        <v>0</v>
      </c>
      <c r="AX39" s="196">
        <v>0</v>
      </c>
      <c r="AY39" s="194">
        <v>31446888</v>
      </c>
      <c r="AZ39" s="195">
        <v>19788795.496889777</v>
      </c>
      <c r="BA39" s="196">
        <f>+((AQ39/672057018)*422909856.5)</f>
        <v>19788795.496889777</v>
      </c>
      <c r="BB39" s="194">
        <v>31446888</v>
      </c>
      <c r="BC39" s="195">
        <v>19788795.496889777</v>
      </c>
      <c r="BD39" s="196">
        <v>19788795.496889777</v>
      </c>
      <c r="BE39" s="194">
        <v>31446888</v>
      </c>
      <c r="BF39" s="195">
        <v>24198905.239304826</v>
      </c>
      <c r="BG39" s="196">
        <f>+((AQ39/672057018)*517159093.58)</f>
        <v>24198905.239304826</v>
      </c>
      <c r="BH39" s="197" t="s">
        <v>57</v>
      </c>
      <c r="BI39" s="187">
        <f t="shared" si="3"/>
        <v>-0.76951669237683629</v>
      </c>
      <c r="BJ39" s="187"/>
    </row>
    <row r="40" spans="1:62" ht="75" x14ac:dyDescent="0.25">
      <c r="A40" s="568"/>
      <c r="B40" s="568"/>
      <c r="C40" s="429"/>
      <c r="D40" s="452"/>
      <c r="E40" s="500"/>
      <c r="F40" s="500"/>
      <c r="G40" s="501"/>
      <c r="H40" s="501"/>
      <c r="I40" s="429"/>
      <c r="J40" s="431"/>
      <c r="K40" s="429"/>
      <c r="L40" s="205" t="s">
        <v>193</v>
      </c>
      <c r="M40" s="224">
        <v>44562</v>
      </c>
      <c r="N40" s="224">
        <v>44926</v>
      </c>
      <c r="O40" s="207">
        <f t="shared" ref="O40:O41" si="6">+(N40-M40)+1</f>
        <v>365</v>
      </c>
      <c r="P40" s="218">
        <v>21</v>
      </c>
      <c r="Q40" s="225">
        <v>5.1999999999999998E-2</v>
      </c>
      <c r="R40" s="225">
        <v>1</v>
      </c>
      <c r="S40" s="225" t="s">
        <v>300</v>
      </c>
      <c r="T40" s="225"/>
      <c r="U40" s="225"/>
      <c r="V40" s="210" t="s">
        <v>193</v>
      </c>
      <c r="W40" s="210" t="s">
        <v>193</v>
      </c>
      <c r="X40" s="210"/>
      <c r="Y40" s="227" t="s">
        <v>300</v>
      </c>
      <c r="Z40" s="227"/>
      <c r="AA40" s="227"/>
      <c r="AB40" s="227" t="s">
        <v>300</v>
      </c>
      <c r="AC40" s="227"/>
      <c r="AD40" s="227"/>
      <c r="AE40" s="227" t="s">
        <v>300</v>
      </c>
      <c r="AF40" s="227"/>
      <c r="AG40" s="227"/>
      <c r="AH40" s="227" t="s">
        <v>300</v>
      </c>
      <c r="AI40" s="227"/>
      <c r="AJ40" s="228"/>
      <c r="AK40" s="225">
        <v>1</v>
      </c>
      <c r="AL40" s="433"/>
      <c r="AM40" s="498"/>
      <c r="AN40" s="225">
        <f>+R40-Q40</f>
        <v>0.94799999999999995</v>
      </c>
      <c r="AO40" s="229" t="str">
        <f>+AO39</f>
        <v>FORTALECIMIENTO LOGÍSTICO PARA LA SEGURIDAD, CONVIVENCIA, JUSTICIA Y SOCORRO EN  CARTAGENA DE INDIAS</v>
      </c>
      <c r="AP40" s="188" t="s">
        <v>187</v>
      </c>
      <c r="AQ40" s="200">
        <v>242293772</v>
      </c>
      <c r="AR40" s="201">
        <v>1</v>
      </c>
      <c r="AS40" s="191">
        <f t="shared" si="0"/>
        <v>242293772</v>
      </c>
      <c r="AT40" s="192">
        <f t="shared" si="4"/>
        <v>242293772</v>
      </c>
      <c r="AU40" s="193">
        <f t="shared" si="2"/>
        <v>0</v>
      </c>
      <c r="AV40" s="194">
        <v>0</v>
      </c>
      <c r="AW40" s="195">
        <v>0</v>
      </c>
      <c r="AX40" s="196">
        <v>0</v>
      </c>
      <c r="AY40" s="194">
        <v>0</v>
      </c>
      <c r="AZ40" s="195">
        <v>0</v>
      </c>
      <c r="BA40" s="196">
        <v>0</v>
      </c>
      <c r="BB40" s="194">
        <v>242293772</v>
      </c>
      <c r="BC40" s="195">
        <f>+BD40</f>
        <v>242293772.00000003</v>
      </c>
      <c r="BD40" s="196">
        <f>+((AQ40/1813487101)*1813487101)</f>
        <v>242293772.00000003</v>
      </c>
      <c r="BE40" s="194">
        <f>+BB40</f>
        <v>242293772</v>
      </c>
      <c r="BF40" s="195">
        <f>+BG40</f>
        <v>61993476.879999995</v>
      </c>
      <c r="BG40" s="196">
        <f>+((AQ51/1813487101)*1813487101)</f>
        <v>61993476.879999995</v>
      </c>
      <c r="BH40" s="197" t="s">
        <v>57</v>
      </c>
      <c r="BI40" s="187">
        <f t="shared" si="3"/>
        <v>-0.25586079397864175</v>
      </c>
      <c r="BJ40" s="187"/>
    </row>
    <row r="41" spans="1:62" ht="45" x14ac:dyDescent="0.25">
      <c r="A41" s="568"/>
      <c r="B41" s="568"/>
      <c r="C41" s="429"/>
      <c r="D41" s="452"/>
      <c r="E41" s="500"/>
      <c r="F41" s="500"/>
      <c r="G41" s="501"/>
      <c r="H41" s="501"/>
      <c r="I41" s="429"/>
      <c r="J41" s="431"/>
      <c r="K41" s="429"/>
      <c r="L41" s="499" t="s">
        <v>194</v>
      </c>
      <c r="M41" s="481">
        <v>44830</v>
      </c>
      <c r="N41" s="481">
        <v>44926</v>
      </c>
      <c r="O41" s="449">
        <f t="shared" si="6"/>
        <v>97</v>
      </c>
      <c r="P41" s="467">
        <v>1</v>
      </c>
      <c r="Q41" s="437">
        <v>3.7999999999999999E-2</v>
      </c>
      <c r="R41" s="437">
        <v>1</v>
      </c>
      <c r="S41" s="437" t="s">
        <v>300</v>
      </c>
      <c r="T41" s="437"/>
      <c r="U41" s="437"/>
      <c r="V41" s="497" t="s">
        <v>194</v>
      </c>
      <c r="W41" s="497" t="s">
        <v>194</v>
      </c>
      <c r="X41" s="497"/>
      <c r="Y41" s="434" t="s">
        <v>300</v>
      </c>
      <c r="Z41" s="434"/>
      <c r="AA41" s="434"/>
      <c r="AB41" s="434" t="s">
        <v>300</v>
      </c>
      <c r="AC41" s="434"/>
      <c r="AD41" s="434"/>
      <c r="AE41" s="434" t="s">
        <v>300</v>
      </c>
      <c r="AF41" s="434"/>
      <c r="AG41" s="434"/>
      <c r="AH41" s="434" t="s">
        <v>300</v>
      </c>
      <c r="AI41" s="434"/>
      <c r="AJ41" s="460"/>
      <c r="AK41" s="437">
        <v>1</v>
      </c>
      <c r="AL41" s="433"/>
      <c r="AM41" s="498"/>
      <c r="AN41" s="437">
        <f>+R41-Q41</f>
        <v>0.96199999999999997</v>
      </c>
      <c r="AO41" s="463" t="str">
        <f>+AO40</f>
        <v>FORTALECIMIENTO LOGÍSTICO PARA LA SEGURIDAD, CONVIVENCIA, JUSTICIA Y SOCORRO EN  CARTAGENA DE INDIAS</v>
      </c>
      <c r="AP41" s="188" t="s">
        <v>60</v>
      </c>
      <c r="AQ41" s="200">
        <v>110000000</v>
      </c>
      <c r="AR41" s="201">
        <v>1</v>
      </c>
      <c r="AS41" s="191">
        <f t="shared" si="0"/>
        <v>110000000</v>
      </c>
      <c r="AT41" s="192">
        <f t="shared" si="4"/>
        <v>110000000</v>
      </c>
      <c r="AU41" s="193">
        <f t="shared" si="2"/>
        <v>0</v>
      </c>
      <c r="AV41" s="194">
        <f>+AQ41</f>
        <v>110000000</v>
      </c>
      <c r="AW41" s="195">
        <f>+((AQ41/218458917)*124345800)</f>
        <v>62611488.639761031</v>
      </c>
      <c r="AX41" s="196">
        <v>0</v>
      </c>
      <c r="AY41" s="194">
        <f>+AV41</f>
        <v>110000000</v>
      </c>
      <c r="AZ41" s="195">
        <f>+((AQ41/218458917)*149936200)</f>
        <v>75496950.303017378</v>
      </c>
      <c r="BA41" s="196">
        <f>+((AQ41/218458917)*149936200)</f>
        <v>75496950.303017378</v>
      </c>
      <c r="BB41" s="194">
        <v>110000000</v>
      </c>
      <c r="BC41" s="195">
        <f>+((AQ41/218458917)*149936200)</f>
        <v>75496950.303017378</v>
      </c>
      <c r="BD41" s="196">
        <f>+((AQ41/218458917)*149936200)</f>
        <v>75496950.303017378</v>
      </c>
      <c r="BE41" s="194">
        <f>+BB41</f>
        <v>110000000</v>
      </c>
      <c r="BF41" s="195">
        <f>+((AQ41/218458917)*218458917)</f>
        <v>109999999.99999999</v>
      </c>
      <c r="BG41" s="196">
        <f>+((AQ41/218458917)*218458917)</f>
        <v>109999999.99999999</v>
      </c>
      <c r="BH41" s="197" t="s">
        <v>57</v>
      </c>
      <c r="BI41" s="187">
        <f t="shared" si="3"/>
        <v>-0.99999999999999989</v>
      </c>
      <c r="BJ41" s="187"/>
    </row>
    <row r="42" spans="1:62" ht="33.75" customHeight="1" x14ac:dyDescent="0.25">
      <c r="A42" s="568"/>
      <c r="B42" s="568"/>
      <c r="C42" s="429"/>
      <c r="D42" s="452"/>
      <c r="E42" s="500"/>
      <c r="F42" s="500"/>
      <c r="G42" s="501"/>
      <c r="H42" s="501"/>
      <c r="I42" s="429"/>
      <c r="J42" s="431"/>
      <c r="K42" s="429"/>
      <c r="L42" s="473"/>
      <c r="M42" s="482"/>
      <c r="N42" s="482"/>
      <c r="O42" s="450"/>
      <c r="P42" s="468"/>
      <c r="Q42" s="438"/>
      <c r="R42" s="438"/>
      <c r="S42" s="438"/>
      <c r="T42" s="438"/>
      <c r="U42" s="438"/>
      <c r="V42" s="466"/>
      <c r="W42" s="466"/>
      <c r="X42" s="466"/>
      <c r="Y42" s="435"/>
      <c r="Z42" s="435"/>
      <c r="AA42" s="435"/>
      <c r="AB42" s="435"/>
      <c r="AC42" s="435"/>
      <c r="AD42" s="435"/>
      <c r="AE42" s="435"/>
      <c r="AF42" s="435"/>
      <c r="AG42" s="435"/>
      <c r="AH42" s="435"/>
      <c r="AI42" s="435"/>
      <c r="AJ42" s="461"/>
      <c r="AK42" s="438"/>
      <c r="AL42" s="433"/>
      <c r="AM42" s="498"/>
      <c r="AN42" s="438"/>
      <c r="AO42" s="464"/>
      <c r="AP42" s="188" t="s">
        <v>53</v>
      </c>
      <c r="AQ42" s="200">
        <v>5056101</v>
      </c>
      <c r="AR42" s="201">
        <v>0</v>
      </c>
      <c r="AS42" s="191">
        <f t="shared" si="0"/>
        <v>5056101</v>
      </c>
      <c r="AT42" s="192">
        <f t="shared" si="4"/>
        <v>5056101</v>
      </c>
      <c r="AU42" s="193">
        <f t="shared" si="2"/>
        <v>0</v>
      </c>
      <c r="AV42" s="194">
        <f>+AQ42</f>
        <v>5056101</v>
      </c>
      <c r="AW42" s="195">
        <v>0</v>
      </c>
      <c r="AX42" s="196">
        <v>0</v>
      </c>
      <c r="AY42" s="194">
        <v>5056101</v>
      </c>
      <c r="AZ42" s="195">
        <v>3181686.807948052</v>
      </c>
      <c r="BA42" s="196">
        <f>+((AQ42/672057018)*422909856.5)</f>
        <v>3181686.807948052</v>
      </c>
      <c r="BB42" s="194">
        <v>5056101</v>
      </c>
      <c r="BC42" s="195">
        <v>3181686.807948052</v>
      </c>
      <c r="BD42" s="196">
        <v>3181686.807948052</v>
      </c>
      <c r="BE42" s="194">
        <v>5056101</v>
      </c>
      <c r="BF42" s="195">
        <v>3890754.1178432144</v>
      </c>
      <c r="BG42" s="196">
        <f>+((AQ42/672057018)*517159093.58)</f>
        <v>3890754.1178432144</v>
      </c>
      <c r="BH42" s="197" t="s">
        <v>57</v>
      </c>
      <c r="BI42" s="187">
        <f t="shared" si="3"/>
        <v>-0.76951669237683629</v>
      </c>
      <c r="BJ42" s="187"/>
    </row>
    <row r="43" spans="1:62" ht="75" x14ac:dyDescent="0.25">
      <c r="A43" s="568"/>
      <c r="B43" s="568"/>
      <c r="C43" s="429"/>
      <c r="D43" s="452"/>
      <c r="E43" s="500"/>
      <c r="F43" s="500"/>
      <c r="G43" s="501"/>
      <c r="H43" s="501"/>
      <c r="I43" s="429"/>
      <c r="J43" s="431"/>
      <c r="K43" s="429"/>
      <c r="L43" s="473"/>
      <c r="M43" s="483"/>
      <c r="N43" s="483"/>
      <c r="O43" s="451"/>
      <c r="P43" s="469"/>
      <c r="Q43" s="439"/>
      <c r="R43" s="439"/>
      <c r="S43" s="439"/>
      <c r="T43" s="439"/>
      <c r="U43" s="439"/>
      <c r="V43" s="466"/>
      <c r="W43" s="466"/>
      <c r="X43" s="466"/>
      <c r="Y43" s="436"/>
      <c r="Z43" s="436"/>
      <c r="AA43" s="436"/>
      <c r="AB43" s="436"/>
      <c r="AC43" s="436"/>
      <c r="AD43" s="436"/>
      <c r="AE43" s="436"/>
      <c r="AF43" s="436"/>
      <c r="AG43" s="436"/>
      <c r="AH43" s="436"/>
      <c r="AI43" s="436"/>
      <c r="AJ43" s="462"/>
      <c r="AK43" s="439"/>
      <c r="AL43" s="433"/>
      <c r="AM43" s="498"/>
      <c r="AN43" s="439"/>
      <c r="AO43" s="465"/>
      <c r="AP43" s="188" t="s">
        <v>187</v>
      </c>
      <c r="AQ43" s="200">
        <v>60750573</v>
      </c>
      <c r="AR43" s="201">
        <v>0.9236410659040204</v>
      </c>
      <c r="AS43" s="191">
        <f t="shared" si="0"/>
        <v>60750573</v>
      </c>
      <c r="AT43" s="192">
        <f t="shared" si="4"/>
        <v>60750573</v>
      </c>
      <c r="AU43" s="193">
        <f t="shared" si="2"/>
        <v>0</v>
      </c>
      <c r="AV43" s="194">
        <v>0</v>
      </c>
      <c r="AW43" s="195">
        <v>0</v>
      </c>
      <c r="AX43" s="196">
        <v>0</v>
      </c>
      <c r="AY43" s="194">
        <v>0</v>
      </c>
      <c r="AZ43" s="195">
        <v>0</v>
      </c>
      <c r="BA43" s="196">
        <v>0</v>
      </c>
      <c r="BB43" s="194">
        <v>60750573</v>
      </c>
      <c r="BC43" s="195">
        <f>+BD43</f>
        <v>60750573</v>
      </c>
      <c r="BD43" s="196">
        <f>+((AQ43/1813487101)*1813487101)</f>
        <v>60750573</v>
      </c>
      <c r="BE43" s="194">
        <f>+BB43</f>
        <v>60750573</v>
      </c>
      <c r="BF43" s="195">
        <f>+BG43</f>
        <v>13602141</v>
      </c>
      <c r="BG43" s="196">
        <f>+((AQ54/1813487101)*1813487101)</f>
        <v>13602141</v>
      </c>
      <c r="BH43" s="197" t="s">
        <v>57</v>
      </c>
      <c r="BI43" s="187">
        <f t="shared" si="3"/>
        <v>-0.2239014436950249</v>
      </c>
      <c r="BJ43" s="187"/>
    </row>
    <row r="44" spans="1:62" ht="30" x14ac:dyDescent="0.25">
      <c r="A44" s="568"/>
      <c r="B44" s="568"/>
      <c r="C44" s="429"/>
      <c r="D44" s="453"/>
      <c r="E44" s="429"/>
      <c r="F44" s="429"/>
      <c r="G44" s="456"/>
      <c r="H44" s="456"/>
      <c r="I44" s="429"/>
      <c r="J44" s="431"/>
      <c r="K44" s="429"/>
      <c r="L44" s="473" t="s">
        <v>96</v>
      </c>
      <c r="M44" s="474">
        <v>44680</v>
      </c>
      <c r="N44" s="474">
        <v>44926</v>
      </c>
      <c r="O44" s="449">
        <f>+(N44-M44)+1</f>
        <v>247</v>
      </c>
      <c r="P44" s="472">
        <v>12</v>
      </c>
      <c r="Q44" s="493">
        <v>0.14199999999999999</v>
      </c>
      <c r="R44" s="493">
        <v>1</v>
      </c>
      <c r="S44" s="493" t="s">
        <v>300</v>
      </c>
      <c r="T44" s="493"/>
      <c r="U44" s="493"/>
      <c r="V44" s="466" t="s">
        <v>96</v>
      </c>
      <c r="W44" s="466" t="s">
        <v>96</v>
      </c>
      <c r="X44" s="466"/>
      <c r="Y44" s="489" t="s">
        <v>300</v>
      </c>
      <c r="Z44" s="489"/>
      <c r="AA44" s="489"/>
      <c r="AB44" s="489" t="s">
        <v>300</v>
      </c>
      <c r="AC44" s="489"/>
      <c r="AD44" s="489"/>
      <c r="AE44" s="489" t="s">
        <v>300</v>
      </c>
      <c r="AF44" s="489"/>
      <c r="AG44" s="489"/>
      <c r="AH44" s="489" t="s">
        <v>300</v>
      </c>
      <c r="AI44" s="489"/>
      <c r="AJ44" s="491"/>
      <c r="AK44" s="493">
        <v>1</v>
      </c>
      <c r="AL44" s="433"/>
      <c r="AM44" s="472"/>
      <c r="AN44" s="493">
        <f>+R44-Q44</f>
        <v>0.85799999999999998</v>
      </c>
      <c r="AO44" s="484" t="str">
        <f>+AO41</f>
        <v>FORTALECIMIENTO LOGÍSTICO PARA LA SEGURIDAD, CONVIVENCIA, JUSTICIA Y SOCORRO EN  CARTAGENA DE INDIAS</v>
      </c>
      <c r="AP44" s="188" t="s">
        <v>53</v>
      </c>
      <c r="AQ44" s="200">
        <v>164027134</v>
      </c>
      <c r="AR44" s="201">
        <v>1</v>
      </c>
      <c r="AS44" s="191">
        <f t="shared" si="0"/>
        <v>164027134</v>
      </c>
      <c r="AT44" s="192">
        <f t="shared" si="4"/>
        <v>164027134</v>
      </c>
      <c r="AU44" s="193">
        <f t="shared" si="2"/>
        <v>0</v>
      </c>
      <c r="AV44" s="194">
        <f>+AQ44</f>
        <v>164027134</v>
      </c>
      <c r="AW44" s="195">
        <v>0</v>
      </c>
      <c r="AX44" s="196">
        <v>0</v>
      </c>
      <c r="AY44" s="194">
        <v>164027134</v>
      </c>
      <c r="AZ44" s="195">
        <v>103218461.89253882</v>
      </c>
      <c r="BA44" s="196">
        <f>+((AQ44/672057018)*422909856.5)</f>
        <v>103218461.89253882</v>
      </c>
      <c r="BB44" s="194">
        <v>164027134</v>
      </c>
      <c r="BC44" s="195">
        <v>103218461.89253882</v>
      </c>
      <c r="BD44" s="196">
        <v>103218461.89253882</v>
      </c>
      <c r="BE44" s="194">
        <v>164027134</v>
      </c>
      <c r="BF44" s="195">
        <v>126221617.61573212</v>
      </c>
      <c r="BG44" s="196">
        <f>+((AQ44/672057018)*517159093.58)</f>
        <v>126221617.61573212</v>
      </c>
      <c r="BH44" s="197" t="s">
        <v>57</v>
      </c>
      <c r="BI44" s="187">
        <f t="shared" si="3"/>
        <v>-0.7695166923768364</v>
      </c>
      <c r="BJ44" s="187"/>
    </row>
    <row r="45" spans="1:62" ht="76.5" customHeight="1" x14ac:dyDescent="0.25">
      <c r="A45" s="568"/>
      <c r="B45" s="568"/>
      <c r="C45" s="429"/>
      <c r="D45" s="453"/>
      <c r="E45" s="429"/>
      <c r="F45" s="429"/>
      <c r="G45" s="456"/>
      <c r="H45" s="456"/>
      <c r="I45" s="429"/>
      <c r="J45" s="431"/>
      <c r="K45" s="429"/>
      <c r="L45" s="495"/>
      <c r="M45" s="476"/>
      <c r="N45" s="476"/>
      <c r="O45" s="451"/>
      <c r="P45" s="496"/>
      <c r="Q45" s="494"/>
      <c r="R45" s="494"/>
      <c r="S45" s="494"/>
      <c r="T45" s="494"/>
      <c r="U45" s="494"/>
      <c r="V45" s="495"/>
      <c r="W45" s="495"/>
      <c r="X45" s="495"/>
      <c r="Y45" s="490"/>
      <c r="Z45" s="490"/>
      <c r="AA45" s="490"/>
      <c r="AB45" s="490"/>
      <c r="AC45" s="490"/>
      <c r="AD45" s="490"/>
      <c r="AE45" s="490"/>
      <c r="AF45" s="490"/>
      <c r="AG45" s="490"/>
      <c r="AH45" s="490"/>
      <c r="AI45" s="490"/>
      <c r="AJ45" s="492"/>
      <c r="AK45" s="494"/>
      <c r="AL45" s="433"/>
      <c r="AM45" s="472"/>
      <c r="AN45" s="494"/>
      <c r="AO45" s="485"/>
      <c r="AP45" s="188" t="s">
        <v>66</v>
      </c>
      <c r="AQ45" s="200">
        <v>500000000</v>
      </c>
      <c r="AR45" s="201">
        <v>0.96650941000000001</v>
      </c>
      <c r="AS45" s="191">
        <f t="shared" si="0"/>
        <v>500000000</v>
      </c>
      <c r="AT45" s="192">
        <f t="shared" si="4"/>
        <v>500000000</v>
      </c>
      <c r="AU45" s="193">
        <f t="shared" si="2"/>
        <v>0</v>
      </c>
      <c r="AV45" s="194">
        <v>500000000</v>
      </c>
      <c r="AW45" s="195">
        <v>0</v>
      </c>
      <c r="AX45" s="196">
        <v>0</v>
      </c>
      <c r="AY45" s="194">
        <f>+AV45</f>
        <v>500000000</v>
      </c>
      <c r="AZ45" s="195">
        <f>+((AS45/767651)*415239756.05)</f>
        <v>270461287779.21219</v>
      </c>
      <c r="BA45" s="196">
        <f>+AZ45</f>
        <v>270461287779.21219</v>
      </c>
      <c r="BB45" s="194">
        <v>500000000</v>
      </c>
      <c r="BC45" s="195">
        <f>+((AS45/767651)*415239756.05)</f>
        <v>270461287779.21219</v>
      </c>
      <c r="BD45" s="196">
        <f>+BC45</f>
        <v>270461287779.21219</v>
      </c>
      <c r="BE45" s="194">
        <f>+BB45</f>
        <v>500000000</v>
      </c>
      <c r="BF45" s="195">
        <v>500000000</v>
      </c>
      <c r="BG45" s="196">
        <v>500000000</v>
      </c>
      <c r="BH45" s="197" t="s">
        <v>57</v>
      </c>
      <c r="BI45" s="187">
        <f t="shared" si="3"/>
        <v>-1</v>
      </c>
      <c r="BJ45" s="187"/>
    </row>
    <row r="46" spans="1:62" ht="27" customHeight="1" x14ac:dyDescent="0.25">
      <c r="A46" s="568"/>
      <c r="B46" s="568"/>
      <c r="C46" s="428" t="s">
        <v>102</v>
      </c>
      <c r="D46" s="470" t="s">
        <v>104</v>
      </c>
      <c r="E46" s="454">
        <v>4</v>
      </c>
      <c r="F46" s="454">
        <v>5</v>
      </c>
      <c r="G46" s="455">
        <v>1</v>
      </c>
      <c r="H46" s="455">
        <v>1</v>
      </c>
      <c r="I46" s="486" t="s">
        <v>105</v>
      </c>
      <c r="J46" s="487">
        <v>2021130010279</v>
      </c>
      <c r="K46" s="488" t="s">
        <v>106</v>
      </c>
      <c r="L46" s="473" t="s">
        <v>107</v>
      </c>
      <c r="M46" s="481">
        <v>44820</v>
      </c>
      <c r="N46" s="481">
        <v>44926</v>
      </c>
      <c r="O46" s="449">
        <f>+(N46-M46)+1</f>
        <v>107</v>
      </c>
      <c r="P46" s="467">
        <v>4</v>
      </c>
      <c r="Q46" s="437">
        <v>0.26419664429334899</v>
      </c>
      <c r="R46" s="437">
        <v>0.5</v>
      </c>
      <c r="S46" s="437" t="s">
        <v>300</v>
      </c>
      <c r="T46" s="437"/>
      <c r="U46" s="437"/>
      <c r="V46" s="466" t="s">
        <v>107</v>
      </c>
      <c r="W46" s="466" t="s">
        <v>107</v>
      </c>
      <c r="X46" s="466"/>
      <c r="Y46" s="434" t="s">
        <v>300</v>
      </c>
      <c r="Z46" s="434"/>
      <c r="AA46" s="434"/>
      <c r="AB46" s="434" t="s">
        <v>300</v>
      </c>
      <c r="AC46" s="434"/>
      <c r="AD46" s="434"/>
      <c r="AE46" s="434" t="s">
        <v>300</v>
      </c>
      <c r="AF46" s="434"/>
      <c r="AG46" s="434"/>
      <c r="AH46" s="434" t="s">
        <v>300</v>
      </c>
      <c r="AI46" s="434"/>
      <c r="AJ46" s="460"/>
      <c r="AK46" s="437">
        <v>0.5</v>
      </c>
      <c r="AL46" s="477">
        <f>SUMPRODUCT(Q46:Q56,R46:R56)</f>
        <v>0.78638476055151607</v>
      </c>
      <c r="AM46" s="471">
        <v>1</v>
      </c>
      <c r="AN46" s="437">
        <f>+R46-Q46</f>
        <v>0.23580335570665101</v>
      </c>
      <c r="AO46" s="463" t="s">
        <v>105</v>
      </c>
      <c r="AP46" s="188" t="s">
        <v>197</v>
      </c>
      <c r="AQ46" s="200">
        <v>107910030.16</v>
      </c>
      <c r="AR46" s="201">
        <v>0.34364817566093064</v>
      </c>
      <c r="AS46" s="191">
        <f t="shared" si="0"/>
        <v>107910030.16</v>
      </c>
      <c r="AT46" s="192">
        <f t="shared" si="4"/>
        <v>107910030.16</v>
      </c>
      <c r="AU46" s="193">
        <f t="shared" si="2"/>
        <v>0</v>
      </c>
      <c r="AV46" s="231">
        <f>+AQ46</f>
        <v>107910030.16</v>
      </c>
      <c r="AW46" s="232">
        <f>+AV46/4</f>
        <v>26977507.539999999</v>
      </c>
      <c r="AX46" s="233">
        <f>+AW46</f>
        <v>26977507.539999999</v>
      </c>
      <c r="AY46" s="231">
        <f>+AV46</f>
        <v>107910030.16</v>
      </c>
      <c r="AZ46" s="232">
        <f>+AY46*0.5</f>
        <v>53955015.079999998</v>
      </c>
      <c r="BA46" s="233">
        <f>+AZ46</f>
        <v>53955015.079999998</v>
      </c>
      <c r="BB46" s="231">
        <f>+AY46</f>
        <v>107910030.16</v>
      </c>
      <c r="BC46" s="232">
        <f>+BB46*0.75</f>
        <v>80932522.620000005</v>
      </c>
      <c r="BD46" s="233">
        <f>+BC46</f>
        <v>80932522.620000005</v>
      </c>
      <c r="BE46" s="231">
        <f>+BB46</f>
        <v>107910030.16</v>
      </c>
      <c r="BF46" s="232">
        <v>107910030.16</v>
      </c>
      <c r="BG46" s="233">
        <v>107910030.16</v>
      </c>
      <c r="BH46" s="197" t="s">
        <v>57</v>
      </c>
      <c r="BI46" s="187">
        <f t="shared" si="3"/>
        <v>-0.21361523944848393</v>
      </c>
      <c r="BJ46" s="187"/>
    </row>
    <row r="47" spans="1:62" ht="45" x14ac:dyDescent="0.25">
      <c r="A47" s="568"/>
      <c r="B47" s="568"/>
      <c r="C47" s="428"/>
      <c r="D47" s="470"/>
      <c r="E47" s="454"/>
      <c r="F47" s="454"/>
      <c r="G47" s="455"/>
      <c r="H47" s="455"/>
      <c r="I47" s="486"/>
      <c r="J47" s="487"/>
      <c r="K47" s="488"/>
      <c r="L47" s="473"/>
      <c r="M47" s="482"/>
      <c r="N47" s="482"/>
      <c r="O47" s="450"/>
      <c r="P47" s="468"/>
      <c r="Q47" s="438"/>
      <c r="R47" s="438"/>
      <c r="S47" s="438"/>
      <c r="T47" s="438"/>
      <c r="U47" s="438"/>
      <c r="V47" s="466"/>
      <c r="W47" s="466"/>
      <c r="X47" s="466"/>
      <c r="Y47" s="435"/>
      <c r="Z47" s="435"/>
      <c r="AA47" s="435"/>
      <c r="AB47" s="435"/>
      <c r="AC47" s="435"/>
      <c r="AD47" s="435"/>
      <c r="AE47" s="435"/>
      <c r="AF47" s="435"/>
      <c r="AG47" s="435"/>
      <c r="AH47" s="435"/>
      <c r="AI47" s="435"/>
      <c r="AJ47" s="461"/>
      <c r="AK47" s="438"/>
      <c r="AL47" s="478"/>
      <c r="AM47" s="479"/>
      <c r="AN47" s="438"/>
      <c r="AO47" s="464"/>
      <c r="AP47" s="188" t="s">
        <v>201</v>
      </c>
      <c r="AQ47" s="200">
        <v>6800000</v>
      </c>
      <c r="AR47" s="201">
        <v>1</v>
      </c>
      <c r="AS47" s="191">
        <f t="shared" si="0"/>
        <v>6800000</v>
      </c>
      <c r="AT47" s="192">
        <f t="shared" si="4"/>
        <v>6800000</v>
      </c>
      <c r="AU47" s="193">
        <f t="shared" si="2"/>
        <v>0</v>
      </c>
      <c r="AV47" s="231">
        <v>0</v>
      </c>
      <c r="AW47" s="232">
        <v>0</v>
      </c>
      <c r="AX47" s="233">
        <v>0</v>
      </c>
      <c r="AY47" s="231">
        <v>0</v>
      </c>
      <c r="AZ47" s="232">
        <v>0</v>
      </c>
      <c r="BA47" s="233">
        <v>0</v>
      </c>
      <c r="BB47" s="231">
        <f>+AQ47</f>
        <v>6800000</v>
      </c>
      <c r="BC47" s="232">
        <v>0</v>
      </c>
      <c r="BD47" s="233">
        <v>0</v>
      </c>
      <c r="BE47" s="231">
        <v>6800000</v>
      </c>
      <c r="BF47" s="232">
        <v>6800000</v>
      </c>
      <c r="BG47" s="233">
        <v>6800000</v>
      </c>
      <c r="BH47" s="197" t="s">
        <v>57</v>
      </c>
      <c r="BI47" s="187">
        <f t="shared" si="3"/>
        <v>-1</v>
      </c>
      <c r="BJ47" s="187"/>
    </row>
    <row r="48" spans="1:62" ht="67.5" customHeight="1" x14ac:dyDescent="0.25">
      <c r="A48" s="568"/>
      <c r="B48" s="568"/>
      <c r="C48" s="428"/>
      <c r="D48" s="470"/>
      <c r="E48" s="454"/>
      <c r="F48" s="454"/>
      <c r="G48" s="455"/>
      <c r="H48" s="455"/>
      <c r="I48" s="486"/>
      <c r="J48" s="487"/>
      <c r="K48" s="488"/>
      <c r="L48" s="473"/>
      <c r="M48" s="483"/>
      <c r="N48" s="483"/>
      <c r="O48" s="451"/>
      <c r="P48" s="469"/>
      <c r="Q48" s="439"/>
      <c r="R48" s="439"/>
      <c r="S48" s="439"/>
      <c r="T48" s="439"/>
      <c r="U48" s="439"/>
      <c r="V48" s="466"/>
      <c r="W48" s="466"/>
      <c r="X48" s="466"/>
      <c r="Y48" s="436"/>
      <c r="Z48" s="436"/>
      <c r="AA48" s="436"/>
      <c r="AB48" s="436"/>
      <c r="AC48" s="436"/>
      <c r="AD48" s="436"/>
      <c r="AE48" s="436"/>
      <c r="AF48" s="436"/>
      <c r="AG48" s="436"/>
      <c r="AH48" s="436"/>
      <c r="AI48" s="436"/>
      <c r="AJ48" s="462"/>
      <c r="AK48" s="439"/>
      <c r="AL48" s="478"/>
      <c r="AM48" s="479"/>
      <c r="AN48" s="439"/>
      <c r="AO48" s="465"/>
      <c r="AP48" s="234" t="s">
        <v>202</v>
      </c>
      <c r="AQ48" s="200">
        <v>6800000</v>
      </c>
      <c r="AR48" s="201">
        <v>1</v>
      </c>
      <c r="AS48" s="191">
        <f t="shared" si="0"/>
        <v>6800000</v>
      </c>
      <c r="AT48" s="192">
        <f t="shared" si="4"/>
        <v>6800000</v>
      </c>
      <c r="AU48" s="193">
        <f t="shared" si="2"/>
        <v>0</v>
      </c>
      <c r="AV48" s="231">
        <v>0</v>
      </c>
      <c r="AW48" s="232">
        <v>0</v>
      </c>
      <c r="AX48" s="233">
        <v>0</v>
      </c>
      <c r="AY48" s="231">
        <v>0</v>
      </c>
      <c r="AZ48" s="232">
        <v>0</v>
      </c>
      <c r="BA48" s="233">
        <v>0</v>
      </c>
      <c r="BB48" s="231">
        <f>+AQ48</f>
        <v>6800000</v>
      </c>
      <c r="BC48" s="232">
        <v>6800000</v>
      </c>
      <c r="BD48" s="233">
        <v>6800000</v>
      </c>
      <c r="BE48" s="231">
        <f>+BB48</f>
        <v>6800000</v>
      </c>
      <c r="BF48" s="232">
        <v>6800000</v>
      </c>
      <c r="BG48" s="233">
        <v>6800000</v>
      </c>
      <c r="BH48" s="197" t="s">
        <v>57</v>
      </c>
      <c r="BI48" s="187">
        <f t="shared" si="3"/>
        <v>-1</v>
      </c>
      <c r="BJ48" s="187"/>
    </row>
    <row r="49" spans="1:62" ht="51" x14ac:dyDescent="0.25">
      <c r="A49" s="568"/>
      <c r="B49" s="568"/>
      <c r="C49" s="429"/>
      <c r="D49" s="470" t="s">
        <v>111</v>
      </c>
      <c r="E49" s="454">
        <v>200</v>
      </c>
      <c r="F49" s="454">
        <v>500</v>
      </c>
      <c r="G49" s="455">
        <v>1</v>
      </c>
      <c r="H49" s="455">
        <v>1</v>
      </c>
      <c r="I49" s="429"/>
      <c r="J49" s="431"/>
      <c r="K49" s="429"/>
      <c r="L49" s="223" t="s">
        <v>112</v>
      </c>
      <c r="M49" s="224">
        <v>44844</v>
      </c>
      <c r="N49" s="224">
        <v>44926</v>
      </c>
      <c r="O49" s="207">
        <f>+(N49-M49)+1</f>
        <v>83</v>
      </c>
      <c r="P49" s="218">
        <v>1</v>
      </c>
      <c r="Q49" s="225">
        <v>8.1516917301809169E-2</v>
      </c>
      <c r="R49" s="225">
        <v>0</v>
      </c>
      <c r="S49" s="225" t="s">
        <v>300</v>
      </c>
      <c r="T49" s="225"/>
      <c r="U49" s="225"/>
      <c r="V49" s="226" t="s">
        <v>112</v>
      </c>
      <c r="W49" s="226" t="s">
        <v>112</v>
      </c>
      <c r="X49" s="226"/>
      <c r="Y49" s="227" t="s">
        <v>300</v>
      </c>
      <c r="Z49" s="227"/>
      <c r="AA49" s="227"/>
      <c r="AB49" s="227" t="s">
        <v>300</v>
      </c>
      <c r="AC49" s="227"/>
      <c r="AD49" s="227"/>
      <c r="AE49" s="227" t="s">
        <v>300</v>
      </c>
      <c r="AF49" s="227"/>
      <c r="AG49" s="227"/>
      <c r="AH49" s="227"/>
      <c r="AI49" s="227" t="s">
        <v>300</v>
      </c>
      <c r="AJ49" s="228" t="s">
        <v>337</v>
      </c>
      <c r="AK49" s="225">
        <v>0</v>
      </c>
      <c r="AL49" s="433"/>
      <c r="AM49" s="471">
        <v>1</v>
      </c>
      <c r="AN49" s="225">
        <v>0</v>
      </c>
      <c r="AO49" s="229" t="str">
        <f>+AO46</f>
        <v>IMPLEMENTACIÓN DEL PROGRAMA VIGILANCIA DE LAS PLAYAS DEL DISTRITO DE  CARTAGENA DE INDIAS</v>
      </c>
      <c r="AP49" s="188" t="s">
        <v>197</v>
      </c>
      <c r="AQ49" s="200">
        <v>174720000</v>
      </c>
      <c r="AR49" s="201">
        <v>4.4042439331501829E-2</v>
      </c>
      <c r="AS49" s="191">
        <f t="shared" si="0"/>
        <v>174720000</v>
      </c>
      <c r="AT49" s="192">
        <f t="shared" si="4"/>
        <v>174720000</v>
      </c>
      <c r="AU49" s="193">
        <f t="shared" si="2"/>
        <v>0</v>
      </c>
      <c r="AV49" s="231">
        <f>+AQ49</f>
        <v>174720000</v>
      </c>
      <c r="AW49" s="232">
        <f>+AV49/4</f>
        <v>43680000</v>
      </c>
      <c r="AX49" s="233">
        <f>+AW49</f>
        <v>43680000</v>
      </c>
      <c r="AY49" s="231">
        <f>+AV49</f>
        <v>174720000</v>
      </c>
      <c r="AZ49" s="232">
        <f>+AY49*0.5</f>
        <v>87360000</v>
      </c>
      <c r="BA49" s="233">
        <f>+AZ49</f>
        <v>87360000</v>
      </c>
      <c r="BB49" s="231">
        <f>+AY49</f>
        <v>174720000</v>
      </c>
      <c r="BC49" s="232">
        <f>+BB49*0.75</f>
        <v>131040000</v>
      </c>
      <c r="BD49" s="233">
        <f>+BC49</f>
        <v>131040000</v>
      </c>
      <c r="BE49" s="231">
        <f>+BB49</f>
        <v>174720000</v>
      </c>
      <c r="BF49" s="232">
        <v>174720000</v>
      </c>
      <c r="BG49" s="233">
        <v>174720000</v>
      </c>
      <c r="BH49" s="197" t="s">
        <v>57</v>
      </c>
      <c r="BI49" s="187">
        <f t="shared" si="3"/>
        <v>-1</v>
      </c>
      <c r="BJ49" s="187"/>
    </row>
    <row r="50" spans="1:62" ht="21.75" customHeight="1" x14ac:dyDescent="0.25">
      <c r="A50" s="568"/>
      <c r="B50" s="568"/>
      <c r="C50" s="429"/>
      <c r="D50" s="453"/>
      <c r="E50" s="429"/>
      <c r="F50" s="429"/>
      <c r="G50" s="456"/>
      <c r="H50" s="456"/>
      <c r="I50" s="429"/>
      <c r="J50" s="431"/>
      <c r="K50" s="429"/>
      <c r="L50" s="473" t="s">
        <v>115</v>
      </c>
      <c r="M50" s="474">
        <v>44562</v>
      </c>
      <c r="N50" s="474">
        <v>44926</v>
      </c>
      <c r="O50" s="449">
        <f>+(N50-M50)+1</f>
        <v>365</v>
      </c>
      <c r="P50" s="467">
        <v>26</v>
      </c>
      <c r="Q50" s="437">
        <v>0.49008472505439998</v>
      </c>
      <c r="R50" s="437">
        <v>1</v>
      </c>
      <c r="S50" s="437" t="s">
        <v>300</v>
      </c>
      <c r="T50" s="437"/>
      <c r="U50" s="437"/>
      <c r="V50" s="466" t="s">
        <v>115</v>
      </c>
      <c r="W50" s="466" t="s">
        <v>115</v>
      </c>
      <c r="X50" s="466"/>
      <c r="Y50" s="434" t="s">
        <v>300</v>
      </c>
      <c r="Z50" s="434"/>
      <c r="AA50" s="434"/>
      <c r="AB50" s="434" t="s">
        <v>300</v>
      </c>
      <c r="AC50" s="434"/>
      <c r="AD50" s="434"/>
      <c r="AE50" s="434" t="s">
        <v>300</v>
      </c>
      <c r="AF50" s="434"/>
      <c r="AG50" s="434"/>
      <c r="AH50" s="434" t="s">
        <v>300</v>
      </c>
      <c r="AI50" s="434"/>
      <c r="AJ50" s="460"/>
      <c r="AK50" s="437">
        <v>1</v>
      </c>
      <c r="AL50" s="433"/>
      <c r="AM50" s="472"/>
      <c r="AN50" s="437">
        <f>+R50-Q50</f>
        <v>0.50991527494559996</v>
      </c>
      <c r="AO50" s="463" t="str">
        <f>+AO49</f>
        <v>IMPLEMENTACIÓN DEL PROGRAMA VIGILANCIA DE LAS PLAYAS DEL DISTRITO DE  CARTAGENA DE INDIAS</v>
      </c>
      <c r="AP50" s="188" t="s">
        <v>197</v>
      </c>
      <c r="AQ50" s="200">
        <v>697888296</v>
      </c>
      <c r="AR50" s="201">
        <v>0.79448261588269997</v>
      </c>
      <c r="AS50" s="191">
        <f t="shared" si="0"/>
        <v>697888296</v>
      </c>
      <c r="AT50" s="192">
        <f t="shared" si="4"/>
        <v>697888296</v>
      </c>
      <c r="AU50" s="193">
        <f t="shared" si="2"/>
        <v>0</v>
      </c>
      <c r="AV50" s="231">
        <f>+AQ50</f>
        <v>697888296</v>
      </c>
      <c r="AW50" s="232">
        <f>+AV50/4</f>
        <v>174472074</v>
      </c>
      <c r="AX50" s="233">
        <f>+AW50</f>
        <v>174472074</v>
      </c>
      <c r="AY50" s="231">
        <f>+AV50</f>
        <v>697888296</v>
      </c>
      <c r="AZ50" s="232">
        <f>+AY50*0.5</f>
        <v>348944148</v>
      </c>
      <c r="BA50" s="233">
        <f>+AZ50</f>
        <v>348944148</v>
      </c>
      <c r="BB50" s="231">
        <f>+AY50</f>
        <v>697888296</v>
      </c>
      <c r="BC50" s="232">
        <f>+BB50*0.75</f>
        <v>523416222</v>
      </c>
      <c r="BD50" s="233">
        <f>+BC50</f>
        <v>523416222</v>
      </c>
      <c r="BE50" s="231">
        <f>+BB50</f>
        <v>697888296</v>
      </c>
      <c r="BF50" s="232">
        <v>697888296</v>
      </c>
      <c r="BG50" s="233">
        <v>697888296</v>
      </c>
      <c r="BH50" s="197" t="s">
        <v>57</v>
      </c>
      <c r="BI50" s="187">
        <f t="shared" si="3"/>
        <v>-1</v>
      </c>
      <c r="BJ50" s="187"/>
    </row>
    <row r="51" spans="1:62" ht="45" x14ac:dyDescent="0.25">
      <c r="A51" s="568"/>
      <c r="B51" s="568"/>
      <c r="C51" s="429"/>
      <c r="D51" s="453"/>
      <c r="E51" s="429"/>
      <c r="F51" s="429"/>
      <c r="G51" s="456"/>
      <c r="H51" s="456"/>
      <c r="I51" s="429"/>
      <c r="J51" s="431"/>
      <c r="K51" s="429"/>
      <c r="L51" s="473"/>
      <c r="M51" s="475"/>
      <c r="N51" s="475"/>
      <c r="O51" s="450"/>
      <c r="P51" s="468"/>
      <c r="Q51" s="438"/>
      <c r="R51" s="438"/>
      <c r="S51" s="438"/>
      <c r="T51" s="438"/>
      <c r="U51" s="438"/>
      <c r="V51" s="466"/>
      <c r="W51" s="466"/>
      <c r="X51" s="466"/>
      <c r="Y51" s="435"/>
      <c r="Z51" s="435"/>
      <c r="AA51" s="435"/>
      <c r="AB51" s="435"/>
      <c r="AC51" s="435"/>
      <c r="AD51" s="435"/>
      <c r="AE51" s="435"/>
      <c r="AF51" s="435"/>
      <c r="AG51" s="435"/>
      <c r="AH51" s="435"/>
      <c r="AI51" s="435"/>
      <c r="AJ51" s="461"/>
      <c r="AK51" s="438"/>
      <c r="AL51" s="433"/>
      <c r="AM51" s="472"/>
      <c r="AN51" s="438"/>
      <c r="AO51" s="464"/>
      <c r="AP51" s="188" t="s">
        <v>201</v>
      </c>
      <c r="AQ51" s="200">
        <v>61993476.879999995</v>
      </c>
      <c r="AR51" s="201">
        <v>0.71326305968596615</v>
      </c>
      <c r="AS51" s="191">
        <f t="shared" si="0"/>
        <v>61993476.879999995</v>
      </c>
      <c r="AT51" s="192">
        <f t="shared" si="4"/>
        <v>61993476.879999995</v>
      </c>
      <c r="AU51" s="193">
        <f t="shared" si="2"/>
        <v>0</v>
      </c>
      <c r="AV51" s="231">
        <v>0</v>
      </c>
      <c r="AW51" s="232">
        <v>0</v>
      </c>
      <c r="AX51" s="233">
        <v>0</v>
      </c>
      <c r="AY51" s="231">
        <v>0</v>
      </c>
      <c r="AZ51" s="232">
        <v>0</v>
      </c>
      <c r="BA51" s="233">
        <v>0</v>
      </c>
      <c r="BB51" s="231">
        <f>+AQ51</f>
        <v>61993476.879999995</v>
      </c>
      <c r="BC51" s="232">
        <v>0</v>
      </c>
      <c r="BD51" s="233">
        <v>0</v>
      </c>
      <c r="BE51" s="231">
        <v>61993476.880000003</v>
      </c>
      <c r="BF51" s="232">
        <v>61993476.880000003</v>
      </c>
      <c r="BG51" s="233">
        <v>61993476.880000003</v>
      </c>
      <c r="BH51" s="197" t="s">
        <v>57</v>
      </c>
      <c r="BI51" s="187">
        <f t="shared" si="3"/>
        <v>-1</v>
      </c>
      <c r="BJ51" s="187"/>
    </row>
    <row r="52" spans="1:62" ht="60" x14ac:dyDescent="0.25">
      <c r="A52" s="568"/>
      <c r="B52" s="568"/>
      <c r="C52" s="429"/>
      <c r="D52" s="453"/>
      <c r="E52" s="429"/>
      <c r="F52" s="429"/>
      <c r="G52" s="456"/>
      <c r="H52" s="456"/>
      <c r="I52" s="429"/>
      <c r="J52" s="431"/>
      <c r="K52" s="429"/>
      <c r="L52" s="473"/>
      <c r="M52" s="476"/>
      <c r="N52" s="476"/>
      <c r="O52" s="451"/>
      <c r="P52" s="469"/>
      <c r="Q52" s="439"/>
      <c r="R52" s="439"/>
      <c r="S52" s="439"/>
      <c r="T52" s="439"/>
      <c r="U52" s="439"/>
      <c r="V52" s="466"/>
      <c r="W52" s="466"/>
      <c r="X52" s="466"/>
      <c r="Y52" s="436"/>
      <c r="Z52" s="436"/>
      <c r="AA52" s="436"/>
      <c r="AB52" s="436"/>
      <c r="AC52" s="436"/>
      <c r="AD52" s="436"/>
      <c r="AE52" s="436"/>
      <c r="AF52" s="436"/>
      <c r="AG52" s="436"/>
      <c r="AH52" s="436"/>
      <c r="AI52" s="436"/>
      <c r="AJ52" s="462"/>
      <c r="AK52" s="439"/>
      <c r="AL52" s="433"/>
      <c r="AM52" s="472"/>
      <c r="AN52" s="439"/>
      <c r="AO52" s="465"/>
      <c r="AP52" s="234" t="s">
        <v>202</v>
      </c>
      <c r="AQ52" s="200">
        <v>276945623</v>
      </c>
      <c r="AR52" s="201">
        <v>0.99255355626255914</v>
      </c>
      <c r="AS52" s="191">
        <f t="shared" si="0"/>
        <v>276945623</v>
      </c>
      <c r="AT52" s="192">
        <f t="shared" si="4"/>
        <v>276945623</v>
      </c>
      <c r="AU52" s="193">
        <f t="shared" si="2"/>
        <v>0</v>
      </c>
      <c r="AV52" s="231">
        <v>0</v>
      </c>
      <c r="AW52" s="232">
        <v>0</v>
      </c>
      <c r="AX52" s="233">
        <v>0</v>
      </c>
      <c r="AY52" s="231">
        <v>0</v>
      </c>
      <c r="AZ52" s="232">
        <v>0</v>
      </c>
      <c r="BA52" s="233">
        <v>0</v>
      </c>
      <c r="BB52" s="231">
        <f>+AQ52</f>
        <v>276945623</v>
      </c>
      <c r="BC52" s="232">
        <v>0</v>
      </c>
      <c r="BD52" s="233">
        <v>0</v>
      </c>
      <c r="BE52" s="231">
        <f>+BB52</f>
        <v>276945623</v>
      </c>
      <c r="BF52" s="232">
        <v>276945623</v>
      </c>
      <c r="BG52" s="233">
        <v>276945623</v>
      </c>
      <c r="BH52" s="197" t="s">
        <v>57</v>
      </c>
      <c r="BI52" s="187">
        <f t="shared" si="3"/>
        <v>-1</v>
      </c>
      <c r="BJ52" s="187"/>
    </row>
    <row r="53" spans="1:62" ht="51" customHeight="1" x14ac:dyDescent="0.25">
      <c r="A53" s="568"/>
      <c r="B53" s="568"/>
      <c r="C53" s="429"/>
      <c r="D53" s="452" t="s">
        <v>117</v>
      </c>
      <c r="E53" s="454">
        <v>10</v>
      </c>
      <c r="F53" s="454">
        <v>20</v>
      </c>
      <c r="G53" s="455">
        <v>1</v>
      </c>
      <c r="H53" s="455">
        <v>1</v>
      </c>
      <c r="I53" s="429"/>
      <c r="J53" s="431"/>
      <c r="K53" s="429"/>
      <c r="L53" s="457" t="s">
        <v>118</v>
      </c>
      <c r="M53" s="446">
        <v>44562</v>
      </c>
      <c r="N53" s="446">
        <v>44926</v>
      </c>
      <c r="O53" s="449">
        <f>+(N53-M53)+1</f>
        <v>365</v>
      </c>
      <c r="P53" s="449">
        <v>1</v>
      </c>
      <c r="Q53" s="437">
        <v>5.0346228277177503E-2</v>
      </c>
      <c r="R53" s="437">
        <v>1</v>
      </c>
      <c r="S53" s="437" t="s">
        <v>300</v>
      </c>
      <c r="T53" s="437"/>
      <c r="U53" s="437"/>
      <c r="V53" s="440" t="s">
        <v>118</v>
      </c>
      <c r="W53" s="440" t="s">
        <v>118</v>
      </c>
      <c r="X53" s="443"/>
      <c r="Y53" s="434" t="s">
        <v>300</v>
      </c>
      <c r="Z53" s="434"/>
      <c r="AA53" s="434"/>
      <c r="AB53" s="434" t="s">
        <v>300</v>
      </c>
      <c r="AC53" s="434"/>
      <c r="AD53" s="434"/>
      <c r="AE53" s="434" t="s">
        <v>300</v>
      </c>
      <c r="AF53" s="434"/>
      <c r="AG53" s="434"/>
      <c r="AH53" s="434" t="s">
        <v>300</v>
      </c>
      <c r="AI53" s="434"/>
      <c r="AJ53" s="434"/>
      <c r="AK53" s="437">
        <v>1</v>
      </c>
      <c r="AL53" s="433"/>
      <c r="AM53" s="480">
        <v>1</v>
      </c>
      <c r="AN53" s="437">
        <f>+R53-Q53</f>
        <v>0.9496537717228225</v>
      </c>
      <c r="AO53" s="463" t="str">
        <f>+AO50</f>
        <v>IMPLEMENTACIÓN DEL PROGRAMA VIGILANCIA DE LAS PLAYAS DEL DISTRITO DE  CARTAGENA DE INDIAS</v>
      </c>
      <c r="AP53" s="188" t="s">
        <v>197</v>
      </c>
      <c r="AQ53" s="200">
        <v>220115019.84</v>
      </c>
      <c r="AR53" s="201">
        <v>0.99888567849582321</v>
      </c>
      <c r="AS53" s="191">
        <f t="shared" si="0"/>
        <v>220115019.84</v>
      </c>
      <c r="AT53" s="192">
        <f t="shared" si="4"/>
        <v>220115019.84</v>
      </c>
      <c r="AU53" s="193">
        <f t="shared" si="2"/>
        <v>0</v>
      </c>
      <c r="AV53" s="231">
        <f>+AQ53</f>
        <v>220115019.84</v>
      </c>
      <c r="AW53" s="232">
        <f>+AV53/4</f>
        <v>55028754.960000001</v>
      </c>
      <c r="AX53" s="233">
        <f>+AW53</f>
        <v>55028754.960000001</v>
      </c>
      <c r="AY53" s="231">
        <f>+AV53</f>
        <v>220115019.84</v>
      </c>
      <c r="AZ53" s="232">
        <f>+AY53*0.5</f>
        <v>110057509.92</v>
      </c>
      <c r="BA53" s="233">
        <f>+AZ53</f>
        <v>110057509.92</v>
      </c>
      <c r="BB53" s="231">
        <f>+AY53</f>
        <v>220115019.84</v>
      </c>
      <c r="BC53" s="232">
        <f>+BB53*0.75</f>
        <v>165086264.88</v>
      </c>
      <c r="BD53" s="233">
        <f>+BC53</f>
        <v>165086264.88</v>
      </c>
      <c r="BE53" s="231">
        <f>+BB53</f>
        <v>220115019.84</v>
      </c>
      <c r="BF53" s="232">
        <v>220115019.84</v>
      </c>
      <c r="BG53" s="233">
        <v>220115019.84</v>
      </c>
      <c r="BH53" s="197" t="s">
        <v>57</v>
      </c>
      <c r="BI53" s="187">
        <f t="shared" si="3"/>
        <v>-1</v>
      </c>
      <c r="BJ53" s="187"/>
    </row>
    <row r="54" spans="1:62" ht="75" x14ac:dyDescent="0.25">
      <c r="A54" s="568"/>
      <c r="B54" s="568"/>
      <c r="C54" s="429"/>
      <c r="D54" s="452"/>
      <c r="E54" s="454"/>
      <c r="F54" s="454"/>
      <c r="G54" s="455"/>
      <c r="H54" s="455"/>
      <c r="I54" s="429"/>
      <c r="J54" s="431"/>
      <c r="K54" s="429"/>
      <c r="L54" s="458"/>
      <c r="M54" s="447"/>
      <c r="N54" s="447"/>
      <c r="O54" s="450"/>
      <c r="P54" s="450"/>
      <c r="Q54" s="438"/>
      <c r="R54" s="438"/>
      <c r="S54" s="438"/>
      <c r="T54" s="438"/>
      <c r="U54" s="438"/>
      <c r="V54" s="441"/>
      <c r="W54" s="441"/>
      <c r="X54" s="444"/>
      <c r="Y54" s="435"/>
      <c r="Z54" s="435"/>
      <c r="AA54" s="435"/>
      <c r="AB54" s="435"/>
      <c r="AC54" s="435"/>
      <c r="AD54" s="435"/>
      <c r="AE54" s="435"/>
      <c r="AF54" s="435"/>
      <c r="AG54" s="435"/>
      <c r="AH54" s="435"/>
      <c r="AI54" s="435"/>
      <c r="AJ54" s="435"/>
      <c r="AK54" s="438"/>
      <c r="AL54" s="433"/>
      <c r="AM54" s="480"/>
      <c r="AN54" s="438"/>
      <c r="AO54" s="464"/>
      <c r="AP54" s="188" t="s">
        <v>198</v>
      </c>
      <c r="AQ54" s="200">
        <v>13602141</v>
      </c>
      <c r="AR54" s="201">
        <v>0</v>
      </c>
      <c r="AS54" s="191">
        <f t="shared" si="0"/>
        <v>13602141</v>
      </c>
      <c r="AT54" s="192">
        <f t="shared" si="4"/>
        <v>13602141</v>
      </c>
      <c r="AU54" s="193">
        <f t="shared" si="2"/>
        <v>0</v>
      </c>
      <c r="AV54" s="231">
        <v>0</v>
      </c>
      <c r="AW54" s="232">
        <v>0</v>
      </c>
      <c r="AX54" s="233">
        <v>0</v>
      </c>
      <c r="AY54" s="231">
        <v>0</v>
      </c>
      <c r="AZ54" s="232">
        <v>0</v>
      </c>
      <c r="BA54" s="233">
        <v>0</v>
      </c>
      <c r="BB54" s="231">
        <v>13602141</v>
      </c>
      <c r="BC54" s="232">
        <v>13602141</v>
      </c>
      <c r="BD54" s="233">
        <v>13602141</v>
      </c>
      <c r="BE54" s="231">
        <v>13602141</v>
      </c>
      <c r="BF54" s="232">
        <v>13602141</v>
      </c>
      <c r="BG54" s="233">
        <v>13602141</v>
      </c>
      <c r="BH54" s="197" t="s">
        <v>57</v>
      </c>
      <c r="BI54" s="187">
        <f t="shared" si="3"/>
        <v>-1</v>
      </c>
      <c r="BJ54" s="187"/>
    </row>
    <row r="55" spans="1:62" ht="63.75" customHeight="1" x14ac:dyDescent="0.25">
      <c r="A55" s="568"/>
      <c r="B55" s="568"/>
      <c r="C55" s="429"/>
      <c r="D55" s="452"/>
      <c r="E55" s="454"/>
      <c r="F55" s="454"/>
      <c r="G55" s="455"/>
      <c r="H55" s="455"/>
      <c r="I55" s="429"/>
      <c r="J55" s="431"/>
      <c r="K55" s="429"/>
      <c r="L55" s="459"/>
      <c r="M55" s="448"/>
      <c r="N55" s="448"/>
      <c r="O55" s="451"/>
      <c r="P55" s="451"/>
      <c r="Q55" s="439"/>
      <c r="R55" s="439"/>
      <c r="S55" s="439"/>
      <c r="T55" s="439"/>
      <c r="U55" s="439"/>
      <c r="V55" s="442"/>
      <c r="W55" s="442"/>
      <c r="X55" s="445"/>
      <c r="Y55" s="436"/>
      <c r="Z55" s="436"/>
      <c r="AA55" s="436"/>
      <c r="AB55" s="436"/>
      <c r="AC55" s="436"/>
      <c r="AD55" s="436"/>
      <c r="AE55" s="436"/>
      <c r="AF55" s="436"/>
      <c r="AG55" s="436"/>
      <c r="AH55" s="436"/>
      <c r="AI55" s="436"/>
      <c r="AJ55" s="436"/>
      <c r="AK55" s="439"/>
      <c r="AL55" s="433"/>
      <c r="AM55" s="480"/>
      <c r="AN55" s="439"/>
      <c r="AO55" s="465"/>
      <c r="AP55" s="234" t="s">
        <v>199</v>
      </c>
      <c r="AQ55" s="200">
        <v>332551035</v>
      </c>
      <c r="AR55" s="201">
        <v>0</v>
      </c>
      <c r="AS55" s="191">
        <f t="shared" si="0"/>
        <v>332551035</v>
      </c>
      <c r="AT55" s="192">
        <f t="shared" si="4"/>
        <v>332551035</v>
      </c>
      <c r="AU55" s="193">
        <f t="shared" si="2"/>
        <v>0</v>
      </c>
      <c r="AV55" s="231">
        <v>0</v>
      </c>
      <c r="AW55" s="232">
        <v>0</v>
      </c>
      <c r="AX55" s="233">
        <v>0</v>
      </c>
      <c r="AY55" s="231">
        <v>0</v>
      </c>
      <c r="AZ55" s="232">
        <v>0</v>
      </c>
      <c r="BA55" s="233">
        <v>0</v>
      </c>
      <c r="BB55" s="231">
        <f>+AQ55</f>
        <v>332551035</v>
      </c>
      <c r="BC55" s="232">
        <v>332551035</v>
      </c>
      <c r="BD55" s="233">
        <v>332551035</v>
      </c>
      <c r="BE55" s="231">
        <f>+BB55</f>
        <v>332551035</v>
      </c>
      <c r="BF55" s="232">
        <v>332551035</v>
      </c>
      <c r="BG55" s="233">
        <v>332551035</v>
      </c>
      <c r="BH55" s="197" t="s">
        <v>57</v>
      </c>
      <c r="BI55" s="187">
        <f t="shared" si="3"/>
        <v>-1</v>
      </c>
      <c r="BJ55" s="187"/>
    </row>
    <row r="56" spans="1:62" ht="51" x14ac:dyDescent="0.25">
      <c r="A56" s="568"/>
      <c r="B56" s="568"/>
      <c r="C56" s="429"/>
      <c r="D56" s="453"/>
      <c r="E56" s="429"/>
      <c r="F56" s="429"/>
      <c r="G56" s="456"/>
      <c r="H56" s="456"/>
      <c r="I56" s="429"/>
      <c r="J56" s="431"/>
      <c r="K56" s="429"/>
      <c r="L56" s="223" t="s">
        <v>120</v>
      </c>
      <c r="M56" s="224">
        <v>44562</v>
      </c>
      <c r="N56" s="224">
        <v>44926</v>
      </c>
      <c r="O56" s="207">
        <f>+(N56-M56)+1</f>
        <v>365</v>
      </c>
      <c r="P56" s="218">
        <v>12</v>
      </c>
      <c r="Q56" s="225">
        <v>0.113855485073264</v>
      </c>
      <c r="R56" s="225">
        <v>1</v>
      </c>
      <c r="S56" s="225" t="s">
        <v>300</v>
      </c>
      <c r="T56" s="225"/>
      <c r="U56" s="225"/>
      <c r="V56" s="235" t="s">
        <v>120</v>
      </c>
      <c r="W56" s="235" t="s">
        <v>120</v>
      </c>
      <c r="X56" s="235"/>
      <c r="Y56" s="227" t="s">
        <v>300</v>
      </c>
      <c r="Z56" s="227"/>
      <c r="AA56" s="227"/>
      <c r="AB56" s="227" t="s">
        <v>300</v>
      </c>
      <c r="AC56" s="227"/>
      <c r="AD56" s="227"/>
      <c r="AE56" s="227" t="s">
        <v>300</v>
      </c>
      <c r="AF56" s="227"/>
      <c r="AG56" s="227"/>
      <c r="AH56" s="227" t="s">
        <v>300</v>
      </c>
      <c r="AI56" s="227"/>
      <c r="AJ56" s="228"/>
      <c r="AK56" s="225">
        <v>1</v>
      </c>
      <c r="AL56" s="433"/>
      <c r="AM56" s="472"/>
      <c r="AN56" s="225">
        <f>+R56-Q56</f>
        <v>0.88614451492673596</v>
      </c>
      <c r="AO56" s="229" t="str">
        <f>+AO53</f>
        <v>IMPLEMENTACIÓN DEL PROGRAMA VIGILANCIA DE LAS PLAYAS DEL DISTRITO DE  CARTAGENA DE INDIAS</v>
      </c>
      <c r="AP56" s="188" t="s">
        <v>197</v>
      </c>
      <c r="AQ56" s="200">
        <v>244033153</v>
      </c>
      <c r="AR56" s="201">
        <v>0.93711441330268763</v>
      </c>
      <c r="AS56" s="191">
        <f t="shared" si="0"/>
        <v>244033153</v>
      </c>
      <c r="AT56" s="192">
        <f t="shared" si="4"/>
        <v>244033153</v>
      </c>
      <c r="AU56" s="193">
        <f t="shared" si="2"/>
        <v>0</v>
      </c>
      <c r="AV56" s="231">
        <f>+AQ56</f>
        <v>244033153</v>
      </c>
      <c r="AW56" s="232">
        <f>+AV56/4</f>
        <v>61008288.25</v>
      </c>
      <c r="AX56" s="233">
        <f>+AW56</f>
        <v>61008288.25</v>
      </c>
      <c r="AY56" s="231">
        <f>+AV56</f>
        <v>244033153</v>
      </c>
      <c r="AZ56" s="232">
        <f>+AY56*0.5</f>
        <v>122016576.5</v>
      </c>
      <c r="BA56" s="233">
        <f>+AZ56</f>
        <v>122016576.5</v>
      </c>
      <c r="BB56" s="231">
        <f>+AY56</f>
        <v>244033153</v>
      </c>
      <c r="BC56" s="232">
        <f>+BB56*0.75</f>
        <v>183024864.75</v>
      </c>
      <c r="BD56" s="233">
        <f>+BC56</f>
        <v>183024864.75</v>
      </c>
      <c r="BE56" s="231">
        <f>+BB56</f>
        <v>244033153</v>
      </c>
      <c r="BF56" s="232">
        <f>+BE56</f>
        <v>244033153</v>
      </c>
      <c r="BG56" s="233">
        <f>+BF56</f>
        <v>244033153</v>
      </c>
      <c r="BH56" s="197" t="s">
        <v>57</v>
      </c>
      <c r="BI56" s="187">
        <f t="shared" si="3"/>
        <v>-1</v>
      </c>
      <c r="BJ56" s="187"/>
    </row>
    <row r="57" spans="1:62" ht="105" x14ac:dyDescent="0.25">
      <c r="A57" s="568"/>
      <c r="B57" s="568"/>
      <c r="C57" s="428" t="s">
        <v>123</v>
      </c>
      <c r="D57" s="236" t="s">
        <v>125</v>
      </c>
      <c r="E57" s="203">
        <v>20000</v>
      </c>
      <c r="F57" s="203">
        <v>20289</v>
      </c>
      <c r="G57" s="237">
        <v>1</v>
      </c>
      <c r="H57" s="237">
        <v>1</v>
      </c>
      <c r="I57" s="428" t="s">
        <v>126</v>
      </c>
      <c r="J57" s="430">
        <v>2021130010176</v>
      </c>
      <c r="K57" s="428" t="s">
        <v>127</v>
      </c>
      <c r="L57" s="223" t="s">
        <v>128</v>
      </c>
      <c r="M57" s="224">
        <v>44562</v>
      </c>
      <c r="N57" s="224">
        <v>44926</v>
      </c>
      <c r="O57" s="207">
        <f t="shared" ref="O57:O58" si="7">+(N57-M57)+1</f>
        <v>365</v>
      </c>
      <c r="P57" s="218">
        <v>10</v>
      </c>
      <c r="Q57" s="225">
        <v>0.10333333333333333</v>
      </c>
      <c r="R57" s="225">
        <v>0</v>
      </c>
      <c r="S57" s="225" t="s">
        <v>300</v>
      </c>
      <c r="T57" s="225"/>
      <c r="U57" s="225"/>
      <c r="V57" s="235" t="s">
        <v>128</v>
      </c>
      <c r="W57" s="235" t="s">
        <v>128</v>
      </c>
      <c r="X57" s="235"/>
      <c r="Y57" s="227" t="s">
        <v>300</v>
      </c>
      <c r="Z57" s="227"/>
      <c r="AA57" s="227"/>
      <c r="AB57" s="227" t="s">
        <v>300</v>
      </c>
      <c r="AC57" s="227"/>
      <c r="AD57" s="227"/>
      <c r="AE57" s="227" t="s">
        <v>300</v>
      </c>
      <c r="AF57" s="227"/>
      <c r="AG57" s="227"/>
      <c r="AH57" s="227"/>
      <c r="AI57" s="227" t="s">
        <v>300</v>
      </c>
      <c r="AJ57" s="228" t="s">
        <v>338</v>
      </c>
      <c r="AK57" s="225">
        <v>0</v>
      </c>
      <c r="AL57" s="432">
        <f>SUMPRODUCT(Q57:Q58,R57:R58)</f>
        <v>0.89666666666666661</v>
      </c>
      <c r="AM57" s="238">
        <v>1</v>
      </c>
      <c r="AN57" s="225">
        <v>0</v>
      </c>
      <c r="AO57" s="229" t="s">
        <v>130</v>
      </c>
      <c r="AP57" s="188" t="s">
        <v>339</v>
      </c>
      <c r="AQ57" s="200">
        <v>31000000</v>
      </c>
      <c r="AR57" s="201">
        <v>0</v>
      </c>
      <c r="AS57" s="191">
        <f t="shared" si="0"/>
        <v>31000000</v>
      </c>
      <c r="AT57" s="192">
        <f t="shared" si="4"/>
        <v>31000000</v>
      </c>
      <c r="AU57" s="193">
        <f t="shared" si="2"/>
        <v>0</v>
      </c>
      <c r="AV57" s="239">
        <v>31000000</v>
      </c>
      <c r="AW57" s="240">
        <v>0</v>
      </c>
      <c r="AX57" s="241">
        <v>0</v>
      </c>
      <c r="AY57" s="239">
        <v>31000000</v>
      </c>
      <c r="AZ57" s="240">
        <v>31000000</v>
      </c>
      <c r="BA57" s="241">
        <v>31000000</v>
      </c>
      <c r="BB57" s="239">
        <v>31000000</v>
      </c>
      <c r="BC57" s="240">
        <v>31000000</v>
      </c>
      <c r="BD57" s="241">
        <v>31000000</v>
      </c>
      <c r="BE57" s="239">
        <v>31000000</v>
      </c>
      <c r="BF57" s="240">
        <v>31000000</v>
      </c>
      <c r="BG57" s="241">
        <v>31000000</v>
      </c>
      <c r="BH57" s="197" t="s">
        <v>57</v>
      </c>
      <c r="BI57" s="187">
        <f t="shared" si="3"/>
        <v>-0.10333333333333339</v>
      </c>
      <c r="BJ57" s="187"/>
    </row>
    <row r="58" spans="1:62" ht="90.75" thickBot="1" x14ac:dyDescent="0.3">
      <c r="A58" s="568"/>
      <c r="B58" s="568"/>
      <c r="C58" s="429"/>
      <c r="D58" s="236" t="s">
        <v>133</v>
      </c>
      <c r="E58" s="203">
        <v>700</v>
      </c>
      <c r="F58" s="203">
        <v>1804</v>
      </c>
      <c r="G58" s="237">
        <v>1</v>
      </c>
      <c r="H58" s="237">
        <v>1</v>
      </c>
      <c r="I58" s="429"/>
      <c r="J58" s="431"/>
      <c r="K58" s="429"/>
      <c r="L58" s="223" t="s">
        <v>134</v>
      </c>
      <c r="M58" s="224">
        <v>44562</v>
      </c>
      <c r="N58" s="224">
        <v>44926</v>
      </c>
      <c r="O58" s="207">
        <f t="shared" si="7"/>
        <v>365</v>
      </c>
      <c r="P58" s="218">
        <v>15</v>
      </c>
      <c r="Q58" s="225">
        <v>0.89666666666666661</v>
      </c>
      <c r="R58" s="225">
        <v>1</v>
      </c>
      <c r="S58" s="225" t="s">
        <v>300</v>
      </c>
      <c r="T58" s="225"/>
      <c r="U58" s="225"/>
      <c r="V58" s="235" t="s">
        <v>134</v>
      </c>
      <c r="W58" s="235" t="s">
        <v>134</v>
      </c>
      <c r="X58" s="235"/>
      <c r="Y58" s="227" t="s">
        <v>300</v>
      </c>
      <c r="Z58" s="227"/>
      <c r="AA58" s="227"/>
      <c r="AB58" s="227" t="s">
        <v>300</v>
      </c>
      <c r="AC58" s="227"/>
      <c r="AD58" s="227"/>
      <c r="AE58" s="227" t="s">
        <v>300</v>
      </c>
      <c r="AF58" s="227"/>
      <c r="AG58" s="227"/>
      <c r="AH58" s="227" t="s">
        <v>300</v>
      </c>
      <c r="AI58" s="227"/>
      <c r="AJ58" s="228"/>
      <c r="AK58" s="225">
        <v>1</v>
      </c>
      <c r="AL58" s="433"/>
      <c r="AM58" s="238">
        <v>1</v>
      </c>
      <c r="AN58" s="225">
        <f>+R58-Q58</f>
        <v>0.10333333333333339</v>
      </c>
      <c r="AO58" s="229" t="str">
        <f>+AO57</f>
        <v>CONSTRUCCIÓN DE CONVIVENCIA PARA LA SEGURIDAD EN CARTAGENA DE INDIAS CARTAGENA DE INDIAS</v>
      </c>
      <c r="AP58" s="188" t="s">
        <v>339</v>
      </c>
      <c r="AQ58" s="200">
        <v>269000000</v>
      </c>
      <c r="AR58" s="201">
        <v>0.99825881040892195</v>
      </c>
      <c r="AS58" s="191">
        <f t="shared" si="0"/>
        <v>269000000</v>
      </c>
      <c r="AT58" s="192">
        <f t="shared" si="4"/>
        <v>269000000</v>
      </c>
      <c r="AU58" s="193">
        <f t="shared" si="2"/>
        <v>0</v>
      </c>
      <c r="AV58" s="242">
        <v>269000000</v>
      </c>
      <c r="AW58" s="243">
        <v>0</v>
      </c>
      <c r="AX58" s="244">
        <v>0</v>
      </c>
      <c r="AY58" s="242">
        <v>269000000</v>
      </c>
      <c r="AZ58" s="243">
        <v>269000000</v>
      </c>
      <c r="BA58" s="244">
        <v>269000000</v>
      </c>
      <c r="BB58" s="242">
        <v>269000000</v>
      </c>
      <c r="BC58" s="243">
        <v>269000000</v>
      </c>
      <c r="BD58" s="244">
        <v>269000000</v>
      </c>
      <c r="BE58" s="242">
        <v>269000000</v>
      </c>
      <c r="BF58" s="243">
        <v>269000000</v>
      </c>
      <c r="BG58" s="244">
        <v>269000000</v>
      </c>
      <c r="BH58" s="197" t="s">
        <v>57</v>
      </c>
      <c r="BI58" s="187">
        <f t="shared" si="3"/>
        <v>-1</v>
      </c>
      <c r="BJ58" s="187"/>
    </row>
    <row r="60" spans="1:62" x14ac:dyDescent="0.25">
      <c r="AV60" s="245">
        <f>+SUM(AV9:AV58)</f>
        <v>5931940766</v>
      </c>
      <c r="BE60" s="245"/>
      <c r="BG60" s="245"/>
      <c r="BH60" s="245"/>
    </row>
  </sheetData>
  <mergeCells count="542">
    <mergeCell ref="A6:A8"/>
    <mergeCell ref="B6:B8"/>
    <mergeCell ref="C6:C8"/>
    <mergeCell ref="D6:D8"/>
    <mergeCell ref="E6:E8"/>
    <mergeCell ref="F6:F8"/>
    <mergeCell ref="A1:A4"/>
    <mergeCell ref="B1:BI1"/>
    <mergeCell ref="B2:BI2"/>
    <mergeCell ref="B3:BI3"/>
    <mergeCell ref="B4:BI4"/>
    <mergeCell ref="A5:R5"/>
    <mergeCell ref="S5:BJ5"/>
    <mergeCell ref="S6:AN6"/>
    <mergeCell ref="AO6:AR6"/>
    <mergeCell ref="AS6:AU6"/>
    <mergeCell ref="AV6:BG6"/>
    <mergeCell ref="BH6:BI7"/>
    <mergeCell ref="BJ6:BJ8"/>
    <mergeCell ref="S7:U7"/>
    <mergeCell ref="V7:X7"/>
    <mergeCell ref="Y7:AA7"/>
    <mergeCell ref="AB7:AD7"/>
    <mergeCell ref="BB7:BD7"/>
    <mergeCell ref="BE7:BG7"/>
    <mergeCell ref="A9:A58"/>
    <mergeCell ref="B9:B58"/>
    <mergeCell ref="C9:C23"/>
    <mergeCell ref="D9:D16"/>
    <mergeCell ref="E9:E16"/>
    <mergeCell ref="AO7:AO8"/>
    <mergeCell ref="AP7:AP8"/>
    <mergeCell ref="AQ7:AQ8"/>
    <mergeCell ref="AR7:AR8"/>
    <mergeCell ref="AS7:AS8"/>
    <mergeCell ref="AT7:AT8"/>
    <mergeCell ref="AE7:AG7"/>
    <mergeCell ref="AH7:AJ7"/>
    <mergeCell ref="AK7:AK8"/>
    <mergeCell ref="AL7:AL8"/>
    <mergeCell ref="AM7:AM8"/>
    <mergeCell ref="AN7:AN8"/>
    <mergeCell ref="M6:M8"/>
    <mergeCell ref="N6:N8"/>
    <mergeCell ref="O6:O8"/>
    <mergeCell ref="P6:P8"/>
    <mergeCell ref="Q6:Q8"/>
    <mergeCell ref="F9:F16"/>
    <mergeCell ref="G9:G16"/>
    <mergeCell ref="H9:H16"/>
    <mergeCell ref="I9:I23"/>
    <mergeCell ref="J9:J23"/>
    <mergeCell ref="K9:K23"/>
    <mergeCell ref="AU7:AU8"/>
    <mergeCell ref="AV7:AX7"/>
    <mergeCell ref="AY7:BA7"/>
    <mergeCell ref="R6:R8"/>
    <mergeCell ref="G6:G8"/>
    <mergeCell ref="H6:H8"/>
    <mergeCell ref="I6:I8"/>
    <mergeCell ref="J6:J8"/>
    <mergeCell ref="K6:K8"/>
    <mergeCell ref="L6:L8"/>
    <mergeCell ref="R9:R12"/>
    <mergeCell ref="S9:S12"/>
    <mergeCell ref="T9:T12"/>
    <mergeCell ref="U9:U12"/>
    <mergeCell ref="V9:V12"/>
    <mergeCell ref="W9:W12"/>
    <mergeCell ref="L9:L12"/>
    <mergeCell ref="M9:M12"/>
    <mergeCell ref="N9:N12"/>
    <mergeCell ref="O9:O12"/>
    <mergeCell ref="P9:P12"/>
    <mergeCell ref="Q9:Q12"/>
    <mergeCell ref="AD9:AD12"/>
    <mergeCell ref="AE9:AE12"/>
    <mergeCell ref="AF9:AF12"/>
    <mergeCell ref="AG9:AG12"/>
    <mergeCell ref="AH9:AH12"/>
    <mergeCell ref="AI9:AI12"/>
    <mergeCell ref="X9:X12"/>
    <mergeCell ref="Y9:Y12"/>
    <mergeCell ref="Z9:Z12"/>
    <mergeCell ref="AA9:AA12"/>
    <mergeCell ref="AB9:AB12"/>
    <mergeCell ref="AC9:AC12"/>
    <mergeCell ref="AJ9:AJ12"/>
    <mergeCell ref="AK9:AK12"/>
    <mergeCell ref="AL9:AL23"/>
    <mergeCell ref="AM9:AM16"/>
    <mergeCell ref="AN9:AN12"/>
    <mergeCell ref="AO9:AO12"/>
    <mergeCell ref="AJ13:AJ14"/>
    <mergeCell ref="AK13:AK14"/>
    <mergeCell ref="AN13:AN14"/>
    <mergeCell ref="AO13:AO14"/>
    <mergeCell ref="R13:R14"/>
    <mergeCell ref="S13:S14"/>
    <mergeCell ref="T13:T14"/>
    <mergeCell ref="U13:U14"/>
    <mergeCell ref="V13:V14"/>
    <mergeCell ref="W13:W14"/>
    <mergeCell ref="L13:L14"/>
    <mergeCell ref="M13:M14"/>
    <mergeCell ref="N13:N14"/>
    <mergeCell ref="O13:O14"/>
    <mergeCell ref="P13:P14"/>
    <mergeCell ref="Q13:Q14"/>
    <mergeCell ref="AD13:AD14"/>
    <mergeCell ref="AE13:AE14"/>
    <mergeCell ref="AF13:AF14"/>
    <mergeCell ref="AG13:AG14"/>
    <mergeCell ref="AH13:AH14"/>
    <mergeCell ref="AI13:AI14"/>
    <mergeCell ref="X13:X14"/>
    <mergeCell ref="Y13:Y14"/>
    <mergeCell ref="Z13:Z14"/>
    <mergeCell ref="AA13:AA14"/>
    <mergeCell ref="AB13:AB14"/>
    <mergeCell ref="AC13:AC14"/>
    <mergeCell ref="T15:T16"/>
    <mergeCell ref="U15:U16"/>
    <mergeCell ref="V15:V16"/>
    <mergeCell ref="W15:W16"/>
    <mergeCell ref="L15:L16"/>
    <mergeCell ref="M15:M16"/>
    <mergeCell ref="N15:N16"/>
    <mergeCell ref="O15:O16"/>
    <mergeCell ref="P15:P16"/>
    <mergeCell ref="Q15:Q16"/>
    <mergeCell ref="AJ15:AJ16"/>
    <mergeCell ref="AK15:AK16"/>
    <mergeCell ref="AN15:AN16"/>
    <mergeCell ref="AO15:AO16"/>
    <mergeCell ref="D18:D21"/>
    <mergeCell ref="E18:E21"/>
    <mergeCell ref="F18:F21"/>
    <mergeCell ref="G18:G21"/>
    <mergeCell ref="H18:H21"/>
    <mergeCell ref="L18:L20"/>
    <mergeCell ref="AD15:AD16"/>
    <mergeCell ref="AE15:AE16"/>
    <mergeCell ref="AF15:AF16"/>
    <mergeCell ref="AG15:AG16"/>
    <mergeCell ref="AH15:AH16"/>
    <mergeCell ref="AI15:AI16"/>
    <mergeCell ref="X15:X16"/>
    <mergeCell ref="Y15:Y16"/>
    <mergeCell ref="Z15:Z16"/>
    <mergeCell ref="AA15:AA16"/>
    <mergeCell ref="AB15:AB16"/>
    <mergeCell ref="AC15:AC16"/>
    <mergeCell ref="R15:R16"/>
    <mergeCell ref="S15:S16"/>
    <mergeCell ref="U18:U20"/>
    <mergeCell ref="V18:V20"/>
    <mergeCell ref="W18:W20"/>
    <mergeCell ref="X18:X20"/>
    <mergeCell ref="M18:M20"/>
    <mergeCell ref="N18:N20"/>
    <mergeCell ref="O18:O20"/>
    <mergeCell ref="P18:P20"/>
    <mergeCell ref="Q18:Q20"/>
    <mergeCell ref="R18:R20"/>
    <mergeCell ref="AK18:AK20"/>
    <mergeCell ref="AM18:AM21"/>
    <mergeCell ref="AN18:AN20"/>
    <mergeCell ref="AO18:AO20"/>
    <mergeCell ref="D22:D23"/>
    <mergeCell ref="E22:E23"/>
    <mergeCell ref="F22:F23"/>
    <mergeCell ref="G22:G23"/>
    <mergeCell ref="H22:H23"/>
    <mergeCell ref="L22:L23"/>
    <mergeCell ref="AE18:AE20"/>
    <mergeCell ref="AF18:AF20"/>
    <mergeCell ref="AG18:AG20"/>
    <mergeCell ref="AH18:AH20"/>
    <mergeCell ref="AI18:AI20"/>
    <mergeCell ref="AJ18:AJ20"/>
    <mergeCell ref="Y18:Y20"/>
    <mergeCell ref="Z18:Z20"/>
    <mergeCell ref="AA18:AA20"/>
    <mergeCell ref="AB18:AB20"/>
    <mergeCell ref="AC18:AC20"/>
    <mergeCell ref="AD18:AD20"/>
    <mergeCell ref="S18:S20"/>
    <mergeCell ref="T18:T20"/>
    <mergeCell ref="U22:U23"/>
    <mergeCell ref="V22:V23"/>
    <mergeCell ref="W22:W23"/>
    <mergeCell ref="X22:X23"/>
    <mergeCell ref="M22:M23"/>
    <mergeCell ref="N22:N23"/>
    <mergeCell ref="O22:O23"/>
    <mergeCell ref="P22:P23"/>
    <mergeCell ref="Q22:Q23"/>
    <mergeCell ref="R22:R23"/>
    <mergeCell ref="AK22:AK23"/>
    <mergeCell ref="AM22:AM23"/>
    <mergeCell ref="AN22:AN23"/>
    <mergeCell ref="AO22:AO23"/>
    <mergeCell ref="C24:C45"/>
    <mergeCell ref="D24:D38"/>
    <mergeCell ref="E24:E38"/>
    <mergeCell ref="F24:F38"/>
    <mergeCell ref="G24:G38"/>
    <mergeCell ref="H24:H38"/>
    <mergeCell ref="AE22:AE23"/>
    <mergeCell ref="AF22:AF23"/>
    <mergeCell ref="AG22:AG23"/>
    <mergeCell ref="AH22:AH23"/>
    <mergeCell ref="AI22:AI23"/>
    <mergeCell ref="AJ22:AJ23"/>
    <mergeCell ref="Y22:Y23"/>
    <mergeCell ref="Z22:Z23"/>
    <mergeCell ref="AA22:AA23"/>
    <mergeCell ref="AB22:AB23"/>
    <mergeCell ref="AC22:AC23"/>
    <mergeCell ref="AD22:AD23"/>
    <mergeCell ref="S22:S23"/>
    <mergeCell ref="T22:T23"/>
    <mergeCell ref="S25:S27"/>
    <mergeCell ref="T25:T27"/>
    <mergeCell ref="U25:U27"/>
    <mergeCell ref="V25:V27"/>
    <mergeCell ref="I24:I45"/>
    <mergeCell ref="J24:J45"/>
    <mergeCell ref="K24:K45"/>
    <mergeCell ref="AL24:AL45"/>
    <mergeCell ref="AM24:AM38"/>
    <mergeCell ref="L25:L27"/>
    <mergeCell ref="M25:M27"/>
    <mergeCell ref="N25:N27"/>
    <mergeCell ref="O25:O27"/>
    <mergeCell ref="P25:P27"/>
    <mergeCell ref="AI25:AI27"/>
    <mergeCell ref="AJ25:AJ27"/>
    <mergeCell ref="AK25:AK27"/>
    <mergeCell ref="AN25:AN27"/>
    <mergeCell ref="AO25:AO27"/>
    <mergeCell ref="L28:L29"/>
    <mergeCell ref="M28:M29"/>
    <mergeCell ref="N28:N29"/>
    <mergeCell ref="O28:O29"/>
    <mergeCell ref="P28:P29"/>
    <mergeCell ref="AC25:AC27"/>
    <mergeCell ref="AD25:AD27"/>
    <mergeCell ref="AE25:AE27"/>
    <mergeCell ref="AF25:AF27"/>
    <mergeCell ref="AG25:AG27"/>
    <mergeCell ref="AH25:AH27"/>
    <mergeCell ref="W25:W27"/>
    <mergeCell ref="X25:X27"/>
    <mergeCell ref="Y25:Y27"/>
    <mergeCell ref="Z25:Z27"/>
    <mergeCell ref="AA25:AA27"/>
    <mergeCell ref="AB25:AB27"/>
    <mergeCell ref="Q25:Q27"/>
    <mergeCell ref="R25:R27"/>
    <mergeCell ref="L30:L32"/>
    <mergeCell ref="M30:M32"/>
    <mergeCell ref="N30:N32"/>
    <mergeCell ref="O30:O32"/>
    <mergeCell ref="P30:P32"/>
    <mergeCell ref="AC28:AC29"/>
    <mergeCell ref="AD28:AD29"/>
    <mergeCell ref="AE28:AE29"/>
    <mergeCell ref="AF28:AF29"/>
    <mergeCell ref="W28:W29"/>
    <mergeCell ref="X28:X29"/>
    <mergeCell ref="Y28:Y29"/>
    <mergeCell ref="Z28:Z29"/>
    <mergeCell ref="AA28:AA29"/>
    <mergeCell ref="AB28:AB29"/>
    <mergeCell ref="Q28:Q29"/>
    <mergeCell ref="R28:R29"/>
    <mergeCell ref="S28:S29"/>
    <mergeCell ref="T28:T29"/>
    <mergeCell ref="U28:U29"/>
    <mergeCell ref="V28:V29"/>
    <mergeCell ref="S30:S32"/>
    <mergeCell ref="T30:T32"/>
    <mergeCell ref="U30:U32"/>
    <mergeCell ref="V30:V32"/>
    <mergeCell ref="AI28:AI29"/>
    <mergeCell ref="AJ28:AJ29"/>
    <mergeCell ref="AK28:AK29"/>
    <mergeCell ref="AN28:AN29"/>
    <mergeCell ref="AO28:AO29"/>
    <mergeCell ref="AG28:AG29"/>
    <mergeCell ref="AH28:AH29"/>
    <mergeCell ref="AI30:AI32"/>
    <mergeCell ref="AJ30:AJ32"/>
    <mergeCell ref="AK30:AK32"/>
    <mergeCell ref="AN30:AN32"/>
    <mergeCell ref="AO30:AO32"/>
    <mergeCell ref="L33:L35"/>
    <mergeCell ref="M33:M35"/>
    <mergeCell ref="N33:N35"/>
    <mergeCell ref="O33:O35"/>
    <mergeCell ref="P33:P35"/>
    <mergeCell ref="AC30:AC32"/>
    <mergeCell ref="AD30:AD32"/>
    <mergeCell ref="AE30:AE32"/>
    <mergeCell ref="AF30:AF32"/>
    <mergeCell ref="AG30:AG32"/>
    <mergeCell ref="AH30:AH32"/>
    <mergeCell ref="W30:W32"/>
    <mergeCell ref="X30:X32"/>
    <mergeCell ref="Y30:Y32"/>
    <mergeCell ref="Z30:Z32"/>
    <mergeCell ref="AA30:AA32"/>
    <mergeCell ref="AB30:AB32"/>
    <mergeCell ref="Q30:Q32"/>
    <mergeCell ref="R30:R32"/>
    <mergeCell ref="L36:L38"/>
    <mergeCell ref="M36:M38"/>
    <mergeCell ref="N36:N38"/>
    <mergeCell ref="O36:O38"/>
    <mergeCell ref="P36:P38"/>
    <mergeCell ref="AC33:AC35"/>
    <mergeCell ref="AD33:AD35"/>
    <mergeCell ref="AE33:AE35"/>
    <mergeCell ref="AF33:AF35"/>
    <mergeCell ref="W33:W35"/>
    <mergeCell ref="X33:X35"/>
    <mergeCell ref="Y33:Y35"/>
    <mergeCell ref="Z33:Z35"/>
    <mergeCell ref="AA33:AA35"/>
    <mergeCell ref="AB33:AB35"/>
    <mergeCell ref="Q33:Q35"/>
    <mergeCell ref="R33:R35"/>
    <mergeCell ref="S33:S35"/>
    <mergeCell ref="T33:T35"/>
    <mergeCell ref="U33:U35"/>
    <mergeCell ref="V33:V35"/>
    <mergeCell ref="S36:S38"/>
    <mergeCell ref="T36:T38"/>
    <mergeCell ref="U36:U38"/>
    <mergeCell ref="V36:V38"/>
    <mergeCell ref="AI33:AI35"/>
    <mergeCell ref="AJ33:AJ35"/>
    <mergeCell ref="AK33:AK35"/>
    <mergeCell ref="AN33:AN35"/>
    <mergeCell ref="AO33:AO35"/>
    <mergeCell ref="AG33:AG35"/>
    <mergeCell ref="AH33:AH35"/>
    <mergeCell ref="AI36:AI38"/>
    <mergeCell ref="AJ36:AJ38"/>
    <mergeCell ref="AK36:AK38"/>
    <mergeCell ref="AN36:AN38"/>
    <mergeCell ref="AO36:AO38"/>
    <mergeCell ref="D39:D45"/>
    <mergeCell ref="E39:E45"/>
    <mergeCell ref="F39:F45"/>
    <mergeCell ref="G39:G45"/>
    <mergeCell ref="H39:H45"/>
    <mergeCell ref="AC36:AC38"/>
    <mergeCell ref="AD36:AD38"/>
    <mergeCell ref="AE36:AE38"/>
    <mergeCell ref="AF36:AF38"/>
    <mergeCell ref="AG36:AG38"/>
    <mergeCell ref="AH36:AH38"/>
    <mergeCell ref="W36:W38"/>
    <mergeCell ref="X36:X38"/>
    <mergeCell ref="Y36:Y38"/>
    <mergeCell ref="Z36:Z38"/>
    <mergeCell ref="AA36:AA38"/>
    <mergeCell ref="AB36:AB38"/>
    <mergeCell ref="Q36:Q38"/>
    <mergeCell ref="R36:R38"/>
    <mergeCell ref="L41:L43"/>
    <mergeCell ref="M41:M43"/>
    <mergeCell ref="N41:N43"/>
    <mergeCell ref="O41:O43"/>
    <mergeCell ref="P41:P43"/>
    <mergeCell ref="Q41:Q43"/>
    <mergeCell ref="R41:R43"/>
    <mergeCell ref="S41:S43"/>
    <mergeCell ref="T41:T43"/>
    <mergeCell ref="AE41:AE43"/>
    <mergeCell ref="AF41:AF43"/>
    <mergeCell ref="U41:U43"/>
    <mergeCell ref="V41:V43"/>
    <mergeCell ref="W41:W43"/>
    <mergeCell ref="X41:X43"/>
    <mergeCell ref="Y41:Y43"/>
    <mergeCell ref="Z41:Z43"/>
    <mergeCell ref="AM39:AM45"/>
    <mergeCell ref="W44:W45"/>
    <mergeCell ref="X44:X45"/>
    <mergeCell ref="Y44:Y45"/>
    <mergeCell ref="Z44:Z45"/>
    <mergeCell ref="AO41:AO43"/>
    <mergeCell ref="L44:L45"/>
    <mergeCell ref="M44:M45"/>
    <mergeCell ref="N44:N45"/>
    <mergeCell ref="O44:O45"/>
    <mergeCell ref="P44:P45"/>
    <mergeCell ref="Q44:Q45"/>
    <mergeCell ref="R44:R45"/>
    <mergeCell ref="S44:S45"/>
    <mergeCell ref="T44:T45"/>
    <mergeCell ref="AG41:AG43"/>
    <mergeCell ref="AH41:AH43"/>
    <mergeCell ref="AI41:AI43"/>
    <mergeCell ref="AJ41:AJ43"/>
    <mergeCell ref="AK41:AK43"/>
    <mergeCell ref="AN41:AN43"/>
    <mergeCell ref="AA41:AA43"/>
    <mergeCell ref="AB41:AB43"/>
    <mergeCell ref="AC41:AC43"/>
    <mergeCell ref="AD41:AD43"/>
    <mergeCell ref="AO44:AO45"/>
    <mergeCell ref="C46:C56"/>
    <mergeCell ref="D46:D48"/>
    <mergeCell ref="E46:E48"/>
    <mergeCell ref="F46:F48"/>
    <mergeCell ref="G46:G48"/>
    <mergeCell ref="H46:H48"/>
    <mergeCell ref="I46:I56"/>
    <mergeCell ref="J46:J56"/>
    <mergeCell ref="K46:K56"/>
    <mergeCell ref="AG44:AG45"/>
    <mergeCell ref="AH44:AH45"/>
    <mergeCell ref="AI44:AI45"/>
    <mergeCell ref="AJ44:AJ45"/>
    <mergeCell ref="AK44:AK45"/>
    <mergeCell ref="AN44:AN45"/>
    <mergeCell ref="AA44:AA45"/>
    <mergeCell ref="AB44:AB45"/>
    <mergeCell ref="AC44:AC45"/>
    <mergeCell ref="AD44:AD45"/>
    <mergeCell ref="AE44:AE45"/>
    <mergeCell ref="AF44:AF45"/>
    <mergeCell ref="U44:U45"/>
    <mergeCell ref="V44:V45"/>
    <mergeCell ref="R46:R48"/>
    <mergeCell ref="S46:S48"/>
    <mergeCell ref="T46:T48"/>
    <mergeCell ref="U46:U48"/>
    <mergeCell ref="V46:V48"/>
    <mergeCell ref="W46:W48"/>
    <mergeCell ref="L46:L48"/>
    <mergeCell ref="M46:M48"/>
    <mergeCell ref="N46:N48"/>
    <mergeCell ref="O46:O48"/>
    <mergeCell ref="P46:P48"/>
    <mergeCell ref="Q46:Q48"/>
    <mergeCell ref="AD46:AD48"/>
    <mergeCell ref="AE46:AE48"/>
    <mergeCell ref="AF46:AF48"/>
    <mergeCell ref="AG46:AG48"/>
    <mergeCell ref="AH46:AH48"/>
    <mergeCell ref="AI46:AI48"/>
    <mergeCell ref="X46:X48"/>
    <mergeCell ref="Y46:Y48"/>
    <mergeCell ref="Z46:Z48"/>
    <mergeCell ref="AA46:AA48"/>
    <mergeCell ref="AB46:AB48"/>
    <mergeCell ref="AC46:AC48"/>
    <mergeCell ref="AJ46:AJ48"/>
    <mergeCell ref="AK46:AK48"/>
    <mergeCell ref="AL46:AL56"/>
    <mergeCell ref="AM46:AM48"/>
    <mergeCell ref="AN46:AN48"/>
    <mergeCell ref="AO46:AO48"/>
    <mergeCell ref="AK53:AK55"/>
    <mergeCell ref="AM53:AM56"/>
    <mergeCell ref="AN53:AN55"/>
    <mergeCell ref="AO53:AO55"/>
    <mergeCell ref="D49:D52"/>
    <mergeCell ref="E49:E52"/>
    <mergeCell ref="F49:F52"/>
    <mergeCell ref="G49:G52"/>
    <mergeCell ref="H49:H52"/>
    <mergeCell ref="AM49:AM52"/>
    <mergeCell ref="L50:L52"/>
    <mergeCell ref="M50:M52"/>
    <mergeCell ref="N50:N52"/>
    <mergeCell ref="O50:O52"/>
    <mergeCell ref="V50:V52"/>
    <mergeCell ref="W50:W52"/>
    <mergeCell ref="X50:X52"/>
    <mergeCell ref="Y50:Y52"/>
    <mergeCell ref="Z50:Z52"/>
    <mergeCell ref="AA50:AA52"/>
    <mergeCell ref="P50:P52"/>
    <mergeCell ref="Q50:Q52"/>
    <mergeCell ref="R50:R52"/>
    <mergeCell ref="S50:S52"/>
    <mergeCell ref="T50:T52"/>
    <mergeCell ref="U50:U52"/>
    <mergeCell ref="AH50:AH52"/>
    <mergeCell ref="AI50:AI52"/>
    <mergeCell ref="AJ50:AJ52"/>
    <mergeCell ref="AK50:AK52"/>
    <mergeCell ref="AN50:AN52"/>
    <mergeCell ref="AO50:AO52"/>
    <mergeCell ref="AB50:AB52"/>
    <mergeCell ref="AC50:AC52"/>
    <mergeCell ref="AD50:AD52"/>
    <mergeCell ref="AE50:AE52"/>
    <mergeCell ref="AF50:AF52"/>
    <mergeCell ref="AG50:AG52"/>
    <mergeCell ref="N53:N55"/>
    <mergeCell ref="O53:O55"/>
    <mergeCell ref="P53:P55"/>
    <mergeCell ref="Q53:Q55"/>
    <mergeCell ref="R53:R55"/>
    <mergeCell ref="D53:D56"/>
    <mergeCell ref="E53:E56"/>
    <mergeCell ref="F53:F56"/>
    <mergeCell ref="G53:G56"/>
    <mergeCell ref="H53:H56"/>
    <mergeCell ref="L53:L55"/>
    <mergeCell ref="C57:C58"/>
    <mergeCell ref="I57:I58"/>
    <mergeCell ref="J57:J58"/>
    <mergeCell ref="K57:K58"/>
    <mergeCell ref="AL57:AL58"/>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M53:M55"/>
  </mergeCells>
  <dataValidations count="1">
    <dataValidation type="list" allowBlank="1" showInputMessage="1" showErrorMessage="1" sqref="BH9:BH58">
      <formula1>$XFC$8:$XFC$10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7"/>
  <sheetViews>
    <sheetView workbookViewId="0">
      <selection activeCell="D5" sqref="D5"/>
    </sheetView>
  </sheetViews>
  <sheetFormatPr baseColWidth="10" defaultRowHeight="15" x14ac:dyDescent="0.25"/>
  <sheetData>
    <row r="2" spans="3:4" x14ac:dyDescent="0.25">
      <c r="C2">
        <v>566268195.84000003</v>
      </c>
    </row>
    <row r="7" spans="3:4" x14ac:dyDescent="0.25">
      <c r="D7" s="6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DISTRISEGURIDAD</vt:lpstr>
      <vt:lpstr>MATRIZ EVALUACIÓN</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Maria Mernarda Perez Carmona</cp:lastModifiedBy>
  <dcterms:created xsi:type="dcterms:W3CDTF">2022-03-28T18:41:11Z</dcterms:created>
  <dcterms:modified xsi:type="dcterms:W3CDTF">2023-01-31T16:15:52Z</dcterms:modified>
</cp:coreProperties>
</file>